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5195" windowHeight="8445" firstSheet="3" activeTab="9"/>
  </bookViews>
  <sheets>
    <sheet name="ANEXO 2" sheetId="4" r:id="rId1"/>
    <sheet name="ANEXO 3" sheetId="3" r:id="rId2"/>
    <sheet name="ANEXO 4-5-6" sheetId="7" r:id="rId3"/>
    <sheet name="ANEXO 7" sheetId="9" r:id="rId4"/>
    <sheet name="ANEXO 8" sheetId="8" r:id="rId5"/>
    <sheet name="ANEXO 9" sheetId="10" r:id="rId6"/>
    <sheet name="ANEXO 10" sheetId="1" r:id="rId7"/>
    <sheet name="ANEXO 2A" sheetId="2" r:id="rId8"/>
    <sheet name="A-D1-D2" sheetId="5" r:id="rId9"/>
    <sheet name="ANEXO D3" sheetId="6" r:id="rId10"/>
  </sheets>
  <externalReferences>
    <externalReference r:id="rId11"/>
  </externalReferences>
  <definedNames>
    <definedName name="_xlnm.Print_Area" localSheetId="0">'ANEXO 2'!$A$1:$D$18</definedName>
    <definedName name="_xlnm.Print_Area" localSheetId="7">'ANEXO 2A'!$A$1:$F$34</definedName>
    <definedName name="_xlnm.Print_Area" localSheetId="1">'ANEXO 3'!$B$1:$G$32</definedName>
    <definedName name="_xlnm.Print_Area" localSheetId="3">'ANEXO 7'!$A$2:$K$25</definedName>
    <definedName name="_xlnm.Print_Area" localSheetId="4">'ANEXO 8'!$A$2:$L$55</definedName>
  </definedNames>
  <calcPr calcId="125725"/>
</workbook>
</file>

<file path=xl/calcChain.xml><?xml version="1.0" encoding="utf-8"?>
<calcChain xmlns="http://schemas.openxmlformats.org/spreadsheetml/2006/main">
  <c r="F6" i="5"/>
  <c r="A12" i="9"/>
  <c r="C22" i="6"/>
  <c r="G6" i="5"/>
  <c r="K5" i="3"/>
  <c r="L5"/>
  <c r="D11" i="4"/>
  <c r="E30" i="3"/>
  <c r="D7" i="4"/>
  <c r="B16" i="6"/>
  <c r="D16" s="1"/>
  <c r="E22" i="7"/>
  <c r="E23"/>
  <c r="C8" i="8"/>
  <c r="D8" s="1"/>
  <c r="E8" s="1"/>
  <c r="C25"/>
  <c r="C36"/>
  <c r="D36" s="1"/>
  <c r="B14"/>
  <c r="F14" s="1"/>
  <c r="F16"/>
  <c r="B18"/>
  <c r="B30"/>
  <c r="B37" s="1"/>
  <c r="D13" i="4"/>
  <c r="E7" i="6"/>
  <c r="E8"/>
  <c r="E16" i="7"/>
  <c r="E18"/>
  <c r="E17"/>
  <c r="E19"/>
  <c r="D14" i="4"/>
  <c r="D17"/>
  <c r="D12"/>
  <c r="D10"/>
  <c r="D9" s="1"/>
  <c r="E11" i="2"/>
  <c r="D16" i="4"/>
  <c r="D15"/>
  <c r="E6" i="2"/>
  <c r="E7"/>
  <c r="E8"/>
  <c r="E13"/>
  <c r="F7" i="5"/>
  <c r="G7" s="1"/>
  <c r="G13" s="1"/>
  <c r="E20" i="3" s="1"/>
  <c r="C13" i="5"/>
  <c r="F10"/>
  <c r="G10"/>
  <c r="F12"/>
  <c r="G12"/>
  <c r="F8"/>
  <c r="F9"/>
  <c r="G9" s="1"/>
  <c r="F11"/>
  <c r="F13"/>
  <c r="G11"/>
  <c r="E9" i="2"/>
  <c r="E10"/>
  <c r="E12"/>
  <c r="E14"/>
  <c r="E15"/>
  <c r="E16"/>
  <c r="E17"/>
  <c r="H7" i="4"/>
  <c r="C23" i="6"/>
  <c r="C24"/>
  <c r="D25" i="3" s="1"/>
  <c r="E24" i="5"/>
  <c r="F24" s="1"/>
  <c r="E25"/>
  <c r="F25" s="1"/>
  <c r="E21"/>
  <c r="F21" s="1"/>
  <c r="E22"/>
  <c r="F22" s="1"/>
  <c r="E23"/>
  <c r="F23" s="1"/>
  <c r="E26"/>
  <c r="F26" s="1"/>
  <c r="E27"/>
  <c r="F27" s="1"/>
  <c r="E28"/>
  <c r="F28" s="1"/>
  <c r="E29"/>
  <c r="F29" s="1"/>
  <c r="E6" i="7"/>
  <c r="I7" i="4"/>
  <c r="G14"/>
  <c r="G15"/>
  <c r="G16" s="1"/>
  <c r="G9" i="2"/>
  <c r="G10" s="1"/>
  <c r="G11" s="1"/>
  <c r="H5" i="3"/>
  <c r="M5"/>
  <c r="N5"/>
  <c r="H6"/>
  <c r="M6"/>
  <c r="M7" s="1"/>
  <c r="H8"/>
  <c r="K13"/>
  <c r="K14" s="1"/>
  <c r="K15"/>
  <c r="D23"/>
  <c r="C30" i="5"/>
  <c r="E30"/>
  <c r="D7" i="6"/>
  <c r="B8"/>
  <c r="D8"/>
  <c r="D16" i="7"/>
  <c r="D17"/>
  <c r="D19" s="1"/>
  <c r="D18"/>
  <c r="B19"/>
  <c r="B6" i="8"/>
  <c r="A15"/>
  <c r="A21"/>
  <c r="A22"/>
  <c r="A23"/>
  <c r="A24"/>
  <c r="A25"/>
  <c r="A27"/>
  <c r="A31"/>
  <c r="A32"/>
  <c r="A33"/>
  <c r="A35"/>
  <c r="B46"/>
  <c r="B49" s="1"/>
  <c r="A13" i="9"/>
  <c r="A14"/>
  <c r="G8" i="5"/>
  <c r="E18" i="2"/>
  <c r="E25" i="8"/>
  <c r="D25"/>
  <c r="C29" i="6"/>
  <c r="B14"/>
  <c r="E29" i="2"/>
  <c r="E26"/>
  <c r="B12" i="8"/>
  <c r="B15" i="6"/>
  <c r="D15"/>
  <c r="E33" i="2"/>
  <c r="C27" i="6"/>
  <c r="D14"/>
  <c r="C23" i="8"/>
  <c r="B17" i="6"/>
  <c r="B19" i="8"/>
  <c r="B28" s="1"/>
  <c r="B38" s="1"/>
  <c r="A5" i="10" s="1"/>
  <c r="D17" i="6"/>
  <c r="D23" i="8"/>
  <c r="K9" i="3"/>
  <c r="K10"/>
  <c r="N6"/>
  <c r="C21" i="8"/>
  <c r="K6" i="3"/>
  <c r="C27" i="8"/>
  <c r="B13"/>
  <c r="C22"/>
  <c r="B7" i="9"/>
  <c r="D22" i="8"/>
  <c r="C8" i="1"/>
  <c r="L36" i="8"/>
  <c r="D27"/>
  <c r="G23"/>
  <c r="F23"/>
  <c r="B17"/>
  <c r="F17" s="1"/>
  <c r="C15" i="1"/>
  <c r="B15" i="8"/>
  <c r="F15"/>
  <c r="E23"/>
  <c r="C24"/>
  <c r="F25"/>
  <c r="D21"/>
  <c r="D24"/>
  <c r="E33" i="7"/>
  <c r="E34"/>
  <c r="E36" s="1"/>
  <c r="C34" i="8"/>
  <c r="C35"/>
  <c r="H23"/>
  <c r="E27"/>
  <c r="C7" i="9"/>
  <c r="G25" i="8"/>
  <c r="E22"/>
  <c r="E24"/>
  <c r="E21"/>
  <c r="C26"/>
  <c r="C28"/>
  <c r="F21"/>
  <c r="I23"/>
  <c r="D35"/>
  <c r="C33"/>
  <c r="H32"/>
  <c r="H25"/>
  <c r="B14" i="9"/>
  <c r="D7"/>
  <c r="F24" i="8"/>
  <c r="F22"/>
  <c r="F27"/>
  <c r="C32"/>
  <c r="D34"/>
  <c r="C52"/>
  <c r="D32"/>
  <c r="G27"/>
  <c r="G22"/>
  <c r="I25"/>
  <c r="I32"/>
  <c r="H50"/>
  <c r="E35"/>
  <c r="E34"/>
  <c r="C50"/>
  <c r="C59" s="1"/>
  <c r="D59" s="1"/>
  <c r="E59" s="1"/>
  <c r="F59" s="1"/>
  <c r="G59" s="1"/>
  <c r="H59" s="1"/>
  <c r="I59" s="1"/>
  <c r="J59" s="1"/>
  <c r="K59" s="1"/>
  <c r="L59" s="1"/>
  <c r="C37"/>
  <c r="C38" s="1"/>
  <c r="G24"/>
  <c r="D33"/>
  <c r="J23"/>
  <c r="E7" i="9"/>
  <c r="G21" i="8"/>
  <c r="H21"/>
  <c r="F35"/>
  <c r="E33"/>
  <c r="I50"/>
  <c r="J32"/>
  <c r="H27"/>
  <c r="D50"/>
  <c r="F7" i="9"/>
  <c r="K23" i="8"/>
  <c r="H24"/>
  <c r="F34"/>
  <c r="J25"/>
  <c r="H22"/>
  <c r="E32"/>
  <c r="G34"/>
  <c r="I24"/>
  <c r="L23"/>
  <c r="J50"/>
  <c r="K32"/>
  <c r="F33"/>
  <c r="I21"/>
  <c r="E50"/>
  <c r="F32"/>
  <c r="I22"/>
  <c r="K25"/>
  <c r="I27"/>
  <c r="G35"/>
  <c r="G7" i="9"/>
  <c r="J22" i="8"/>
  <c r="F50"/>
  <c r="H7" i="9"/>
  <c r="K50" i="8"/>
  <c r="L32"/>
  <c r="J24"/>
  <c r="H34"/>
  <c r="D26"/>
  <c r="D28"/>
  <c r="G33"/>
  <c r="H35"/>
  <c r="J27"/>
  <c r="L25"/>
  <c r="G32"/>
  <c r="J21"/>
  <c r="K27"/>
  <c r="K24"/>
  <c r="K22"/>
  <c r="K21"/>
  <c r="G50"/>
  <c r="I7" i="9"/>
  <c r="H33" i="8"/>
  <c r="I35"/>
  <c r="C14" i="9"/>
  <c r="I34" i="8"/>
  <c r="L50"/>
  <c r="J35"/>
  <c r="J7" i="9"/>
  <c r="L21" i="8"/>
  <c r="L22"/>
  <c r="J34"/>
  <c r="I33"/>
  <c r="L24"/>
  <c r="D52"/>
  <c r="L27"/>
  <c r="K34"/>
  <c r="K7" i="9"/>
  <c r="K35" i="8"/>
  <c r="J33"/>
  <c r="L34"/>
  <c r="K33"/>
  <c r="C7"/>
  <c r="C9" s="1"/>
  <c r="C43" s="1"/>
  <c r="B6" i="9"/>
  <c r="L35" i="8"/>
  <c r="E24" i="10"/>
  <c r="L33" i="8"/>
  <c r="L37" s="1"/>
  <c r="D7"/>
  <c r="C6" i="9"/>
  <c r="C8"/>
  <c r="B8"/>
  <c r="C7" i="1"/>
  <c r="B20" i="8"/>
  <c r="B9" i="9"/>
  <c r="C9"/>
  <c r="E27" i="10"/>
  <c r="F28" s="1"/>
  <c r="F30" s="1"/>
  <c r="F26"/>
  <c r="E7" i="8"/>
  <c r="D6" i="9"/>
  <c r="D8"/>
  <c r="L40" i="8"/>
  <c r="L41" s="1"/>
  <c r="E8" i="1"/>
  <c r="E7"/>
  <c r="E15"/>
  <c r="B5" i="8"/>
  <c r="E26"/>
  <c r="E28" s="1"/>
  <c r="D14" i="9"/>
  <c r="B9" i="8"/>
  <c r="B53"/>
  <c r="D9" i="9"/>
  <c r="E6"/>
  <c r="E8" s="1"/>
  <c r="F7" i="8"/>
  <c r="E52"/>
  <c r="F6" i="9"/>
  <c r="F8" s="1"/>
  <c r="G7" i="8"/>
  <c r="G6" i="9"/>
  <c r="G8" s="1"/>
  <c r="H7" i="8"/>
  <c r="I7"/>
  <c r="H6" i="9"/>
  <c r="H8"/>
  <c r="H9"/>
  <c r="J7" i="8"/>
  <c r="I6" i="9"/>
  <c r="I8"/>
  <c r="K7" i="8"/>
  <c r="J6" i="9"/>
  <c r="J8"/>
  <c r="F26" i="8"/>
  <c r="I9" i="9"/>
  <c r="J9"/>
  <c r="L7" i="8"/>
  <c r="K6" i="9"/>
  <c r="K8" s="1"/>
  <c r="E14"/>
  <c r="F52" i="8"/>
  <c r="G26"/>
  <c r="G28"/>
  <c r="F14" i="9"/>
  <c r="G52" i="8"/>
  <c r="H26"/>
  <c r="H28" s="1"/>
  <c r="G14" i="9"/>
  <c r="H52" i="8"/>
  <c r="I26"/>
  <c r="I28"/>
  <c r="H14" i="9"/>
  <c r="I52" i="8"/>
  <c r="J26"/>
  <c r="J28" s="1"/>
  <c r="I14" i="9"/>
  <c r="J52" i="8"/>
  <c r="K26"/>
  <c r="K28" s="1"/>
  <c r="J14" i="9"/>
  <c r="K52" i="8"/>
  <c r="L26"/>
  <c r="L28" s="1"/>
  <c r="L38" s="1"/>
  <c r="K14" i="9"/>
  <c r="L52" i="8"/>
  <c r="D9" l="1"/>
  <c r="E24" i="7"/>
  <c r="E25" s="1"/>
  <c r="B13" i="9" s="1"/>
  <c r="C31" i="8"/>
  <c r="K9" i="9"/>
  <c r="G9"/>
  <c r="F9"/>
  <c r="C46" i="8"/>
  <c r="C44"/>
  <c r="C28" i="6"/>
  <c r="C30" s="1"/>
  <c r="D26" i="3" s="1"/>
  <c r="I9" i="4"/>
  <c r="D18"/>
  <c r="B13" i="6" s="1"/>
  <c r="C13" i="9"/>
  <c r="C12" i="1"/>
  <c r="E12" s="1"/>
  <c r="F28" i="8"/>
  <c r="E9" i="9"/>
  <c r="F8" i="8"/>
  <c r="G8" s="1"/>
  <c r="E9"/>
  <c r="D37"/>
  <c r="E36"/>
  <c r="D38"/>
  <c r="F30" i="5"/>
  <c r="E21" i="3" s="1"/>
  <c r="E8" i="7"/>
  <c r="E9" s="1"/>
  <c r="B12" i="9" s="1"/>
  <c r="D43" i="8" l="1"/>
  <c r="C51"/>
  <c r="D31"/>
  <c r="E31" s="1"/>
  <c r="F31" s="1"/>
  <c r="G31" s="1"/>
  <c r="C9" i="1"/>
  <c r="B15" i="9"/>
  <c r="B17" s="1"/>
  <c r="C12"/>
  <c r="D12" s="1"/>
  <c r="E12" s="1"/>
  <c r="F12" s="1"/>
  <c r="G12" s="1"/>
  <c r="H12" s="1"/>
  <c r="I12" s="1"/>
  <c r="J12" s="1"/>
  <c r="K12" s="1"/>
  <c r="D44" i="8"/>
  <c r="D46" s="1"/>
  <c r="H8"/>
  <c r="G9"/>
  <c r="D13" i="6"/>
  <c r="D18" s="1"/>
  <c r="B18"/>
  <c r="C47" i="8"/>
  <c r="C49" s="1"/>
  <c r="F9"/>
  <c r="F36"/>
  <c r="E37"/>
  <c r="E38" s="1"/>
  <c r="C15" i="9"/>
  <c r="C17" s="1"/>
  <c r="D13"/>
  <c r="E43" i="8"/>
  <c r="D51" l="1"/>
  <c r="C57"/>
  <c r="C58" s="1"/>
  <c r="C64"/>
  <c r="C53"/>
  <c r="D47"/>
  <c r="D49" s="1"/>
  <c r="D53" s="1"/>
  <c r="C5" i="10" s="1"/>
  <c r="E44" i="8"/>
  <c r="E46" s="1"/>
  <c r="E13" i="9"/>
  <c r="D15"/>
  <c r="D17" s="1"/>
  <c r="C10" i="1"/>
  <c r="E9"/>
  <c r="C18" i="9"/>
  <c r="C20"/>
  <c r="C21" s="1"/>
  <c r="C23" s="1"/>
  <c r="F37" i="8"/>
  <c r="F38" s="1"/>
  <c r="G36"/>
  <c r="D24" i="3"/>
  <c r="C32" i="6"/>
  <c r="I8" i="8"/>
  <c r="H9"/>
  <c r="B18" i="9"/>
  <c r="B20" s="1"/>
  <c r="F43" i="8"/>
  <c r="D57" l="1"/>
  <c r="D58" s="1"/>
  <c r="E51"/>
  <c r="B21" i="9"/>
  <c r="B23" s="1"/>
  <c r="B25" s="1"/>
  <c r="C25" s="1"/>
  <c r="C35" i="6"/>
  <c r="D27" i="3" s="1"/>
  <c r="H36" i="8"/>
  <c r="G37"/>
  <c r="G38" s="1"/>
  <c r="G43" s="1"/>
  <c r="D18" i="9"/>
  <c r="D20" s="1"/>
  <c r="D21" s="1"/>
  <c r="D23" s="1"/>
  <c r="D64" i="8"/>
  <c r="F44"/>
  <c r="F46" s="1"/>
  <c r="J8"/>
  <c r="I9"/>
  <c r="E10" i="1"/>
  <c r="C13"/>
  <c r="E15" i="9"/>
  <c r="E17" s="1"/>
  <c r="F13"/>
  <c r="E47" i="8"/>
  <c r="E49" s="1"/>
  <c r="E53" s="1"/>
  <c r="D5" i="10" s="1"/>
  <c r="C54" i="8"/>
  <c r="D54" s="1"/>
  <c r="B5" i="10"/>
  <c r="F51" i="8" l="1"/>
  <c r="E57"/>
  <c r="E58" s="1"/>
  <c r="F47"/>
  <c r="F49" s="1"/>
  <c r="F53" s="1"/>
  <c r="E5" i="10" s="1"/>
  <c r="D25" i="9"/>
  <c r="E18"/>
  <c r="E20" s="1"/>
  <c r="E21" s="1"/>
  <c r="E23" s="1"/>
  <c r="K8" i="8"/>
  <c r="J9"/>
  <c r="G44"/>
  <c r="G46" s="1"/>
  <c r="E54"/>
  <c r="C36" i="6"/>
  <c r="E22" i="3" s="1"/>
  <c r="G13" i="9"/>
  <c r="F15"/>
  <c r="F17" s="1"/>
  <c r="C17" i="1"/>
  <c r="E13"/>
  <c r="I36" i="8"/>
  <c r="H37"/>
  <c r="H38" s="1"/>
  <c r="H43" s="1"/>
  <c r="E64"/>
  <c r="G27" i="3"/>
  <c r="F64" i="8" l="1"/>
  <c r="F54"/>
  <c r="F57"/>
  <c r="F58" s="1"/>
  <c r="G51"/>
  <c r="G47"/>
  <c r="G49" s="1"/>
  <c r="H44"/>
  <c r="H46" s="1"/>
  <c r="F18" i="9"/>
  <c r="F20" s="1"/>
  <c r="F21" s="1"/>
  <c r="F23" s="1"/>
  <c r="G23" i="3"/>
  <c r="G25"/>
  <c r="G26"/>
  <c r="E28"/>
  <c r="G22" s="1"/>
  <c r="G24"/>
  <c r="E25" i="9"/>
  <c r="J36" i="8"/>
  <c r="I37"/>
  <c r="I38" s="1"/>
  <c r="I43" s="1"/>
  <c r="E17" i="1"/>
  <c r="C19"/>
  <c r="E19" s="1"/>
  <c r="H13" i="9"/>
  <c r="G15"/>
  <c r="G17" s="1"/>
  <c r="L8" i="8"/>
  <c r="L9" s="1"/>
  <c r="L43" s="1"/>
  <c r="K9"/>
  <c r="H51" l="1"/>
  <c r="G57"/>
  <c r="G58" s="1"/>
  <c r="G53"/>
  <c r="G64"/>
  <c r="L46"/>
  <c r="L44"/>
  <c r="I13" i="9"/>
  <c r="H15"/>
  <c r="H17" s="1"/>
  <c r="I44" i="8"/>
  <c r="I46" s="1"/>
  <c r="E31" i="3"/>
  <c r="E5" s="1"/>
  <c r="G5" s="1"/>
  <c r="G7" s="1"/>
  <c r="G20"/>
  <c r="G21"/>
  <c r="C20" i="1"/>
  <c r="F25" i="9"/>
  <c r="G18"/>
  <c r="G20" s="1"/>
  <c r="G21" s="1"/>
  <c r="G23" s="1"/>
  <c r="J37" i="8"/>
  <c r="J38" s="1"/>
  <c r="J43" s="1"/>
  <c r="K36"/>
  <c r="K37" s="1"/>
  <c r="K38" s="1"/>
  <c r="H47"/>
  <c r="H49" s="1"/>
  <c r="H53" s="1"/>
  <c r="G5" i="10" s="1"/>
  <c r="K43" i="8"/>
  <c r="H57" l="1"/>
  <c r="H58" s="1"/>
  <c r="I51"/>
  <c r="C22" i="1"/>
  <c r="E22" s="1"/>
  <c r="E20"/>
  <c r="B34" s="1"/>
  <c r="B33"/>
  <c r="B32"/>
  <c r="C23"/>
  <c r="H18" i="9"/>
  <c r="H20" s="1"/>
  <c r="H21" s="1"/>
  <c r="H23" s="1"/>
  <c r="F5" i="10"/>
  <c r="G54" i="8"/>
  <c r="H54" s="1"/>
  <c r="G28" i="3"/>
  <c r="K44" i="8"/>
  <c r="K46" s="1"/>
  <c r="J44"/>
  <c r="J46" s="1"/>
  <c r="I47"/>
  <c r="I49" s="1"/>
  <c r="I53" s="1"/>
  <c r="H5" i="10" s="1"/>
  <c r="J13" i="9"/>
  <c r="I15"/>
  <c r="I17" s="1"/>
  <c r="L47" i="8"/>
  <c r="L49" s="1"/>
  <c r="G25" i="9"/>
  <c r="H64" i="8"/>
  <c r="I57" l="1"/>
  <c r="I58" s="1"/>
  <c r="J51"/>
  <c r="I64"/>
  <c r="J47"/>
  <c r="J49" s="1"/>
  <c r="K47"/>
  <c r="K49" s="1"/>
  <c r="K13" i="9"/>
  <c r="K15" s="1"/>
  <c r="K17" s="1"/>
  <c r="J15"/>
  <c r="J17" s="1"/>
  <c r="H25"/>
  <c r="I54" i="8"/>
  <c r="I18" i="9"/>
  <c r="I20" s="1"/>
  <c r="I21" s="1"/>
  <c r="I23" s="1"/>
  <c r="B37" i="1"/>
  <c r="B38"/>
  <c r="E23"/>
  <c r="B39" s="1"/>
  <c r="K53" i="8" l="1"/>
  <c r="J5" i="10" s="1"/>
  <c r="K51" i="8"/>
  <c r="J57"/>
  <c r="J58" s="1"/>
  <c r="J53"/>
  <c r="I5" i="10" s="1"/>
  <c r="J64" i="8"/>
  <c r="K64" s="1"/>
  <c r="L64" s="1"/>
  <c r="K18" i="9"/>
  <c r="K20" s="1"/>
  <c r="K21" s="1"/>
  <c r="K23" s="1"/>
  <c r="I25"/>
  <c r="J18"/>
  <c r="J20"/>
  <c r="J21" s="1"/>
  <c r="J23" s="1"/>
  <c r="J54" i="8"/>
  <c r="K54" l="1"/>
  <c r="L51"/>
  <c r="K57"/>
  <c r="K58" s="1"/>
  <c r="J25" i="9"/>
  <c r="K25" s="1"/>
  <c r="L58" i="8" l="1"/>
  <c r="L57"/>
  <c r="L53"/>
  <c r="K5" i="10" l="1"/>
  <c r="L54" i="8"/>
  <c r="G8" i="10" l="1"/>
  <c r="F10"/>
</calcChain>
</file>

<file path=xl/comments1.xml><?xml version="1.0" encoding="utf-8"?>
<comments xmlns="http://schemas.openxmlformats.org/spreadsheetml/2006/main">
  <authors>
    <author>Ma. Angeles Macias Garcia.</author>
  </authors>
  <commentList>
    <comment ref="E33" authorId="0">
      <text>
        <r>
          <rPr>
            <b/>
            <sz val="8"/>
            <color indexed="81"/>
            <rFont val="Tahoma"/>
            <family val="2"/>
          </rPr>
          <t>amortizacion</t>
        </r>
      </text>
    </comment>
  </commentList>
</comments>
</file>

<file path=xl/comments2.xml><?xml version="1.0" encoding="utf-8"?>
<comments xmlns="http://schemas.openxmlformats.org/spreadsheetml/2006/main">
  <authors>
    <author>Ma. Angeles Macias Garcia.</author>
  </authors>
  <commentList>
    <comment ref="A36" authorId="0">
      <text>
        <r>
          <rPr>
            <b/>
            <sz val="8"/>
            <color indexed="81"/>
            <rFont val="Tahoma"/>
            <family val="2"/>
          </rPr>
          <t>Adriana Guerrero:</t>
        </r>
        <r>
          <rPr>
            <sz val="8"/>
            <color indexed="81"/>
            <rFont val="Tahoma"/>
            <family val="2"/>
          </rPr>
          <t xml:space="preserve">
intangibles , lo que se paga una sola vez</t>
        </r>
      </text>
    </comment>
  </commentList>
</comments>
</file>

<file path=xl/sharedStrings.xml><?xml version="1.0" encoding="utf-8"?>
<sst xmlns="http://schemas.openxmlformats.org/spreadsheetml/2006/main" count="296" uniqueCount="238">
  <si>
    <t>ANEXO 10</t>
  </si>
  <si>
    <t>ESTADO DE GANANCIAS Y PÉRDIDAS (SEGUNDO AÑO)</t>
  </si>
  <si>
    <t>VALOR</t>
  </si>
  <si>
    <t>%</t>
  </si>
  <si>
    <t>(Dólares)</t>
  </si>
  <si>
    <t>VENTAS NETAS (Anexo C)</t>
  </si>
  <si>
    <t xml:space="preserve">-   COSTOS DE PRODUCCIÓN </t>
  </si>
  <si>
    <t xml:space="preserve">-   GASTOS DE VENTAS </t>
  </si>
  <si>
    <t>UTILIDAD NETA EN VENTAS</t>
  </si>
  <si>
    <t xml:space="preserve">- GASTOS DE ADMINISTRACIÓN y GENERALES </t>
  </si>
  <si>
    <t>UTILIDAD NETA EN OPERACIONES</t>
  </si>
  <si>
    <t xml:space="preserve">-   GASTOS DE FINANCIAMIENTO      </t>
  </si>
  <si>
    <t>UTILIDAD NETA DEL PERIODO ANTES DE IMPUESTOS Y REPARTO SOBRE UTILIDADES</t>
  </si>
  <si>
    <t xml:space="preserve">-  REPARTO DE UTILIDADES A TRABAJADORES </t>
  </si>
  <si>
    <t>UTILIDAD NETA DEL PERIODO ANTES DE IMPUESTOS A LA RENTA</t>
  </si>
  <si>
    <t>-  IMPUESTO A LA RENTA</t>
  </si>
  <si>
    <t>TOTAL</t>
  </si>
  <si>
    <t>RENTABILIDADES</t>
  </si>
  <si>
    <t>RENTABILIDAD ANTES DEL IMPUESTO A LA RENTA</t>
  </si>
  <si>
    <t>Sobre el Capital Propio</t>
  </si>
  <si>
    <t>Sobre la inversión total</t>
  </si>
  <si>
    <t>Sobre Ventas</t>
  </si>
  <si>
    <t>RENTABILIDAD SOBRE LA UTILIDAD NETA</t>
  </si>
  <si>
    <t>ANEXO 2A</t>
  </si>
  <si>
    <t>MAQUINARIA Y EQUIPO</t>
  </si>
  <si>
    <t>DENOMINACION</t>
  </si>
  <si>
    <t>PRECIO</t>
  </si>
  <si>
    <t>UNIDAD</t>
  </si>
  <si>
    <t>Maquinaria y Equipos</t>
  </si>
  <si>
    <t>Mezclador estático</t>
  </si>
  <si>
    <t>Dividir/2</t>
  </si>
  <si>
    <t>Contenedores de prealmacenamiento</t>
  </si>
  <si>
    <t>Catalizador (reactor estético)</t>
  </si>
  <si>
    <t>1000 L</t>
  </si>
  <si>
    <t>Dividir/3</t>
  </si>
  <si>
    <t>Reactor tubular</t>
  </si>
  <si>
    <t>Unidad de destilación</t>
  </si>
  <si>
    <t>Tanque de almacenamiento externo</t>
  </si>
  <si>
    <t>Decantador continuo</t>
  </si>
  <si>
    <t xml:space="preserve"> </t>
  </si>
  <si>
    <t>Tanque de almacenaje interno</t>
  </si>
  <si>
    <t>Bombas de succión</t>
  </si>
  <si>
    <t>Sistema de ventilación central</t>
  </si>
  <si>
    <t>Aparatos de limpieza por aspersión</t>
  </si>
  <si>
    <t>Tubería central (metro lineal)</t>
  </si>
  <si>
    <t>OTROS ACTIVOS</t>
  </si>
  <si>
    <t xml:space="preserve">Denominación </t>
  </si>
  <si>
    <t>Dólares</t>
  </si>
  <si>
    <t>Muebles y Enseres</t>
  </si>
  <si>
    <t>Constitución de la Sociedad</t>
  </si>
  <si>
    <t xml:space="preserve">Repuestos y accesorios* </t>
  </si>
  <si>
    <t>Equipos de Laboratorio</t>
  </si>
  <si>
    <t>Equipos de Computación</t>
  </si>
  <si>
    <t>Gastos de puesta en marcha de maquinaria</t>
  </si>
  <si>
    <t>Extintores</t>
  </si>
  <si>
    <t>Registro Sanitario</t>
  </si>
  <si>
    <t>* 10% de Maquinarias</t>
  </si>
  <si>
    <t>ANEXO C</t>
  </si>
  <si>
    <t>VENTAS NETAS</t>
  </si>
  <si>
    <t>Producto</t>
  </si>
  <si>
    <t>Cantidad</t>
  </si>
  <si>
    <t>P.U.</t>
  </si>
  <si>
    <t>Galones de Biodiésel</t>
  </si>
  <si>
    <t>TOTAL .  .  .</t>
  </si>
  <si>
    <t>*  Capacidad producción diaria de la planta:  26,400 galones de biodiésel</t>
  </si>
  <si>
    <t>ANEXO 3</t>
  </si>
  <si>
    <t>COSTOS DE PRODUCCIÓN</t>
  </si>
  <si>
    <t xml:space="preserve">Dólares </t>
  </si>
  <si>
    <t>Materiales Directos (Anexo D-1)</t>
  </si>
  <si>
    <t>Mano de Obra Directa (Anexo D-2)</t>
  </si>
  <si>
    <t>Carga fabril (Anexo D-3)</t>
  </si>
  <si>
    <t>a) Mano de obra indirecta</t>
  </si>
  <si>
    <t>b) Depreciación</t>
  </si>
  <si>
    <t>c) Reparacion y mantenimiento</t>
  </si>
  <si>
    <t>d) Seguros</t>
  </si>
  <si>
    <t>e) Imprevistos</t>
  </si>
  <si>
    <t>Unidades producidas</t>
  </si>
  <si>
    <t>Costo por unidad</t>
  </si>
  <si>
    <t>ANEXO 2</t>
  </si>
  <si>
    <t>TERRENOS Y CONSTRUCCIONES</t>
  </si>
  <si>
    <t xml:space="preserve">Cantidad </t>
  </si>
  <si>
    <t>Unitario</t>
  </si>
  <si>
    <t>Total</t>
  </si>
  <si>
    <t>Terreno</t>
  </si>
  <si>
    <t>Construcciones</t>
  </si>
  <si>
    <t xml:space="preserve">Oficinas de Gerencias: Ventas, Adm., Mercadotecnia </t>
  </si>
  <si>
    <t>Galpón de producción</t>
  </si>
  <si>
    <t>Patio de tanques para depósito</t>
  </si>
  <si>
    <t>Bodega subterránea</t>
  </si>
  <si>
    <t>Bodega para materia prima</t>
  </si>
  <si>
    <t>Estacionamiento</t>
  </si>
  <si>
    <t>Comedor, vestidor, baños y lab.</t>
  </si>
  <si>
    <t>Cerramiento metro lineal                    (alrededor de todo el terreno)</t>
  </si>
  <si>
    <t>TOTAL TERRENO + CONSTRUCCIÓN</t>
  </si>
  <si>
    <r>
      <t>m</t>
    </r>
    <r>
      <rPr>
        <b/>
        <vertAlign val="superscript"/>
        <sz val="10"/>
        <rFont val="Arial"/>
        <family val="2"/>
      </rPr>
      <t>2</t>
    </r>
  </si>
  <si>
    <t>ANEXO D1</t>
  </si>
  <si>
    <t>MATERIALES DIRECTOS</t>
  </si>
  <si>
    <t>Denominación</t>
  </si>
  <si>
    <t>Unidad</t>
  </si>
  <si>
    <t>VALOR DIARIO($)</t>
  </si>
  <si>
    <t>Total Anual</t>
  </si>
  <si>
    <t>Unit.</t>
  </si>
  <si>
    <t>Aceite de palma</t>
  </si>
  <si>
    <t>Kg.</t>
  </si>
  <si>
    <t>Metanol</t>
  </si>
  <si>
    <t>Soda cáustica</t>
  </si>
  <si>
    <t>Ácido sulfúrico</t>
  </si>
  <si>
    <t>Agua de enfriamiento</t>
  </si>
  <si>
    <t>m3</t>
  </si>
  <si>
    <t>Vapor (4 Kg/cm2)</t>
  </si>
  <si>
    <t>Energía eléctrica</t>
  </si>
  <si>
    <t>Kwh</t>
  </si>
  <si>
    <t>ANEXO D2</t>
  </si>
  <si>
    <t>MANO DE OBRA DIRECTA</t>
  </si>
  <si>
    <t>Se trabaja un turno al día 10 horas diarias</t>
  </si>
  <si>
    <t>CLASIFICACIÓN DEL TRABAJO.            </t>
  </si>
  <si>
    <t>PERS.REQ.</t>
  </si>
  <si>
    <t>SUELDO</t>
  </si>
  <si>
    <t>TOTAL MENSUAL</t>
  </si>
  <si>
    <t>TOTAL ANUAL</t>
  </si>
  <si>
    <t>Operador del Molino de aceite</t>
  </si>
  <si>
    <t>Operador de la Unidad de refinamiento</t>
  </si>
  <si>
    <t>Operador de la Unidad de tranesterificación</t>
  </si>
  <si>
    <t>Operador de la Unidad de purificación</t>
  </si>
  <si>
    <t>Operador de la unidad de concentración</t>
  </si>
  <si>
    <t>Operario bomba de succión</t>
  </si>
  <si>
    <t>Envasador</t>
  </si>
  <si>
    <t>Operador de los tanques de almacenaje</t>
  </si>
  <si>
    <t>Supervisor de planta</t>
  </si>
  <si>
    <t>T O T A L .  .  .</t>
  </si>
  <si>
    <t>ANEXO D-3</t>
  </si>
  <si>
    <t>GASTOS INDIRECTOS DE FABRICACIÓN</t>
  </si>
  <si>
    <t>A. MANO DE OBRA INDIRECTA</t>
  </si>
  <si>
    <t>Denominacion</t>
  </si>
  <si>
    <t>No.</t>
  </si>
  <si>
    <t>Sueldo mensual</t>
  </si>
  <si>
    <t>Total mensual</t>
  </si>
  <si>
    <t>Total anual</t>
  </si>
  <si>
    <t>Personal de limpieza</t>
  </si>
  <si>
    <t xml:space="preserve">SUMAN   </t>
  </si>
  <si>
    <t>B.  DEPRECIACIÓN Y AMORTIZACIÓN</t>
  </si>
  <si>
    <t>Concepto</t>
  </si>
  <si>
    <t>Costo
(dolares)</t>
  </si>
  <si>
    <t>Vida util
(años)</t>
  </si>
  <si>
    <t>Valor anual
(dolares)</t>
  </si>
  <si>
    <t>Construcciones e instalaciones</t>
  </si>
  <si>
    <t>Maquinaria y equipo</t>
  </si>
  <si>
    <t>Repuestos y accesorios</t>
  </si>
  <si>
    <t>Laboratorio</t>
  </si>
  <si>
    <t>Gastos de puesta en marcha</t>
  </si>
  <si>
    <t>SUMAN</t>
  </si>
  <si>
    <t>C. REPARACIONES y MANTENIMIENTO</t>
  </si>
  <si>
    <t>Valor total</t>
  </si>
  <si>
    <t>Valor reparaciones y mantenimiento en general</t>
  </si>
  <si>
    <t xml:space="preserve">Maquinaria y equipo </t>
  </si>
  <si>
    <t xml:space="preserve">Edificios y construcciones </t>
  </si>
  <si>
    <t>D. SEGUROS</t>
  </si>
  <si>
    <t xml:space="preserve">Edificio </t>
  </si>
  <si>
    <t xml:space="preserve">Laboratorio y equipos lab. </t>
  </si>
  <si>
    <t>Imprevistos de la carga fabril</t>
  </si>
  <si>
    <t>Aproximadamente 3% de los rubros anteriores</t>
  </si>
  <si>
    <t>TOTAL GENERAL</t>
  </si>
  <si>
    <t>ANEXO  5</t>
  </si>
  <si>
    <t>GASTOS DE VENTAS</t>
  </si>
  <si>
    <t>Gastos de Promoción</t>
  </si>
  <si>
    <t>Publicación en la Web y publicidad</t>
  </si>
  <si>
    <t>Gastos de oficina (papelería, tlf., internet)</t>
  </si>
  <si>
    <t>Imprevistos</t>
  </si>
  <si>
    <t>TOTAL GASTOS DE VENTAS</t>
  </si>
  <si>
    <t>ANEXO  4</t>
  </si>
  <si>
    <t>GASTOS ADMINISTRATIVOS y GENERALES</t>
  </si>
  <si>
    <t>Gatos de Personal</t>
  </si>
  <si>
    <t>Secretaria</t>
  </si>
  <si>
    <t>Gerente General</t>
  </si>
  <si>
    <t>Contador</t>
  </si>
  <si>
    <t>Gastos de oficina (papeleria, tlf., internet)</t>
  </si>
  <si>
    <t>CARGOS A ACTIVOS</t>
  </si>
  <si>
    <t>Depreciación de muebles y enseres (5 años)</t>
  </si>
  <si>
    <t>Amortización de constitución de la sociedad (5 años)</t>
  </si>
  <si>
    <t>ANEXO  6</t>
  </si>
  <si>
    <t>GASTOS  FINANCIEROS</t>
  </si>
  <si>
    <t>Gastos Financieros</t>
  </si>
  <si>
    <t>Interés de Préstamo del 1er año</t>
  </si>
  <si>
    <t>ANEXO 8</t>
  </si>
  <si>
    <t>FLUJO DE CAJA</t>
  </si>
  <si>
    <t>Año</t>
  </si>
  <si>
    <t>INGRESOS</t>
  </si>
  <si>
    <t>Aportación Socios</t>
  </si>
  <si>
    <t>Préstamo</t>
  </si>
  <si>
    <t>Ventas Biodiésel</t>
  </si>
  <si>
    <t>Ventas subproducto (glicerina)</t>
  </si>
  <si>
    <t>TOTAL DE INGRESO</t>
  </si>
  <si>
    <t>EGRESOS OPERATIVOS</t>
  </si>
  <si>
    <t>Instalaciones</t>
  </si>
  <si>
    <t>Maquinarias y equipos</t>
  </si>
  <si>
    <t>Respuestos y accesorios</t>
  </si>
  <si>
    <t>Gasto de puesta en marcha maquinaria</t>
  </si>
  <si>
    <t>Capital de Trabajo</t>
  </si>
  <si>
    <t>TOTAL EGRESOS OPERATIVOS</t>
  </si>
  <si>
    <t>EGRESOS NO OPERATIVOS</t>
  </si>
  <si>
    <t>Gastos de Constitución</t>
  </si>
  <si>
    <t>Impuestos prediales</t>
  </si>
  <si>
    <t>Registro sanitario</t>
  </si>
  <si>
    <t>TOTAL EGRESOS NO OPERATIVOS</t>
  </si>
  <si>
    <t>TOTAL EGRESOS</t>
  </si>
  <si>
    <t>INGRESOS NO OPERATIVOS</t>
  </si>
  <si>
    <t>Valor de Desecho</t>
  </si>
  <si>
    <t>TOTAL INGRESOS NO OPERATIVOS</t>
  </si>
  <si>
    <t>= Utilidad antes rep. Util e imp.</t>
  </si>
  <si>
    <t>(-) 15% Util. a trabajadores</t>
  </si>
  <si>
    <t>= Util. antes de impuestos</t>
  </si>
  <si>
    <t>(-) 25% Impuesto a la renta</t>
  </si>
  <si>
    <t>Utilidad Neta:</t>
  </si>
  <si>
    <t xml:space="preserve">(+) Depreciaciones </t>
  </si>
  <si>
    <t>(+) Amortizacion de constitución de sociedad</t>
  </si>
  <si>
    <t>(-) Amortizaciones préstamo</t>
  </si>
  <si>
    <t xml:space="preserve">Flujo de Caja </t>
  </si>
  <si>
    <t>Flujo de Caja Acumulado</t>
  </si>
  <si>
    <t>amortizaciones</t>
  </si>
  <si>
    <t>amortizaciones acumuladas</t>
  </si>
  <si>
    <t>depreciaciones acumuladas</t>
  </si>
  <si>
    <t>VAN Utilidad</t>
  </si>
  <si>
    <t>Utilidad Neta</t>
  </si>
  <si>
    <t>Utilidad Neta Acumulada</t>
  </si>
  <si>
    <t>ANEXO  7</t>
  </si>
  <si>
    <t>ESTADO DE RESULTADOS</t>
  </si>
  <si>
    <t>Ventas</t>
  </si>
  <si>
    <t>Costos de Producción</t>
  </si>
  <si>
    <t>Margen de Contribución</t>
  </si>
  <si>
    <t>% Margen de contribución</t>
  </si>
  <si>
    <t>Total Gastos</t>
  </si>
  <si>
    <t>Utilidad Acumulada:</t>
  </si>
  <si>
    <t>ANEXO 9</t>
  </si>
  <si>
    <t>TASA INTERNA DE RETORNO</t>
  </si>
  <si>
    <t>FLUJO DE CAJA NETO</t>
  </si>
  <si>
    <t>Inversión Inicial</t>
  </si>
  <si>
    <t>TIR ANUAL</t>
  </si>
  <si>
    <t>VAN (15.25%)</t>
  </si>
</sst>
</file>

<file path=xl/styles.xml><?xml version="1.0" encoding="utf-8"?>
<styleSheet xmlns="http://schemas.openxmlformats.org/spreadsheetml/2006/main">
  <numFmts count="6">
    <numFmt numFmtId="183" formatCode="&quot;$&quot;\ #,##0;[Red]&quot;$&quot;\ \-#,##0"/>
    <numFmt numFmtId="184" formatCode="_ * #,##0.00_ ;_ * \-#,##0.00_ ;_ * &quot;-&quot;??_ ;_ @_ "/>
    <numFmt numFmtId="187" formatCode="&quot;$&quot;#,##0.00"/>
    <numFmt numFmtId="188" formatCode="&quot;$&quot;\ #,##0.00;[Red]&quot;$&quot;\ #,##0.00"/>
    <numFmt numFmtId="189" formatCode="&quot;$&quot;\ #,##0.00"/>
    <numFmt numFmtId="191" formatCode="&quot;$&quot;#,##0.00;[Red]&quot;$&quot;#,##0.00"/>
  </numFmts>
  <fonts count="47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sz val="11"/>
      <color indexed="9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sz val="11"/>
      <name val="Arial"/>
      <family val="2"/>
    </font>
    <font>
      <sz val="10"/>
      <name val="Times New Roman"/>
      <family val="1"/>
    </font>
    <font>
      <b/>
      <u/>
      <sz val="11"/>
      <name val="Arial"/>
      <family val="2"/>
    </font>
    <font>
      <b/>
      <vertAlign val="superscript"/>
      <sz val="10"/>
      <name val="Arial"/>
      <family val="2"/>
    </font>
    <font>
      <sz val="10"/>
      <color indexed="9"/>
      <name val="Arial"/>
      <family val="2"/>
    </font>
    <font>
      <sz val="12"/>
      <color indexed="56"/>
      <name val="Arial"/>
      <family val="2"/>
    </font>
    <font>
      <b/>
      <sz val="12"/>
      <name val="Arial"/>
      <family val="2"/>
    </font>
    <font>
      <b/>
      <sz val="10"/>
      <color indexed="56"/>
      <name val="Arial"/>
      <family val="2"/>
    </font>
    <font>
      <sz val="11"/>
      <color indexed="56"/>
      <name val="Arial"/>
      <family val="2"/>
    </font>
    <font>
      <u/>
      <sz val="11"/>
      <name val="Arial"/>
      <family val="2"/>
    </font>
    <font>
      <b/>
      <i/>
      <sz val="1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24"/>
      <name val="Arial"/>
      <family val="2"/>
    </font>
    <font>
      <b/>
      <sz val="16"/>
      <name val="Arial"/>
      <family val="2"/>
    </font>
    <font>
      <sz val="10"/>
      <color indexed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2" fillId="23" borderId="4" applyNumberFormat="0" applyFont="0" applyAlignment="0" applyProtection="0"/>
    <xf numFmtId="9" fontId="1" fillId="0" borderId="0" applyFont="0" applyFill="0" applyBorder="0" applyAlignment="0" applyProtection="0"/>
    <xf numFmtId="0" fontId="13" fillId="1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8" fillId="0" borderId="8" applyNumberFormat="0" applyFill="0" applyAlignment="0" applyProtection="0"/>
    <xf numFmtId="0" fontId="19" fillId="0" borderId="9" applyNumberFormat="0" applyFill="0" applyAlignment="0" applyProtection="0"/>
  </cellStyleXfs>
  <cellXfs count="451">
    <xf numFmtId="0" fontId="0" fillId="0" borderId="0" xfId="0"/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0" fillId="0" borderId="0" xfId="0" applyFont="1"/>
    <xf numFmtId="4" fontId="20" fillId="0" borderId="0" xfId="0" applyNumberFormat="1" applyFont="1" applyAlignment="1">
      <alignment horizontal="center"/>
    </xf>
    <xf numFmtId="0" fontId="20" fillId="0" borderId="0" xfId="0" applyFont="1" applyBorder="1"/>
    <xf numFmtId="4" fontId="0" fillId="0" borderId="10" xfId="0" applyNumberFormat="1" applyBorder="1"/>
    <xf numFmtId="0" fontId="0" fillId="0" borderId="0" xfId="0" applyBorder="1"/>
    <xf numFmtId="10" fontId="0" fillId="0" borderId="10" xfId="0" applyNumberFormat="1" applyBorder="1"/>
    <xf numFmtId="0" fontId="0" fillId="0" borderId="0" xfId="0" quotePrefix="1"/>
    <xf numFmtId="0" fontId="20" fillId="0" borderId="0" xfId="0" applyFont="1" applyAlignment="1">
      <alignment horizontal="right"/>
    </xf>
    <xf numFmtId="4" fontId="20" fillId="0" borderId="11" xfId="0" applyNumberFormat="1" applyFont="1" applyBorder="1"/>
    <xf numFmtId="10" fontId="20" fillId="0" borderId="11" xfId="0" applyNumberFormat="1" applyFont="1" applyBorder="1"/>
    <xf numFmtId="4" fontId="0" fillId="0" borderId="0" xfId="0" applyNumberFormat="1"/>
    <xf numFmtId="10" fontId="0" fillId="0" borderId="0" xfId="0" applyNumberFormat="1"/>
    <xf numFmtId="0" fontId="12" fillId="0" borderId="0" xfId="0" quotePrefix="1" applyFont="1" applyAlignment="1">
      <alignment vertical="justify"/>
    </xf>
    <xf numFmtId="0" fontId="0" fillId="0" borderId="0" xfId="0" quotePrefix="1" applyAlignment="1">
      <alignment vertical="justify"/>
    </xf>
    <xf numFmtId="0" fontId="20" fillId="0" borderId="0" xfId="0" applyFont="1" applyAlignment="1">
      <alignment vertical="justify"/>
    </xf>
    <xf numFmtId="9" fontId="20" fillId="0" borderId="0" xfId="0" applyNumberFormat="1" applyFont="1"/>
    <xf numFmtId="0" fontId="0" fillId="0" borderId="0" xfId="0" applyAlignment="1">
      <alignment vertical="justify"/>
    </xf>
    <xf numFmtId="4" fontId="0" fillId="0" borderId="0" xfId="0" applyNumberFormat="1" applyBorder="1"/>
    <xf numFmtId="10" fontId="0" fillId="0" borderId="0" xfId="0" applyNumberFormat="1" applyBorder="1"/>
    <xf numFmtId="0" fontId="0" fillId="0" borderId="0" xfId="0" quotePrefix="1" applyAlignment="1">
      <alignment vertical="center"/>
    </xf>
    <xf numFmtId="9" fontId="20" fillId="0" borderId="0" xfId="0" applyNumberFormat="1" applyFont="1" applyAlignment="1">
      <alignment vertical="center"/>
    </xf>
    <xf numFmtId="4" fontId="0" fillId="0" borderId="1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10" fontId="0" fillId="0" borderId="10" xfId="0" applyNumberFormat="1" applyBorder="1" applyAlignment="1">
      <alignment vertical="center"/>
    </xf>
    <xf numFmtId="0" fontId="0" fillId="0" borderId="0" xfId="0" applyAlignment="1">
      <alignment vertical="center"/>
    </xf>
    <xf numFmtId="4" fontId="0" fillId="0" borderId="10" xfId="0" applyNumberFormat="1" applyFill="1" applyBorder="1" applyAlignment="1">
      <alignment vertical="center"/>
    </xf>
    <xf numFmtId="4" fontId="20" fillId="0" borderId="0" xfId="0" applyNumberFormat="1" applyFont="1" applyBorder="1"/>
    <xf numFmtId="10" fontId="20" fillId="0" borderId="0" xfId="0" applyNumberFormat="1" applyFont="1" applyBorder="1"/>
    <xf numFmtId="10" fontId="1" fillId="0" borderId="0" xfId="34" applyNumberFormat="1"/>
    <xf numFmtId="10" fontId="1" fillId="0" borderId="0" xfId="34" applyNumberFormat="1" applyBorder="1"/>
    <xf numFmtId="0" fontId="22" fillId="0" borderId="0" xfId="0" applyFont="1" applyAlignment="1">
      <alignment horizontal="center"/>
    </xf>
    <xf numFmtId="0" fontId="22" fillId="0" borderId="0" xfId="0" applyFont="1" applyAlignment="1"/>
    <xf numFmtId="0" fontId="23" fillId="0" borderId="0" xfId="0" applyFont="1"/>
    <xf numFmtId="0" fontId="24" fillId="0" borderId="0" xfId="0" applyFont="1"/>
    <xf numFmtId="0" fontId="24" fillId="0" borderId="0" xfId="0" applyFont="1" applyAlignment="1">
      <alignment horizontal="center"/>
    </xf>
    <xf numFmtId="4" fontId="24" fillId="0" borderId="0" xfId="0" applyNumberFormat="1" applyFont="1"/>
    <xf numFmtId="0" fontId="24" fillId="0" borderId="0" xfId="0" applyFont="1" applyBorder="1"/>
    <xf numFmtId="0" fontId="25" fillId="0" borderId="12" xfId="0" applyFont="1" applyBorder="1" applyAlignment="1">
      <alignment horizontal="left" vertical="center"/>
    </xf>
    <xf numFmtId="0" fontId="26" fillId="0" borderId="13" xfId="0" applyFont="1" applyBorder="1" applyAlignment="1">
      <alignment vertical="center"/>
    </xf>
    <xf numFmtId="0" fontId="26" fillId="24" borderId="13" xfId="0" applyFont="1" applyFill="1" applyBorder="1" applyAlignment="1">
      <alignment horizontal="center" vertical="center"/>
    </xf>
    <xf numFmtId="0" fontId="26" fillId="24" borderId="14" xfId="0" applyFont="1" applyFill="1" applyBorder="1" applyAlignment="1">
      <alignment horizontal="center" vertical="center"/>
    </xf>
    <xf numFmtId="4" fontId="25" fillId="0" borderId="15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16" xfId="0" applyFont="1" applyBorder="1" applyAlignment="1">
      <alignment vertical="center"/>
    </xf>
    <xf numFmtId="0" fontId="25" fillId="0" borderId="17" xfId="0" applyFont="1" applyBorder="1" applyAlignment="1">
      <alignment vertical="center"/>
    </xf>
    <xf numFmtId="0" fontId="26" fillId="0" borderId="17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4" fontId="26" fillId="0" borderId="19" xfId="0" applyNumberFormat="1" applyFont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7" fillId="0" borderId="21" xfId="0" applyFont="1" applyBorder="1" applyAlignment="1">
      <alignment vertical="center" wrapText="1"/>
    </xf>
    <xf numFmtId="3" fontId="27" fillId="0" borderId="22" xfId="0" applyNumberFormat="1" applyFont="1" applyBorder="1" applyAlignment="1">
      <alignment horizontal="center" vertical="center" wrapText="1"/>
    </xf>
    <xf numFmtId="3" fontId="27" fillId="0" borderId="23" xfId="0" applyNumberFormat="1" applyFont="1" applyBorder="1" applyAlignment="1">
      <alignment horizontal="center" vertical="center" wrapText="1"/>
    </xf>
    <xf numFmtId="4" fontId="26" fillId="0" borderId="24" xfId="0" applyNumberFormat="1" applyFont="1" applyBorder="1" applyAlignment="1">
      <alignment vertical="center"/>
    </xf>
    <xf numFmtId="0" fontId="28" fillId="0" borderId="0" xfId="0" applyFont="1" applyAlignment="1">
      <alignment vertical="center"/>
    </xf>
    <xf numFmtId="0" fontId="26" fillId="0" borderId="21" xfId="0" applyFont="1" applyBorder="1" applyAlignment="1">
      <alignment vertical="center" wrapText="1"/>
    </xf>
    <xf numFmtId="3" fontId="27" fillId="25" borderId="22" xfId="0" applyNumberFormat="1" applyFont="1" applyFill="1" applyBorder="1" applyAlignment="1">
      <alignment horizontal="center" vertical="center" wrapText="1"/>
    </xf>
    <xf numFmtId="0" fontId="29" fillId="0" borderId="25" xfId="0" applyFont="1" applyBorder="1" applyAlignment="1">
      <alignment horizontal="right" vertical="center"/>
    </xf>
    <xf numFmtId="0" fontId="29" fillId="0" borderId="26" xfId="0" applyFont="1" applyBorder="1" applyAlignment="1">
      <alignment horizontal="right" vertical="center"/>
    </xf>
    <xf numFmtId="0" fontId="30" fillId="0" borderId="27" xfId="0" applyFont="1" applyBorder="1" applyAlignment="1">
      <alignment horizontal="right" vertical="center"/>
    </xf>
    <xf numFmtId="189" fontId="25" fillId="0" borderId="28" xfId="0" applyNumberFormat="1" applyFont="1" applyBorder="1" applyAlignment="1">
      <alignment vertical="center"/>
    </xf>
    <xf numFmtId="0" fontId="31" fillId="0" borderId="0" xfId="0" applyFont="1" applyBorder="1"/>
    <xf numFmtId="0" fontId="24" fillId="0" borderId="0" xfId="0" applyFont="1" applyBorder="1" applyAlignment="1">
      <alignment horizontal="center"/>
    </xf>
    <xf numFmtId="4" fontId="24" fillId="0" borderId="0" xfId="0" applyNumberFormat="1" applyFont="1" applyBorder="1"/>
    <xf numFmtId="0" fontId="23" fillId="0" borderId="0" xfId="0" applyFont="1" applyBorder="1"/>
    <xf numFmtId="0" fontId="26" fillId="0" borderId="26" xfId="0" applyFont="1" applyBorder="1" applyAlignment="1">
      <alignment horizontal="center" vertical="center"/>
    </xf>
    <xf numFmtId="4" fontId="25" fillId="0" borderId="28" xfId="0" applyNumberFormat="1" applyFont="1" applyBorder="1" applyAlignment="1">
      <alignment horizontal="center" vertical="center"/>
    </xf>
    <xf numFmtId="0" fontId="26" fillId="0" borderId="16" xfId="0" applyFont="1" applyBorder="1" applyAlignment="1">
      <alignment vertical="center"/>
    </xf>
    <xf numFmtId="0" fontId="26" fillId="0" borderId="18" xfId="0" applyFont="1" applyBorder="1" applyAlignment="1">
      <alignment vertical="center"/>
    </xf>
    <xf numFmtId="0" fontId="26" fillId="0" borderId="10" xfId="0" applyFont="1" applyBorder="1" applyAlignment="1">
      <alignment horizontal="center" vertical="center"/>
    </xf>
    <xf numFmtId="4" fontId="26" fillId="0" borderId="29" xfId="0" applyNumberFormat="1" applyFont="1" applyBorder="1" applyAlignment="1">
      <alignment vertical="center"/>
    </xf>
    <xf numFmtId="0" fontId="26" fillId="0" borderId="30" xfId="0" applyFont="1" applyFill="1" applyBorder="1" applyAlignment="1">
      <alignment vertical="center"/>
    </xf>
    <xf numFmtId="0" fontId="26" fillId="0" borderId="23" xfId="0" applyFont="1" applyFill="1" applyBorder="1" applyAlignment="1">
      <alignment vertical="center"/>
    </xf>
    <xf numFmtId="0" fontId="26" fillId="0" borderId="31" xfId="0" applyFont="1" applyFill="1" applyBorder="1" applyAlignment="1">
      <alignment horizontal="center" vertical="center"/>
    </xf>
    <xf numFmtId="4" fontId="26" fillId="0" borderId="32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6" fillId="0" borderId="30" xfId="0" applyFont="1" applyBorder="1" applyAlignment="1">
      <alignment vertical="center"/>
    </xf>
    <xf numFmtId="0" fontId="26" fillId="0" borderId="31" xfId="0" applyFont="1" applyBorder="1" applyAlignment="1">
      <alignment horizontal="center" vertical="center"/>
    </xf>
    <xf numFmtId="4" fontId="26" fillId="0" borderId="32" xfId="0" applyNumberFormat="1" applyFont="1" applyBorder="1" applyAlignment="1">
      <alignment vertical="center"/>
    </xf>
    <xf numFmtId="0" fontId="26" fillId="0" borderId="33" xfId="0" applyFont="1" applyBorder="1" applyAlignment="1">
      <alignment vertical="center"/>
    </xf>
    <xf numFmtId="0" fontId="26" fillId="0" borderId="34" xfId="0" applyFont="1" applyFill="1" applyBorder="1" applyAlignment="1">
      <alignment vertical="center"/>
    </xf>
    <xf numFmtId="0" fontId="26" fillId="0" borderId="35" xfId="0" applyFont="1" applyBorder="1" applyAlignment="1">
      <alignment horizontal="center" vertical="center"/>
    </xf>
    <xf numFmtId="4" fontId="26" fillId="0" borderId="36" xfId="0" applyNumberFormat="1" applyFont="1" applyBorder="1" applyAlignment="1">
      <alignment vertical="center"/>
    </xf>
    <xf numFmtId="0" fontId="26" fillId="0" borderId="37" xfId="0" applyFont="1" applyBorder="1" applyAlignment="1">
      <alignment vertical="center"/>
    </xf>
    <xf numFmtId="0" fontId="26" fillId="0" borderId="38" xfId="0" applyFont="1" applyFill="1" applyBorder="1" applyAlignment="1">
      <alignment vertical="center"/>
    </xf>
    <xf numFmtId="0" fontId="26" fillId="0" borderId="11" xfId="0" applyFont="1" applyBorder="1" applyAlignment="1">
      <alignment vertical="center"/>
    </xf>
    <xf numFmtId="4" fontId="26" fillId="0" borderId="39" xfId="0" applyNumberFormat="1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4" fontId="26" fillId="0" borderId="0" xfId="0" applyNumberFormat="1" applyFont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4" fontId="25" fillId="0" borderId="28" xfId="0" applyNumberFormat="1" applyFont="1" applyBorder="1" applyAlignment="1">
      <alignment vertical="center"/>
    </xf>
    <xf numFmtId="0" fontId="26" fillId="0" borderId="0" xfId="0" applyFont="1" applyBorder="1"/>
    <xf numFmtId="0" fontId="32" fillId="0" borderId="0" xfId="0" applyFont="1" applyBorder="1"/>
    <xf numFmtId="0" fontId="26" fillId="0" borderId="0" xfId="0" applyFont="1" applyBorder="1" applyAlignment="1">
      <alignment horizontal="center"/>
    </xf>
    <xf numFmtId="4" fontId="26" fillId="0" borderId="0" xfId="0" applyNumberFormat="1" applyFont="1" applyBorder="1"/>
    <xf numFmtId="0" fontId="31" fillId="0" borderId="0" xfId="0" applyFont="1" applyAlignment="1">
      <alignment horizontal="center"/>
    </xf>
    <xf numFmtId="0" fontId="33" fillId="0" borderId="40" xfId="0" applyFont="1" applyBorder="1" applyAlignment="1">
      <alignment horizontal="center"/>
    </xf>
    <xf numFmtId="0" fontId="31" fillId="0" borderId="41" xfId="0" applyFont="1" applyBorder="1" applyAlignment="1">
      <alignment horizontal="center"/>
    </xf>
    <xf numFmtId="0" fontId="33" fillId="0" borderId="41" xfId="0" applyFont="1" applyBorder="1" applyAlignment="1">
      <alignment horizontal="center"/>
    </xf>
    <xf numFmtId="0" fontId="33" fillId="0" borderId="42" xfId="0" applyFont="1" applyBorder="1" applyAlignment="1">
      <alignment horizontal="center"/>
    </xf>
    <xf numFmtId="0" fontId="24" fillId="0" borderId="22" xfId="0" applyFont="1" applyBorder="1"/>
    <xf numFmtId="3" fontId="24" fillId="0" borderId="22" xfId="0" applyNumberFormat="1" applyFont="1" applyFill="1" applyBorder="1"/>
    <xf numFmtId="2" fontId="24" fillId="0" borderId="22" xfId="0" applyNumberFormat="1" applyFont="1" applyBorder="1"/>
    <xf numFmtId="187" fontId="24" fillId="0" borderId="22" xfId="0" applyNumberFormat="1" applyFont="1" applyBorder="1" applyAlignment="1">
      <alignment horizontal="center"/>
    </xf>
    <xf numFmtId="0" fontId="28" fillId="0" borderId="0" xfId="0" applyFont="1"/>
    <xf numFmtId="0" fontId="31" fillId="0" borderId="22" xfId="0" applyFont="1" applyBorder="1"/>
    <xf numFmtId="187" fontId="31" fillId="0" borderId="22" xfId="0" applyNumberFormat="1" applyFont="1" applyBorder="1" applyAlignment="1">
      <alignment horizontal="center"/>
    </xf>
    <xf numFmtId="2" fontId="24" fillId="0" borderId="0" xfId="0" applyNumberFormat="1" applyFont="1"/>
    <xf numFmtId="187" fontId="24" fillId="0" borderId="0" xfId="0" applyNumberFormat="1" applyFont="1" applyAlignment="1">
      <alignment horizontal="center"/>
    </xf>
    <xf numFmtId="2" fontId="31" fillId="0" borderId="0" xfId="0" applyNumberFormat="1" applyFont="1"/>
    <xf numFmtId="0" fontId="31" fillId="0" borderId="0" xfId="0" applyFont="1" applyBorder="1" applyAlignment="1">
      <alignment horizontal="left"/>
    </xf>
    <xf numFmtId="4" fontId="31" fillId="0" borderId="0" xfId="0" applyNumberFormat="1" applyFont="1" applyBorder="1" applyAlignment="1">
      <alignment horizontal="center"/>
    </xf>
    <xf numFmtId="4" fontId="31" fillId="0" borderId="0" xfId="0" applyNumberFormat="1" applyFont="1" applyAlignment="1">
      <alignment horizontal="center"/>
    </xf>
    <xf numFmtId="0" fontId="31" fillId="0" borderId="0" xfId="0" applyFont="1" applyBorder="1" applyAlignment="1">
      <alignment horizontal="center"/>
    </xf>
    <xf numFmtId="0" fontId="31" fillId="0" borderId="23" xfId="0" applyFont="1" applyBorder="1"/>
    <xf numFmtId="0" fontId="31" fillId="0" borderId="21" xfId="0" applyFont="1" applyBorder="1"/>
    <xf numFmtId="3" fontId="24" fillId="0" borderId="21" xfId="0" applyNumberFormat="1" applyFont="1" applyBorder="1" applyAlignment="1">
      <alignment horizontal="center"/>
    </xf>
    <xf numFmtId="4" fontId="24" fillId="0" borderId="22" xfId="0" applyNumberFormat="1" applyFont="1" applyBorder="1"/>
    <xf numFmtId="10" fontId="24" fillId="0" borderId="22" xfId="0" applyNumberFormat="1" applyFont="1" applyBorder="1" applyAlignment="1">
      <alignment horizontal="center"/>
    </xf>
    <xf numFmtId="0" fontId="31" fillId="0" borderId="23" xfId="0" applyFont="1" applyFill="1" applyBorder="1"/>
    <xf numFmtId="0" fontId="31" fillId="0" borderId="21" xfId="0" applyFont="1" applyFill="1" applyBorder="1"/>
    <xf numFmtId="4" fontId="24" fillId="0" borderId="21" xfId="0" applyNumberFormat="1" applyFont="1" applyBorder="1" applyAlignment="1">
      <alignment horizontal="center"/>
    </xf>
    <xf numFmtId="0" fontId="24" fillId="0" borderId="23" xfId="0" applyFont="1" applyFill="1" applyBorder="1"/>
    <xf numFmtId="0" fontId="24" fillId="0" borderId="21" xfId="0" applyFont="1" applyFill="1" applyBorder="1"/>
    <xf numFmtId="4" fontId="24" fillId="0" borderId="21" xfId="0" applyNumberFormat="1" applyFont="1" applyBorder="1"/>
    <xf numFmtId="0" fontId="24" fillId="0" borderId="23" xfId="0" applyFont="1" applyBorder="1"/>
    <xf numFmtId="0" fontId="24" fillId="0" borderId="21" xfId="0" applyFont="1" applyBorder="1"/>
    <xf numFmtId="0" fontId="31" fillId="0" borderId="22" xfId="0" applyFont="1" applyBorder="1" applyAlignment="1">
      <alignment horizontal="center"/>
    </xf>
    <xf numFmtId="4" fontId="31" fillId="0" borderId="22" xfId="0" applyNumberFormat="1" applyFont="1" applyBorder="1"/>
    <xf numFmtId="10" fontId="31" fillId="0" borderId="22" xfId="0" applyNumberFormat="1" applyFont="1" applyBorder="1" applyAlignment="1">
      <alignment horizontal="center"/>
    </xf>
    <xf numFmtId="4" fontId="31" fillId="0" borderId="0" xfId="0" applyNumberFormat="1" applyFont="1" applyBorder="1"/>
    <xf numFmtId="10" fontId="31" fillId="0" borderId="0" xfId="0" applyNumberFormat="1" applyFont="1" applyBorder="1"/>
    <xf numFmtId="0" fontId="31" fillId="0" borderId="0" xfId="0" applyFont="1"/>
    <xf numFmtId="3" fontId="31" fillId="0" borderId="0" xfId="0" applyNumberFormat="1" applyFont="1"/>
    <xf numFmtId="191" fontId="31" fillId="0" borderId="0" xfId="0" applyNumberFormat="1" applyFont="1"/>
    <xf numFmtId="0" fontId="12" fillId="0" borderId="0" xfId="0" applyFont="1"/>
    <xf numFmtId="0" fontId="12" fillId="0" borderId="0" xfId="0" applyFont="1" applyAlignment="1">
      <alignment vertical="justify"/>
    </xf>
    <xf numFmtId="0" fontId="20" fillId="0" borderId="40" xfId="0" applyFont="1" applyBorder="1" applyAlignment="1">
      <alignment horizontal="center"/>
    </xf>
    <xf numFmtId="4" fontId="20" fillId="0" borderId="43" xfId="0" applyNumberFormat="1" applyFont="1" applyBorder="1" applyAlignment="1">
      <alignment horizontal="center"/>
    </xf>
    <xf numFmtId="4" fontId="20" fillId="0" borderId="44" xfId="0" applyNumberFormat="1" applyFont="1" applyBorder="1" applyAlignment="1">
      <alignment horizontal="center"/>
    </xf>
    <xf numFmtId="0" fontId="20" fillId="0" borderId="45" xfId="0" applyFont="1" applyBorder="1" applyAlignment="1">
      <alignment horizontal="center"/>
    </xf>
    <xf numFmtId="4" fontId="20" fillId="0" borderId="45" xfId="0" applyNumberFormat="1" applyFont="1" applyBorder="1" applyAlignment="1">
      <alignment horizontal="center"/>
    </xf>
    <xf numFmtId="4" fontId="20" fillId="0" borderId="46" xfId="0" applyNumberFormat="1" applyFont="1" applyBorder="1" applyAlignment="1">
      <alignment horizontal="center"/>
    </xf>
    <xf numFmtId="0" fontId="20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4" fontId="12" fillId="0" borderId="13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40" xfId="0" applyFont="1" applyBorder="1" applyAlignment="1">
      <alignment vertical="justify"/>
    </xf>
    <xf numFmtId="0" fontId="12" fillId="0" borderId="41" xfId="0" applyFont="1" applyBorder="1" applyAlignment="1">
      <alignment horizontal="center"/>
    </xf>
    <xf numFmtId="4" fontId="12" fillId="0" borderId="41" xfId="0" applyNumberFormat="1" applyFont="1" applyBorder="1"/>
    <xf numFmtId="4" fontId="12" fillId="0" borderId="42" xfId="0" applyNumberFormat="1" applyFont="1" applyBorder="1"/>
    <xf numFmtId="0" fontId="20" fillId="0" borderId="12" xfId="0" applyFont="1" applyBorder="1" applyAlignment="1">
      <alignment horizontal="left" vertical="center"/>
    </xf>
    <xf numFmtId="0" fontId="12" fillId="25" borderId="13" xfId="0" applyFont="1" applyFill="1" applyBorder="1" applyAlignment="1">
      <alignment horizontal="center" vertical="center"/>
    </xf>
    <xf numFmtId="0" fontId="12" fillId="0" borderId="16" xfId="0" applyFont="1" applyBorder="1" applyAlignment="1">
      <alignment vertical="justify"/>
    </xf>
    <xf numFmtId="0" fontId="12" fillId="0" borderId="17" xfId="0" applyFont="1" applyBorder="1" applyAlignment="1">
      <alignment horizontal="center"/>
    </xf>
    <xf numFmtId="4" fontId="12" fillId="0" borderId="17" xfId="0" applyNumberFormat="1" applyFont="1" applyBorder="1"/>
    <xf numFmtId="4" fontId="12" fillId="0" borderId="19" xfId="0" applyNumberFormat="1" applyFont="1" applyBorder="1"/>
    <xf numFmtId="0" fontId="12" fillId="0" borderId="30" xfId="0" applyFont="1" applyBorder="1" applyAlignment="1">
      <alignment vertical="center"/>
    </xf>
    <xf numFmtId="0" fontId="12" fillId="0" borderId="22" xfId="0" applyFont="1" applyBorder="1" applyAlignment="1">
      <alignment horizontal="center" vertical="center"/>
    </xf>
    <xf numFmtId="4" fontId="12" fillId="0" borderId="22" xfId="0" applyNumberFormat="1" applyFont="1" applyBorder="1" applyAlignment="1">
      <alignment vertical="center"/>
    </xf>
    <xf numFmtId="4" fontId="12" fillId="0" borderId="24" xfId="0" applyNumberFormat="1" applyFont="1" applyBorder="1" applyAlignment="1">
      <alignment vertical="center"/>
    </xf>
    <xf numFmtId="4" fontId="12" fillId="0" borderId="0" xfId="0" applyNumberFormat="1" applyFont="1" applyAlignment="1">
      <alignment vertical="center"/>
    </xf>
    <xf numFmtId="0" fontId="35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12" fillId="0" borderId="33" xfId="0" applyFont="1" applyFill="1" applyBorder="1" applyAlignment="1">
      <alignment vertical="justify"/>
    </xf>
    <xf numFmtId="0" fontId="12" fillId="0" borderId="47" xfId="0" applyFont="1" applyBorder="1" applyAlignment="1">
      <alignment horizontal="center"/>
    </xf>
    <xf numFmtId="4" fontId="12" fillId="0" borderId="47" xfId="0" applyNumberFormat="1" applyFont="1" applyBorder="1"/>
    <xf numFmtId="4" fontId="12" fillId="0" borderId="48" xfId="0" applyNumberFormat="1" applyFont="1" applyBorder="1"/>
    <xf numFmtId="4" fontId="20" fillId="0" borderId="27" xfId="0" applyNumberFormat="1" applyFont="1" applyBorder="1" applyAlignment="1">
      <alignment vertical="center"/>
    </xf>
    <xf numFmtId="0" fontId="12" fillId="0" borderId="0" xfId="0" applyFont="1" applyAlignment="1">
      <alignment horizontal="center"/>
    </xf>
    <xf numFmtId="4" fontId="12" fillId="0" borderId="0" xfId="0" applyNumberFormat="1" applyFont="1"/>
    <xf numFmtId="2" fontId="22" fillId="0" borderId="0" xfId="0" applyNumberFormat="1" applyFont="1" applyAlignment="1">
      <alignment horizontal="center"/>
    </xf>
    <xf numFmtId="0" fontId="31" fillId="0" borderId="14" xfId="0" applyFont="1" applyBorder="1" applyAlignment="1">
      <alignment horizontal="center" vertical="center"/>
    </xf>
    <xf numFmtId="0" fontId="31" fillId="0" borderId="51" xfId="0" applyFont="1" applyBorder="1" applyAlignment="1">
      <alignment horizontal="center" vertical="center"/>
    </xf>
    <xf numFmtId="0" fontId="31" fillId="0" borderId="52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6" fillId="0" borderId="20" xfId="0" applyFont="1" applyBorder="1" applyAlignment="1">
      <alignment horizontal="justify" vertical="center"/>
    </xf>
    <xf numFmtId="3" fontId="24" fillId="25" borderId="32" xfId="0" applyNumberFormat="1" applyFont="1" applyFill="1" applyBorder="1" applyAlignment="1">
      <alignment horizontal="right" vertical="center"/>
    </xf>
    <xf numFmtId="0" fontId="24" fillId="0" borderId="29" xfId="0" applyFont="1" applyBorder="1" applyAlignment="1">
      <alignment horizontal="center" vertical="center"/>
    </xf>
    <xf numFmtId="2" fontId="24" fillId="0" borderId="17" xfId="0" applyNumberFormat="1" applyFont="1" applyFill="1" applyBorder="1" applyAlignment="1">
      <alignment vertical="center"/>
    </xf>
    <xf numFmtId="4" fontId="24" fillId="0" borderId="18" xfId="0" applyNumberFormat="1" applyFont="1" applyBorder="1" applyAlignment="1">
      <alignment vertical="center"/>
    </xf>
    <xf numFmtId="4" fontId="24" fillId="0" borderId="29" xfId="0" applyNumberFormat="1" applyFont="1" applyBorder="1" applyAlignment="1">
      <alignment vertical="center"/>
    </xf>
    <xf numFmtId="10" fontId="24" fillId="0" borderId="0" xfId="0" applyNumberFormat="1" applyFont="1" applyBorder="1" applyAlignment="1">
      <alignment vertical="center"/>
    </xf>
    <xf numFmtId="0" fontId="24" fillId="0" borderId="32" xfId="0" applyFont="1" applyBorder="1" applyAlignment="1">
      <alignment horizontal="center" vertical="center"/>
    </xf>
    <xf numFmtId="2" fontId="24" fillId="0" borderId="22" xfId="0" applyNumberFormat="1" applyFont="1" applyFill="1" applyBorder="1" applyAlignment="1">
      <alignment vertical="center"/>
    </xf>
    <xf numFmtId="4" fontId="24" fillId="0" borderId="32" xfId="0" applyNumberFormat="1" applyFont="1" applyBorder="1" applyAlignment="1">
      <alignment vertical="center"/>
    </xf>
    <xf numFmtId="0" fontId="36" fillId="0" borderId="53" xfId="0" applyFont="1" applyBorder="1" applyAlignment="1">
      <alignment horizontal="justify" vertical="center"/>
    </xf>
    <xf numFmtId="1" fontId="24" fillId="0" borderId="32" xfId="0" applyNumberFormat="1" applyFont="1" applyFill="1" applyBorder="1" applyAlignment="1">
      <alignment horizontal="right" vertical="center"/>
    </xf>
    <xf numFmtId="2" fontId="24" fillId="0" borderId="21" xfId="0" applyNumberFormat="1" applyFont="1" applyFill="1" applyBorder="1" applyAlignment="1">
      <alignment vertical="center"/>
    </xf>
    <xf numFmtId="0" fontId="36" fillId="0" borderId="43" xfId="0" applyFont="1" applyBorder="1" applyAlignment="1">
      <alignment horizontal="justify" vertical="center"/>
    </xf>
    <xf numFmtId="2" fontId="24" fillId="0" borderId="54" xfId="0" applyNumberFormat="1" applyFont="1" applyFill="1" applyBorder="1" applyAlignment="1">
      <alignment vertical="center"/>
    </xf>
    <xf numFmtId="0" fontId="24" fillId="0" borderId="55" xfId="0" applyFont="1" applyBorder="1" applyAlignment="1">
      <alignment horizontal="center" vertical="center"/>
    </xf>
    <xf numFmtId="2" fontId="24" fillId="0" borderId="0" xfId="0" applyNumberFormat="1" applyFont="1" applyFill="1" applyAlignment="1">
      <alignment vertical="center"/>
    </xf>
    <xf numFmtId="0" fontId="37" fillId="0" borderId="25" xfId="0" applyFont="1" applyBorder="1" applyAlignment="1">
      <alignment vertical="center"/>
    </xf>
    <xf numFmtId="3" fontId="37" fillId="0" borderId="28" xfId="0" applyNumberFormat="1" applyFont="1" applyFill="1" applyBorder="1" applyAlignment="1">
      <alignment vertical="center"/>
    </xf>
    <xf numFmtId="0" fontId="37" fillId="0" borderId="28" xfId="0" applyFont="1" applyBorder="1" applyAlignment="1">
      <alignment vertical="center"/>
    </xf>
    <xf numFmtId="0" fontId="37" fillId="0" borderId="13" xfId="0" applyFont="1" applyBorder="1" applyAlignment="1">
      <alignment vertical="center"/>
    </xf>
    <xf numFmtId="4" fontId="37" fillId="0" borderId="15" xfId="0" applyNumberFormat="1" applyFont="1" applyBorder="1" applyAlignment="1">
      <alignment vertical="center"/>
    </xf>
    <xf numFmtId="4" fontId="37" fillId="0" borderId="56" xfId="0" applyNumberFormat="1" applyFont="1" applyBorder="1" applyAlignment="1">
      <alignment vertical="center"/>
    </xf>
    <xf numFmtId="0" fontId="37" fillId="0" borderId="0" xfId="0" applyFont="1" applyAlignment="1">
      <alignment vertical="center"/>
    </xf>
    <xf numFmtId="2" fontId="20" fillId="0" borderId="28" xfId="0" applyNumberFormat="1" applyFont="1" applyFill="1" applyBorder="1" applyAlignment="1">
      <alignment horizontal="center" vertical="center"/>
    </xf>
    <xf numFmtId="2" fontId="20" fillId="0" borderId="26" xfId="0" applyNumberFormat="1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center" vertical="justify"/>
    </xf>
    <xf numFmtId="0" fontId="20" fillId="0" borderId="0" xfId="0" applyFont="1" applyFill="1" applyAlignment="1">
      <alignment vertical="center"/>
    </xf>
    <xf numFmtId="1" fontId="24" fillId="0" borderId="49" xfId="0" applyNumberFormat="1" applyFont="1" applyFill="1" applyBorder="1" applyAlignment="1">
      <alignment horizontal="center" vertical="center"/>
    </xf>
    <xf numFmtId="2" fontId="24" fillId="0" borderId="10" xfId="0" applyNumberFormat="1" applyFont="1" applyBorder="1" applyAlignment="1">
      <alignment horizontal="center" vertical="center"/>
    </xf>
    <xf numFmtId="4" fontId="24" fillId="0" borderId="29" xfId="0" applyNumberFormat="1" applyFont="1" applyBorder="1" applyAlignment="1">
      <alignment horizontal="right" vertical="center"/>
    </xf>
    <xf numFmtId="1" fontId="24" fillId="0" borderId="32" xfId="0" applyNumberFormat="1" applyFont="1" applyFill="1" applyBorder="1" applyAlignment="1">
      <alignment horizontal="center" vertical="center"/>
    </xf>
    <xf numFmtId="2" fontId="24" fillId="0" borderId="31" xfId="0" applyNumberFormat="1" applyFont="1" applyBorder="1" applyAlignment="1">
      <alignment horizontal="center" vertical="center"/>
    </xf>
    <xf numFmtId="4" fontId="24" fillId="0" borderId="32" xfId="0" applyNumberFormat="1" applyFont="1" applyBorder="1" applyAlignment="1">
      <alignment horizontal="right" vertical="center"/>
    </xf>
    <xf numFmtId="1" fontId="24" fillId="0" borderId="36" xfId="0" applyNumberFormat="1" applyFont="1" applyFill="1" applyBorder="1" applyAlignment="1">
      <alignment horizontal="center" vertical="center"/>
    </xf>
    <xf numFmtId="2" fontId="24" fillId="0" borderId="35" xfId="0" applyNumberFormat="1" applyFont="1" applyBorder="1" applyAlignment="1">
      <alignment horizontal="center" vertical="center"/>
    </xf>
    <xf numFmtId="4" fontId="24" fillId="0" borderId="36" xfId="0" applyNumberFormat="1" applyFont="1" applyBorder="1" applyAlignment="1">
      <alignment horizontal="right" vertical="center"/>
    </xf>
    <xf numFmtId="4" fontId="24" fillId="0" borderId="55" xfId="0" applyNumberFormat="1" applyFont="1" applyBorder="1" applyAlignment="1">
      <alignment horizontal="right" vertical="center"/>
    </xf>
    <xf numFmtId="0" fontId="39" fillId="0" borderId="33" xfId="0" applyFont="1" applyBorder="1" applyAlignment="1">
      <alignment horizontal="left" vertical="center"/>
    </xf>
    <xf numFmtId="0" fontId="39" fillId="0" borderId="34" xfId="0" applyFont="1" applyBorder="1" applyAlignment="1">
      <alignment horizontal="left" vertical="center"/>
    </xf>
    <xf numFmtId="1" fontId="24" fillId="0" borderId="32" xfId="0" applyNumberFormat="1" applyFont="1" applyBorder="1" applyAlignment="1">
      <alignment horizontal="center" vertical="center"/>
    </xf>
    <xf numFmtId="1" fontId="24" fillId="0" borderId="46" xfId="0" applyNumberFormat="1" applyFont="1" applyBorder="1" applyAlignment="1">
      <alignment horizontal="center" vertical="center"/>
    </xf>
    <xf numFmtId="2" fontId="24" fillId="0" borderId="59" xfId="0" applyNumberFormat="1" applyFont="1" applyBorder="1" applyAlignment="1">
      <alignment horizontal="center" vertical="center"/>
    </xf>
    <xf numFmtId="4" fontId="24" fillId="0" borderId="46" xfId="0" applyNumberFormat="1" applyFont="1" applyBorder="1" applyAlignment="1">
      <alignment horizontal="right" vertical="center"/>
    </xf>
    <xf numFmtId="0" fontId="31" fillId="0" borderId="45" xfId="0" applyFont="1" applyBorder="1" applyAlignment="1">
      <alignment vertical="center"/>
    </xf>
    <xf numFmtId="0" fontId="31" fillId="0" borderId="59" xfId="0" applyFont="1" applyBorder="1" applyAlignment="1">
      <alignment vertical="center"/>
    </xf>
    <xf numFmtId="1" fontId="31" fillId="0" borderId="28" xfId="0" applyNumberFormat="1" applyFont="1" applyBorder="1" applyAlignment="1">
      <alignment horizontal="center" vertical="center"/>
    </xf>
    <xf numFmtId="0" fontId="31" fillId="24" borderId="59" xfId="0" applyFont="1" applyFill="1" applyBorder="1" applyAlignment="1">
      <alignment vertical="center"/>
    </xf>
    <xf numFmtId="4" fontId="31" fillId="0" borderId="46" xfId="0" applyNumberFormat="1" applyFont="1" applyBorder="1" applyAlignment="1">
      <alignment vertical="center"/>
    </xf>
    <xf numFmtId="4" fontId="31" fillId="0" borderId="28" xfId="0" applyNumberFormat="1" applyFont="1" applyBorder="1" applyAlignment="1">
      <alignment vertical="center"/>
    </xf>
    <xf numFmtId="0" fontId="31" fillId="0" borderId="12" xfId="0" applyFont="1" applyBorder="1" applyAlignment="1">
      <alignment vertical="center"/>
    </xf>
    <xf numFmtId="0" fontId="31" fillId="0" borderId="13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justify"/>
    </xf>
    <xf numFmtId="0" fontId="31" fillId="0" borderId="15" xfId="0" applyFont="1" applyBorder="1" applyAlignment="1">
      <alignment horizontal="center" vertical="justify"/>
    </xf>
    <xf numFmtId="0" fontId="40" fillId="0" borderId="0" xfId="0" applyFont="1"/>
    <xf numFmtId="0" fontId="24" fillId="0" borderId="16" xfId="0" applyFont="1" applyBorder="1"/>
    <xf numFmtId="0" fontId="24" fillId="0" borderId="17" xfId="0" applyFont="1" applyBorder="1" applyAlignment="1">
      <alignment horizontal="center"/>
    </xf>
    <xf numFmtId="4" fontId="24" fillId="0" borderId="17" xfId="0" applyNumberFormat="1" applyFont="1" applyBorder="1"/>
    <xf numFmtId="4" fontId="24" fillId="0" borderId="19" xfId="0" applyNumberFormat="1" applyFont="1" applyBorder="1"/>
    <xf numFmtId="0" fontId="31" fillId="0" borderId="12" xfId="0" applyFont="1" applyBorder="1" applyAlignment="1">
      <alignment horizontal="right"/>
    </xf>
    <xf numFmtId="0" fontId="31" fillId="0" borderId="13" xfId="0" applyFont="1" applyBorder="1" applyAlignment="1">
      <alignment horizontal="center"/>
    </xf>
    <xf numFmtId="0" fontId="24" fillId="0" borderId="13" xfId="0" applyFont="1" applyBorder="1"/>
    <xf numFmtId="4" fontId="31" fillId="0" borderId="13" xfId="0" applyNumberFormat="1" applyFont="1" applyBorder="1"/>
    <xf numFmtId="4" fontId="31" fillId="0" borderId="15" xfId="0" applyNumberFormat="1" applyFont="1" applyBorder="1"/>
    <xf numFmtId="0" fontId="31" fillId="0" borderId="12" xfId="0" applyFont="1" applyBorder="1"/>
    <xf numFmtId="0" fontId="31" fillId="0" borderId="13" xfId="0" applyFont="1" applyBorder="1" applyAlignment="1">
      <alignment horizontal="center" wrapText="1"/>
    </xf>
    <xf numFmtId="0" fontId="31" fillId="0" borderId="15" xfId="0" applyFont="1" applyBorder="1" applyAlignment="1">
      <alignment horizontal="center" wrapText="1"/>
    </xf>
    <xf numFmtId="0" fontId="33" fillId="0" borderId="0" xfId="0" applyFont="1"/>
    <xf numFmtId="0" fontId="24" fillId="0" borderId="30" xfId="0" applyFont="1" applyBorder="1"/>
    <xf numFmtId="0" fontId="24" fillId="0" borderId="22" xfId="0" applyFont="1" applyBorder="1" applyAlignment="1">
      <alignment horizontal="center"/>
    </xf>
    <xf numFmtId="4" fontId="24" fillId="0" borderId="24" xfId="0" applyNumberFormat="1" applyFont="1" applyBorder="1"/>
    <xf numFmtId="4" fontId="24" fillId="0" borderId="13" xfId="0" applyNumberFormat="1" applyFont="1" applyBorder="1"/>
    <xf numFmtId="4" fontId="24" fillId="24" borderId="13" xfId="0" applyNumberFormat="1" applyFont="1" applyFill="1" applyBorder="1"/>
    <xf numFmtId="4" fontId="24" fillId="0" borderId="15" xfId="0" applyNumberFormat="1" applyFont="1" applyBorder="1"/>
    <xf numFmtId="0" fontId="24" fillId="0" borderId="14" xfId="0" applyFont="1" applyBorder="1"/>
    <xf numFmtId="0" fontId="31" fillId="0" borderId="28" xfId="0" applyFont="1" applyBorder="1" applyAlignment="1">
      <alignment horizontal="center"/>
    </xf>
    <xf numFmtId="0" fontId="24" fillId="0" borderId="16" xfId="0" applyFont="1" applyBorder="1" applyAlignment="1">
      <alignment vertical="justify"/>
    </xf>
    <xf numFmtId="0" fontId="24" fillId="0" borderId="17" xfId="0" applyFont="1" applyBorder="1"/>
    <xf numFmtId="9" fontId="24" fillId="0" borderId="22" xfId="0" applyNumberFormat="1" applyFont="1" applyBorder="1"/>
    <xf numFmtId="0" fontId="24" fillId="0" borderId="33" xfId="0" applyFont="1" applyBorder="1"/>
    <xf numFmtId="9" fontId="24" fillId="0" borderId="47" xfId="0" applyNumberFormat="1" applyFont="1" applyBorder="1"/>
    <xf numFmtId="4" fontId="24" fillId="0" borderId="48" xfId="0" applyNumberFormat="1" applyFont="1" applyBorder="1"/>
    <xf numFmtId="0" fontId="24" fillId="0" borderId="12" xfId="0" applyFont="1" applyBorder="1"/>
    <xf numFmtId="0" fontId="31" fillId="0" borderId="15" xfId="0" applyFont="1" applyBorder="1" applyAlignment="1">
      <alignment horizontal="center"/>
    </xf>
    <xf numFmtId="9" fontId="24" fillId="0" borderId="17" xfId="0" applyNumberFormat="1" applyFont="1" applyBorder="1"/>
    <xf numFmtId="4" fontId="24" fillId="25" borderId="24" xfId="0" applyNumberFormat="1" applyFont="1" applyFill="1" applyBorder="1"/>
    <xf numFmtId="0" fontId="24" fillId="0" borderId="37" xfId="0" applyFont="1" applyBorder="1"/>
    <xf numFmtId="9" fontId="24" fillId="0" borderId="60" xfId="0" applyNumberFormat="1" applyFont="1" applyBorder="1"/>
    <xf numFmtId="4" fontId="24" fillId="0" borderId="61" xfId="0" applyNumberFormat="1" applyFont="1" applyBorder="1"/>
    <xf numFmtId="0" fontId="31" fillId="0" borderId="13" xfId="0" applyFont="1" applyBorder="1"/>
    <xf numFmtId="188" fontId="31" fillId="0" borderId="15" xfId="0" applyNumberFormat="1" applyFont="1" applyBorder="1"/>
    <xf numFmtId="0" fontId="41" fillId="0" borderId="0" xfId="0" applyFont="1"/>
    <xf numFmtId="4" fontId="24" fillId="0" borderId="62" xfId="0" applyNumberFormat="1" applyFont="1" applyBorder="1"/>
    <xf numFmtId="0" fontId="24" fillId="0" borderId="63" xfId="0" applyFont="1" applyBorder="1" applyAlignment="1">
      <alignment vertical="justify"/>
    </xf>
    <xf numFmtId="9" fontId="24" fillId="0" borderId="64" xfId="0" applyNumberFormat="1" applyFont="1" applyBorder="1"/>
    <xf numFmtId="188" fontId="24" fillId="0" borderId="65" xfId="0" applyNumberFormat="1" applyFont="1" applyBorder="1"/>
    <xf numFmtId="0" fontId="31" fillId="0" borderId="26" xfId="0" applyFont="1" applyBorder="1" applyAlignment="1">
      <alignment horizontal="center" vertical="justify"/>
    </xf>
    <xf numFmtId="0" fontId="31" fillId="0" borderId="66" xfId="0" applyFont="1" applyBorder="1" applyAlignment="1">
      <alignment horizontal="center" vertical="justify"/>
    </xf>
    <xf numFmtId="0" fontId="24" fillId="0" borderId="23" xfId="0" applyFont="1" applyBorder="1" applyAlignment="1">
      <alignment horizontal="center"/>
    </xf>
    <xf numFmtId="4" fontId="24" fillId="0" borderId="31" xfId="0" applyNumberFormat="1" applyFont="1" applyBorder="1"/>
    <xf numFmtId="0" fontId="31" fillId="0" borderId="25" xfId="0" applyFont="1" applyBorder="1" applyAlignment="1">
      <alignment horizontal="right"/>
    </xf>
    <xf numFmtId="0" fontId="31" fillId="0" borderId="14" xfId="0" applyFont="1" applyBorder="1" applyAlignment="1">
      <alignment horizontal="center"/>
    </xf>
    <xf numFmtId="0" fontId="24" fillId="0" borderId="26" xfId="0" applyFont="1" applyBorder="1"/>
    <xf numFmtId="4" fontId="31" fillId="0" borderId="66" xfId="0" applyNumberFormat="1" applyFont="1" applyBorder="1" applyAlignment="1">
      <alignment horizontal="right"/>
    </xf>
    <xf numFmtId="4" fontId="31" fillId="0" borderId="15" xfId="0" applyNumberFormat="1" applyFont="1" applyBorder="1" applyAlignment="1">
      <alignment horizontal="right"/>
    </xf>
    <xf numFmtId="0" fontId="31" fillId="0" borderId="25" xfId="0" applyFont="1" applyBorder="1" applyAlignment="1">
      <alignment horizontal="left"/>
    </xf>
    <xf numFmtId="0" fontId="31" fillId="0" borderId="26" xfId="0" applyFont="1" applyBorder="1" applyAlignment="1">
      <alignment horizontal="center"/>
    </xf>
    <xf numFmtId="4" fontId="31" fillId="0" borderId="26" xfId="0" applyNumberFormat="1" applyFont="1" applyBorder="1" applyAlignment="1">
      <alignment horizontal="right"/>
    </xf>
    <xf numFmtId="9" fontId="31" fillId="0" borderId="26" xfId="0" applyNumberFormat="1" applyFont="1" applyBorder="1" applyAlignment="1">
      <alignment horizontal="center"/>
    </xf>
    <xf numFmtId="4" fontId="31" fillId="0" borderId="27" xfId="0" applyNumberFormat="1" applyFont="1" applyBorder="1" applyAlignment="1">
      <alignment horizontal="right"/>
    </xf>
    <xf numFmtId="0" fontId="31" fillId="0" borderId="25" xfId="0" applyFont="1" applyFill="1" applyBorder="1"/>
    <xf numFmtId="4" fontId="31" fillId="0" borderId="27" xfId="0" applyNumberFormat="1" applyFont="1" applyBorder="1"/>
    <xf numFmtId="0" fontId="31" fillId="0" borderId="25" xfId="0" applyFont="1" applyBorder="1"/>
    <xf numFmtId="0" fontId="24" fillId="0" borderId="27" xfId="0" applyFont="1" applyBorder="1"/>
    <xf numFmtId="0" fontId="24" fillId="0" borderId="18" xfId="0" applyFont="1" applyBorder="1"/>
    <xf numFmtId="0" fontId="24" fillId="0" borderId="54" xfId="0" applyFont="1" applyBorder="1"/>
    <xf numFmtId="0" fontId="24" fillId="0" borderId="17" xfId="0" applyFont="1" applyBorder="1" applyAlignment="1">
      <alignment horizontal="left"/>
    </xf>
    <xf numFmtId="0" fontId="24" fillId="0" borderId="22" xfId="0" applyFont="1" applyBorder="1" applyAlignment="1">
      <alignment horizontal="left"/>
    </xf>
    <xf numFmtId="0" fontId="31" fillId="0" borderId="26" xfId="0" applyFont="1" applyBorder="1"/>
    <xf numFmtId="0" fontId="31" fillId="0" borderId="0" xfId="0" applyFont="1" applyBorder="1" applyAlignment="1">
      <alignment horizontal="right"/>
    </xf>
    <xf numFmtId="0" fontId="24" fillId="0" borderId="20" xfId="0" applyFont="1" applyBorder="1"/>
    <xf numFmtId="0" fontId="24" fillId="0" borderId="11" xfId="0" applyFont="1" applyBorder="1"/>
    <xf numFmtId="0" fontId="24" fillId="0" borderId="67" xfId="0" applyFont="1" applyBorder="1" applyAlignment="1">
      <alignment horizontal="left"/>
    </xf>
    <xf numFmtId="4" fontId="24" fillId="0" borderId="24" xfId="0" applyNumberFormat="1" applyFont="1" applyFill="1" applyBorder="1"/>
    <xf numFmtId="0" fontId="22" fillId="0" borderId="0" xfId="0" applyFont="1"/>
    <xf numFmtId="0" fontId="31" fillId="24" borderId="25" xfId="0" applyFont="1" applyFill="1" applyBorder="1" applyAlignment="1">
      <alignment horizontal="left" wrapText="1"/>
    </xf>
    <xf numFmtId="3" fontId="31" fillId="24" borderId="26" xfId="0" applyNumberFormat="1" applyFont="1" applyFill="1" applyBorder="1" applyAlignment="1">
      <alignment horizontal="center" wrapText="1"/>
    </xf>
    <xf numFmtId="0" fontId="31" fillId="24" borderId="26" xfId="0" applyFont="1" applyFill="1" applyBorder="1" applyAlignment="1">
      <alignment horizontal="center" wrapText="1"/>
    </xf>
    <xf numFmtId="0" fontId="31" fillId="24" borderId="27" xfId="0" applyFont="1" applyFill="1" applyBorder="1" applyAlignment="1">
      <alignment horizontal="center" wrapText="1"/>
    </xf>
    <xf numFmtId="0" fontId="23" fillId="0" borderId="0" xfId="0" applyFont="1" applyAlignment="1">
      <alignment wrapText="1"/>
    </xf>
    <xf numFmtId="0" fontId="31" fillId="0" borderId="0" xfId="0" applyFont="1" applyAlignment="1">
      <alignment wrapText="1"/>
    </xf>
    <xf numFmtId="0" fontId="31" fillId="0" borderId="17" xfId="0" applyFont="1" applyBorder="1" applyAlignment="1">
      <alignment horizontal="center" wrapText="1"/>
    </xf>
    <xf numFmtId="0" fontId="22" fillId="0" borderId="0" xfId="0" applyFont="1" applyAlignment="1">
      <alignment wrapText="1"/>
    </xf>
    <xf numFmtId="0" fontId="24" fillId="0" borderId="22" xfId="0" applyFont="1" applyBorder="1" applyAlignment="1">
      <alignment wrapText="1"/>
    </xf>
    <xf numFmtId="4" fontId="24" fillId="0" borderId="22" xfId="0" applyNumberFormat="1" applyFont="1" applyBorder="1" applyAlignment="1">
      <alignment horizontal="right" wrapText="1"/>
    </xf>
    <xf numFmtId="0" fontId="31" fillId="0" borderId="22" xfId="0" applyFont="1" applyBorder="1" applyAlignment="1">
      <alignment horizontal="center" wrapText="1"/>
    </xf>
    <xf numFmtId="184" fontId="24" fillId="0" borderId="22" xfId="0" applyNumberFormat="1" applyFont="1" applyBorder="1" applyAlignment="1">
      <alignment horizontal="right" wrapText="1"/>
    </xf>
    <xf numFmtId="0" fontId="24" fillId="0" borderId="22" xfId="0" applyFont="1" applyBorder="1" applyAlignment="1">
      <alignment horizontal="right" wrapText="1"/>
    </xf>
    <xf numFmtId="0" fontId="24" fillId="0" borderId="60" xfId="0" applyFont="1" applyBorder="1" applyAlignment="1">
      <alignment horizontal="right" wrapText="1"/>
    </xf>
    <xf numFmtId="4" fontId="24" fillId="0" borderId="60" xfId="0" applyNumberFormat="1" applyFont="1" applyBorder="1" applyAlignment="1">
      <alignment horizontal="right" wrapText="1"/>
    </xf>
    <xf numFmtId="4" fontId="31" fillId="0" borderId="0" xfId="0" applyNumberFormat="1" applyFont="1" applyAlignment="1">
      <alignment horizontal="right"/>
    </xf>
    <xf numFmtId="4" fontId="24" fillId="0" borderId="22" xfId="0" applyNumberFormat="1" applyFont="1" applyBorder="1" applyAlignment="1">
      <alignment horizontal="right"/>
    </xf>
    <xf numFmtId="0" fontId="24" fillId="0" borderId="60" xfId="0" applyFont="1" applyBorder="1" applyAlignment="1">
      <alignment horizontal="center"/>
    </xf>
    <xf numFmtId="4" fontId="24" fillId="0" borderId="60" xfId="0" applyNumberFormat="1" applyFont="1" applyBorder="1"/>
    <xf numFmtId="0" fontId="23" fillId="0" borderId="59" xfId="0" applyFont="1" applyBorder="1"/>
    <xf numFmtId="0" fontId="22" fillId="0" borderId="0" xfId="0" applyFont="1" applyBorder="1"/>
    <xf numFmtId="0" fontId="24" fillId="0" borderId="22" xfId="0" applyFont="1" applyFill="1" applyBorder="1"/>
    <xf numFmtId="4" fontId="31" fillId="0" borderId="22" xfId="0" applyNumberFormat="1" applyFont="1" applyFill="1" applyBorder="1"/>
    <xf numFmtId="0" fontId="31" fillId="0" borderId="60" xfId="0" applyFont="1" applyBorder="1"/>
    <xf numFmtId="4" fontId="31" fillId="0" borderId="60" xfId="0" applyNumberFormat="1" applyFont="1" applyBorder="1"/>
    <xf numFmtId="0" fontId="31" fillId="25" borderId="0" xfId="0" applyFont="1" applyFill="1"/>
    <xf numFmtId="4" fontId="31" fillId="0" borderId="59" xfId="0" applyNumberFormat="1" applyFont="1" applyBorder="1"/>
    <xf numFmtId="0" fontId="31" fillId="0" borderId="22" xfId="0" quotePrefix="1" applyFont="1" applyBorder="1"/>
    <xf numFmtId="4" fontId="24" fillId="0" borderId="60" xfId="0" applyNumberFormat="1" applyFont="1" applyBorder="1" applyAlignment="1">
      <alignment horizontal="right"/>
    </xf>
    <xf numFmtId="4" fontId="24" fillId="0" borderId="0" xfId="0" applyNumberFormat="1" applyFont="1" applyBorder="1" applyAlignment="1">
      <alignment horizontal="right"/>
    </xf>
    <xf numFmtId="0" fontId="31" fillId="0" borderId="22" xfId="0" applyFont="1" applyFill="1" applyBorder="1"/>
    <xf numFmtId="4" fontId="31" fillId="0" borderId="59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4" fontId="31" fillId="0" borderId="59" xfId="0" applyNumberFormat="1" applyFont="1" applyBorder="1" applyAlignment="1">
      <alignment horizontal="right" vertical="center"/>
    </xf>
    <xf numFmtId="0" fontId="23" fillId="0" borderId="0" xfId="0" applyFont="1" applyAlignment="1">
      <alignment horizontal="center"/>
    </xf>
    <xf numFmtId="0" fontId="35" fillId="0" borderId="0" xfId="0" applyFont="1"/>
    <xf numFmtId="0" fontId="35" fillId="0" borderId="0" xfId="0" applyFont="1" applyAlignment="1">
      <alignment horizontal="center"/>
    </xf>
    <xf numFmtId="4" fontId="35" fillId="0" borderId="0" xfId="0" applyNumberFormat="1" applyFont="1" applyAlignment="1">
      <alignment horizontal="center"/>
    </xf>
    <xf numFmtId="0" fontId="44" fillId="0" borderId="0" xfId="0" applyFont="1"/>
    <xf numFmtId="0" fontId="20" fillId="24" borderId="40" xfId="0" applyFont="1" applyFill="1" applyBorder="1" applyAlignment="1">
      <alignment horizontal="left"/>
    </xf>
    <xf numFmtId="0" fontId="20" fillId="24" borderId="41" xfId="0" applyFont="1" applyFill="1" applyBorder="1" applyAlignment="1">
      <alignment horizontal="center"/>
    </xf>
    <xf numFmtId="0" fontId="20" fillId="24" borderId="42" xfId="0" applyFont="1" applyFill="1" applyBorder="1" applyAlignment="1">
      <alignment horizontal="center"/>
    </xf>
    <xf numFmtId="0" fontId="20" fillId="0" borderId="30" xfId="0" applyFont="1" applyBorder="1"/>
    <xf numFmtId="0" fontId="20" fillId="0" borderId="22" xfId="0" applyFont="1" applyBorder="1" applyAlignment="1">
      <alignment horizontal="center"/>
    </xf>
    <xf numFmtId="0" fontId="20" fillId="0" borderId="24" xfId="0" applyFont="1" applyBorder="1" applyAlignment="1">
      <alignment horizontal="center"/>
    </xf>
    <xf numFmtId="0" fontId="0" fillId="0" borderId="30" xfId="0" applyBorder="1"/>
    <xf numFmtId="4" fontId="0" fillId="0" borderId="22" xfId="0" applyNumberFormat="1" applyBorder="1" applyAlignment="1">
      <alignment horizontal="right"/>
    </xf>
    <xf numFmtId="4" fontId="0" fillId="0" borderId="24" xfId="0" applyNumberFormat="1" applyBorder="1" applyAlignment="1">
      <alignment horizontal="right"/>
    </xf>
    <xf numFmtId="0" fontId="0" fillId="0" borderId="0" xfId="0" applyAlignment="1">
      <alignment horizontal="right"/>
    </xf>
    <xf numFmtId="0" fontId="20" fillId="0" borderId="33" xfId="0" applyFont="1" applyBorder="1"/>
    <xf numFmtId="4" fontId="20" fillId="0" borderId="47" xfId="0" applyNumberFormat="1" applyFont="1" applyBorder="1" applyAlignment="1">
      <alignment horizontal="right"/>
    </xf>
    <xf numFmtId="4" fontId="20" fillId="0" borderId="48" xfId="0" applyNumberFormat="1" applyFont="1" applyBorder="1" applyAlignment="1">
      <alignment horizontal="right"/>
    </xf>
    <xf numFmtId="0" fontId="20" fillId="0" borderId="25" xfId="0" applyFont="1" applyBorder="1"/>
    <xf numFmtId="10" fontId="20" fillId="0" borderId="26" xfId="34" applyNumberFormat="1" applyFont="1" applyBorder="1" applyAlignment="1">
      <alignment horizontal="center"/>
    </xf>
    <xf numFmtId="10" fontId="20" fillId="0" borderId="27" xfId="34" applyNumberFormat="1" applyFont="1" applyBorder="1" applyAlignment="1">
      <alignment horizontal="center"/>
    </xf>
    <xf numFmtId="0" fontId="0" fillId="0" borderId="43" xfId="0" applyBorder="1"/>
    <xf numFmtId="0" fontId="0" fillId="0" borderId="0" xfId="0" applyBorder="1" applyAlignment="1">
      <alignment horizontal="center"/>
    </xf>
    <xf numFmtId="0" fontId="0" fillId="0" borderId="68" xfId="0" applyBorder="1" applyAlignment="1">
      <alignment horizontal="center"/>
    </xf>
    <xf numFmtId="0" fontId="12" fillId="0" borderId="30" xfId="0" applyFont="1" applyBorder="1"/>
    <xf numFmtId="4" fontId="12" fillId="0" borderId="22" xfId="0" applyNumberFormat="1" applyFont="1" applyBorder="1" applyAlignment="1">
      <alignment horizontal="right"/>
    </xf>
    <xf numFmtId="4" fontId="12" fillId="0" borderId="24" xfId="0" applyNumberFormat="1" applyFont="1" applyBorder="1" applyAlignment="1">
      <alignment horizontal="right"/>
    </xf>
    <xf numFmtId="4" fontId="0" fillId="0" borderId="22" xfId="0" applyNumberFormat="1" applyBorder="1"/>
    <xf numFmtId="0" fontId="0" fillId="0" borderId="37" xfId="0" applyBorder="1"/>
    <xf numFmtId="4" fontId="0" fillId="0" borderId="60" xfId="0" applyNumberFormat="1" applyBorder="1"/>
    <xf numFmtId="4" fontId="0" fillId="0" borderId="61" xfId="0" applyNumberFormat="1" applyBorder="1"/>
    <xf numFmtId="0" fontId="20" fillId="0" borderId="16" xfId="0" applyFont="1" applyBorder="1"/>
    <xf numFmtId="4" fontId="20" fillId="0" borderId="17" xfId="0" applyNumberFormat="1" applyFont="1" applyBorder="1" applyAlignment="1">
      <alignment horizontal="right"/>
    </xf>
    <xf numFmtId="4" fontId="20" fillId="0" borderId="19" xfId="0" applyNumberFormat="1" applyFont="1" applyBorder="1" applyAlignment="1">
      <alignment horizontal="right"/>
    </xf>
    <xf numFmtId="0" fontId="20" fillId="0" borderId="30" xfId="0" quotePrefix="1" applyFont="1" applyBorder="1"/>
    <xf numFmtId="0" fontId="20" fillId="0" borderId="37" xfId="0" applyFont="1" applyBorder="1"/>
    <xf numFmtId="4" fontId="12" fillId="0" borderId="60" xfId="0" applyNumberFormat="1" applyFont="1" applyBorder="1" applyAlignment="1">
      <alignment horizontal="right"/>
    </xf>
    <xf numFmtId="4" fontId="12" fillId="0" borderId="61" xfId="0" applyNumberFormat="1" applyFont="1" applyBorder="1" applyAlignment="1">
      <alignment horizontal="right"/>
    </xf>
    <xf numFmtId="4" fontId="12" fillId="0" borderId="17" xfId="0" applyNumberFormat="1" applyFont="1" applyBorder="1" applyAlignment="1">
      <alignment horizontal="right"/>
    </xf>
    <xf numFmtId="4" fontId="12" fillId="0" borderId="19" xfId="0" applyNumberFormat="1" applyFont="1" applyBorder="1" applyAlignment="1">
      <alignment horizontal="right"/>
    </xf>
    <xf numFmtId="4" fontId="20" fillId="0" borderId="22" xfId="0" applyNumberFormat="1" applyFont="1" applyBorder="1" applyAlignment="1">
      <alignment horizontal="right"/>
    </xf>
    <xf numFmtId="4" fontId="20" fillId="0" borderId="24" xfId="0" applyNumberFormat="1" applyFont="1" applyBorder="1" applyAlignment="1">
      <alignment horizontal="right"/>
    </xf>
    <xf numFmtId="0" fontId="20" fillId="0" borderId="45" xfId="0" applyFont="1" applyBorder="1"/>
    <xf numFmtId="4" fontId="20" fillId="0" borderId="12" xfId="0" applyNumberFormat="1" applyFont="1" applyBorder="1" applyAlignment="1">
      <alignment horizontal="right"/>
    </xf>
    <xf numFmtId="4" fontId="20" fillId="0" borderId="13" xfId="0" applyNumberFormat="1" applyFont="1" applyBorder="1" applyAlignment="1">
      <alignment horizontal="right"/>
    </xf>
    <xf numFmtId="4" fontId="20" fillId="0" borderId="15" xfId="0" applyNumberFormat="1" applyFont="1" applyBorder="1" applyAlignment="1">
      <alignment horizontal="right"/>
    </xf>
    <xf numFmtId="0" fontId="20" fillId="24" borderId="40" xfId="0" applyFont="1" applyFill="1" applyBorder="1" applyAlignment="1">
      <alignment horizontal="left" vertical="center"/>
    </xf>
    <xf numFmtId="0" fontId="20" fillId="24" borderId="28" xfId="0" applyFont="1" applyFill="1" applyBorder="1" applyAlignment="1">
      <alignment horizontal="center" vertical="center"/>
    </xf>
    <xf numFmtId="0" fontId="20" fillId="24" borderId="26" xfId="0" applyFont="1" applyFill="1" applyBorder="1" applyAlignment="1">
      <alignment horizontal="center" vertical="center"/>
    </xf>
    <xf numFmtId="0" fontId="20" fillId="24" borderId="66" xfId="0" applyFont="1" applyFill="1" applyBorder="1" applyAlignment="1">
      <alignment horizontal="center" vertical="center"/>
    </xf>
    <xf numFmtId="0" fontId="20" fillId="24" borderId="13" xfId="0" applyFont="1" applyFill="1" applyBorder="1" applyAlignment="1">
      <alignment horizontal="center" vertical="center"/>
    </xf>
    <xf numFmtId="0" fontId="20" fillId="24" borderId="14" xfId="0" applyFont="1" applyFill="1" applyBorder="1" applyAlignment="1">
      <alignment horizontal="center" vertical="center"/>
    </xf>
    <xf numFmtId="0" fontId="20" fillId="24" borderId="27" xfId="0" applyFont="1" applyFill="1" applyBorder="1" applyAlignment="1">
      <alignment horizontal="center" vertical="center"/>
    </xf>
    <xf numFmtId="4" fontId="46" fillId="0" borderId="25" xfId="0" applyNumberFormat="1" applyFont="1" applyBorder="1" applyAlignment="1">
      <alignment horizontal="center" vertical="center"/>
    </xf>
    <xf numFmtId="4" fontId="0" fillId="0" borderId="51" xfId="0" applyNumberFormat="1" applyBorder="1" applyAlignment="1">
      <alignment horizontal="right" vertical="center"/>
    </xf>
    <xf numFmtId="4" fontId="0" fillId="0" borderId="46" xfId="0" applyNumberFormat="1" applyBorder="1" applyAlignment="1">
      <alignment horizontal="right" vertical="center"/>
    </xf>
    <xf numFmtId="4" fontId="0" fillId="0" borderId="0" xfId="0" applyNumberFormat="1" applyAlignment="1">
      <alignment horizontal="right"/>
    </xf>
    <xf numFmtId="0" fontId="20" fillId="24" borderId="25" xfId="0" applyFont="1" applyFill="1" applyBorder="1" applyAlignment="1">
      <alignment vertical="center"/>
    </xf>
    <xf numFmtId="0" fontId="0" fillId="24" borderId="26" xfId="0" applyFill="1" applyBorder="1" applyAlignment="1">
      <alignment vertical="center"/>
    </xf>
    <xf numFmtId="10" fontId="20" fillId="24" borderId="27" xfId="0" applyNumberFormat="1" applyFont="1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10" fontId="20" fillId="0" borderId="0" xfId="0" applyNumberFormat="1" applyFont="1" applyBorder="1" applyAlignment="1">
      <alignment vertical="center"/>
    </xf>
    <xf numFmtId="9" fontId="0" fillId="0" borderId="0" xfId="0" applyNumberFormat="1"/>
    <xf numFmtId="0" fontId="20" fillId="0" borderId="25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/>
    </xf>
    <xf numFmtId="0" fontId="20" fillId="0" borderId="43" xfId="0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0" fontId="20" fillId="0" borderId="27" xfId="0" applyFont="1" applyBorder="1" applyAlignment="1">
      <alignment horizontal="center"/>
    </xf>
    <xf numFmtId="0" fontId="20" fillId="0" borderId="0" xfId="0" applyFont="1" applyAlignment="1">
      <alignment horizontal="center"/>
    </xf>
    <xf numFmtId="4" fontId="20" fillId="0" borderId="25" xfId="0" applyNumberFormat="1" applyFont="1" applyBorder="1" applyAlignment="1">
      <alignment horizontal="center"/>
    </xf>
    <xf numFmtId="4" fontId="20" fillId="0" borderId="27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20" fillId="24" borderId="40" xfId="0" applyFont="1" applyFill="1" applyBorder="1" applyAlignment="1">
      <alignment horizontal="center" vertical="center"/>
    </xf>
    <xf numFmtId="0" fontId="20" fillId="24" borderId="41" xfId="0" applyFont="1" applyFill="1" applyBorder="1" applyAlignment="1">
      <alignment horizontal="center" vertical="center"/>
    </xf>
    <xf numFmtId="0" fontId="20" fillId="24" borderId="42" xfId="0" applyFont="1" applyFill="1" applyBorder="1" applyAlignment="1">
      <alignment horizontal="center" vertical="center"/>
    </xf>
    <xf numFmtId="183" fontId="20" fillId="24" borderId="26" xfId="0" applyNumberFormat="1" applyFont="1" applyFill="1" applyBorder="1" applyAlignment="1">
      <alignment horizontal="right" vertical="center"/>
    </xf>
    <xf numFmtId="183" fontId="20" fillId="24" borderId="27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center"/>
    </xf>
    <xf numFmtId="10" fontId="2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25" fillId="0" borderId="25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39" fillId="0" borderId="45" xfId="0" applyFont="1" applyBorder="1" applyAlignment="1">
      <alignment horizontal="left" vertical="center"/>
    </xf>
    <xf numFmtId="0" fontId="39" fillId="0" borderId="58" xfId="0" applyFont="1" applyBorder="1" applyAlignment="1">
      <alignment horizontal="left" vertical="center"/>
    </xf>
    <xf numFmtId="2" fontId="22" fillId="0" borderId="0" xfId="0" applyNumberFormat="1" applyFont="1" applyAlignment="1">
      <alignment horizontal="center"/>
    </xf>
    <xf numFmtId="0" fontId="38" fillId="0" borderId="25" xfId="0" applyFont="1" applyFill="1" applyBorder="1" applyAlignment="1">
      <alignment horizontal="left" vertical="center"/>
    </xf>
    <xf numFmtId="0" fontId="38" fillId="0" borderId="26" xfId="0" applyFont="1" applyFill="1" applyBorder="1" applyAlignment="1">
      <alignment horizontal="left" vertical="center"/>
    </xf>
    <xf numFmtId="0" fontId="39" fillId="0" borderId="30" xfId="0" applyFont="1" applyBorder="1" applyAlignment="1">
      <alignment horizontal="left" vertical="center"/>
    </xf>
    <xf numFmtId="0" fontId="39" fillId="0" borderId="23" xfId="0" applyFont="1" applyBorder="1" applyAlignment="1">
      <alignment horizontal="left" vertical="center"/>
    </xf>
    <xf numFmtId="0" fontId="39" fillId="0" borderId="16" xfId="0" applyFont="1" applyBorder="1" applyAlignment="1">
      <alignment horizontal="left" vertical="center"/>
    </xf>
    <xf numFmtId="0" fontId="39" fillId="0" borderId="18" xfId="0" applyFont="1" applyBorder="1" applyAlignment="1">
      <alignment horizontal="left" vertical="center"/>
    </xf>
    <xf numFmtId="0" fontId="39" fillId="0" borderId="20" xfId="0" applyFont="1" applyBorder="1" applyAlignment="1">
      <alignment horizontal="left" vertical="center"/>
    </xf>
    <xf numFmtId="0" fontId="39" fillId="0" borderId="57" xfId="0" applyFont="1" applyBorder="1" applyAlignment="1">
      <alignment horizontal="left" vertical="center"/>
    </xf>
    <xf numFmtId="0" fontId="31" fillId="0" borderId="49" xfId="0" applyFont="1" applyBorder="1" applyAlignment="1">
      <alignment horizontal="center" vertical="center"/>
    </xf>
    <xf numFmtId="0" fontId="31" fillId="0" borderId="39" xfId="0" applyFont="1" applyBorder="1" applyAlignment="1">
      <alignment horizontal="center" vertical="center"/>
    </xf>
    <xf numFmtId="0" fontId="31" fillId="0" borderId="40" xfId="0" applyFont="1" applyBorder="1" applyAlignment="1">
      <alignment horizontal="center" vertical="center"/>
    </xf>
    <xf numFmtId="0" fontId="31" fillId="0" borderId="50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1" fillId="0" borderId="12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12" xfId="0" applyFont="1" applyBorder="1" applyAlignment="1">
      <alignment horizontal="right"/>
    </xf>
    <xf numFmtId="0" fontId="31" fillId="0" borderId="13" xfId="0" applyFont="1" applyBorder="1" applyAlignment="1">
      <alignment horizontal="right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Porcentual" xfId="34" builtinId="5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1" xfId="39" builtinId="16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pia%20de%20ANEXO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uadro 1"/>
      <sheetName val="Cuadro 2"/>
      <sheetName val="ANEXO B"/>
      <sheetName val="PVP"/>
      <sheetName val="INVERSION"/>
      <sheetName val="amortización"/>
      <sheetName val="Datos"/>
      <sheetName val="Punto Equilibrio"/>
      <sheetName val="ANEXO 14"/>
      <sheetName val="F. Conversión"/>
      <sheetName val="anexo 11"/>
      <sheetName val="anexo 12soc"/>
      <sheetName val="anexo 13soc"/>
      <sheetName val="Leopold"/>
      <sheetName val="Organigrama"/>
    </sheetNames>
    <sheetDataSet>
      <sheetData sheetId="0">
        <row r="14">
          <cell r="C14">
            <v>1238509.5423680558</v>
          </cell>
        </row>
        <row r="16">
          <cell r="C16">
            <v>738509.54236805579</v>
          </cell>
        </row>
        <row r="18">
          <cell r="E18">
            <v>0.40371105986312361</v>
          </cell>
        </row>
      </sheetData>
      <sheetData sheetId="1"/>
      <sheetData sheetId="2"/>
      <sheetData sheetId="3"/>
      <sheetData sheetId="4">
        <row r="4">
          <cell r="C4">
            <v>191650</v>
          </cell>
        </row>
        <row r="5">
          <cell r="C5">
            <v>1300</v>
          </cell>
        </row>
        <row r="6">
          <cell r="C6">
            <v>13200</v>
          </cell>
        </row>
        <row r="7">
          <cell r="C7">
            <v>63000</v>
          </cell>
        </row>
        <row r="10">
          <cell r="C10">
            <v>15000</v>
          </cell>
        </row>
        <row r="11">
          <cell r="C11">
            <v>4500</v>
          </cell>
        </row>
        <row r="12">
          <cell r="C12">
            <v>4500</v>
          </cell>
        </row>
        <row r="13">
          <cell r="C13">
            <v>18000</v>
          </cell>
        </row>
        <row r="16">
          <cell r="C16">
            <v>291000</v>
          </cell>
        </row>
        <row r="31">
          <cell r="B31" t="str">
            <v>Equipos Laboratorio</v>
          </cell>
          <cell r="C31">
            <v>5000</v>
          </cell>
        </row>
        <row r="33">
          <cell r="C33">
            <v>5000</v>
          </cell>
        </row>
        <row r="37">
          <cell r="C37">
            <v>29100</v>
          </cell>
        </row>
        <row r="39">
          <cell r="C39">
            <v>500</v>
          </cell>
        </row>
        <row r="47">
          <cell r="C47">
            <v>699209.54236805567</v>
          </cell>
        </row>
      </sheetData>
      <sheetData sheetId="5">
        <row r="9">
          <cell r="C9">
            <v>38438.072162024087</v>
          </cell>
          <cell r="D9">
            <v>22500</v>
          </cell>
        </row>
        <row r="10">
          <cell r="C10">
            <v>38438.072162024087</v>
          </cell>
          <cell r="D10">
            <v>21782.786752708915</v>
          </cell>
        </row>
        <row r="11">
          <cell r="C11">
            <v>38438.072162024087</v>
          </cell>
          <cell r="D11">
            <v>21033.29890928973</v>
          </cell>
        </row>
        <row r="12">
          <cell r="C12">
            <v>38438.072162024087</v>
          </cell>
          <cell r="D12">
            <v>20250.084112916687</v>
          </cell>
        </row>
        <row r="13">
          <cell r="D13">
            <v>19431.624650706854</v>
          </cell>
        </row>
        <row r="14">
          <cell r="D14">
            <v>18576.334512697576</v>
          </cell>
        </row>
        <row r="15">
          <cell r="D15">
            <v>17682.556318477884</v>
          </cell>
        </row>
        <row r="16">
          <cell r="D16">
            <v>16748.558105518307</v>
          </cell>
        </row>
        <row r="17">
          <cell r="D17">
            <v>15772.529972975548</v>
          </cell>
        </row>
        <row r="18">
          <cell r="D18">
            <v>14752.580574468362</v>
          </cell>
        </row>
        <row r="19">
          <cell r="D19">
            <v>13686.733453028355</v>
          </cell>
        </row>
        <row r="20">
          <cell r="D20">
            <v>12572.923211123547</v>
          </cell>
        </row>
        <row r="21">
          <cell r="D21">
            <v>11408.991508333023</v>
          </cell>
        </row>
        <row r="22">
          <cell r="D22">
            <v>10192.682878916927</v>
          </cell>
        </row>
        <row r="23">
          <cell r="D23">
            <v>8921.6403611771038</v>
          </cell>
        </row>
        <row r="24">
          <cell r="D24">
            <v>7593.4009301389888</v>
          </cell>
        </row>
        <row r="25">
          <cell r="D25">
            <v>6205.3907247041598</v>
          </cell>
        </row>
        <row r="26">
          <cell r="D26">
            <v>4754.9200600247632</v>
          </cell>
        </row>
        <row r="27">
          <cell r="D27">
            <v>3239.1782154347939</v>
          </cell>
        </row>
        <row r="28">
          <cell r="D28">
            <v>1655.2279878382756</v>
          </cell>
        </row>
        <row r="32">
          <cell r="C32">
            <v>500000</v>
          </cell>
        </row>
      </sheetData>
      <sheetData sheetId="6">
        <row r="5">
          <cell r="A5" t="str">
            <v>Materia Prima</v>
          </cell>
          <cell r="C5">
            <v>6279000</v>
          </cell>
          <cell r="D5">
            <v>6530160</v>
          </cell>
          <cell r="E5">
            <v>6791366.4000000004</v>
          </cell>
          <cell r="F5">
            <v>7063021.0560000008</v>
          </cell>
          <cell r="G5">
            <v>7345541.8982400009</v>
          </cell>
          <cell r="H5">
            <v>7639363.5741696013</v>
          </cell>
          <cell r="I5">
            <v>7944938.1171363853</v>
          </cell>
          <cell r="J5">
            <v>8262735.6418218408</v>
          </cell>
          <cell r="K5">
            <v>8593245.0674947146</v>
          </cell>
          <cell r="L5">
            <v>8936974.870194504</v>
          </cell>
        </row>
        <row r="6">
          <cell r="A6" t="str">
            <v>Insumos</v>
          </cell>
          <cell r="C6">
            <v>1309110</v>
          </cell>
          <cell r="D6">
            <v>1361474.4000000001</v>
          </cell>
          <cell r="E6">
            <v>1415933.3760000002</v>
          </cell>
          <cell r="F6">
            <v>1472570.7110400002</v>
          </cell>
          <cell r="G6">
            <v>1531473.5394816003</v>
          </cell>
          <cell r="H6">
            <v>1592732.4810608644</v>
          </cell>
          <cell r="I6">
            <v>1656441.780303299</v>
          </cell>
          <cell r="J6">
            <v>1722699.4515154311</v>
          </cell>
          <cell r="K6">
            <v>1791607.4295760484</v>
          </cell>
          <cell r="L6">
            <v>1863271.7267590903</v>
          </cell>
        </row>
        <row r="7">
          <cell r="A7" t="str">
            <v>Mano de obra Indirecta</v>
          </cell>
          <cell r="C7">
            <v>4800</v>
          </cell>
          <cell r="D7">
            <v>4800</v>
          </cell>
          <cell r="E7">
            <v>4800</v>
          </cell>
          <cell r="F7">
            <v>4800</v>
          </cell>
          <cell r="G7">
            <v>4800</v>
          </cell>
          <cell r="H7">
            <v>4800</v>
          </cell>
          <cell r="I7">
            <v>4800</v>
          </cell>
          <cell r="J7">
            <v>4800</v>
          </cell>
          <cell r="K7">
            <v>4800</v>
          </cell>
          <cell r="L7">
            <v>4800</v>
          </cell>
        </row>
        <row r="8">
          <cell r="A8" t="str">
            <v>Mano de Obra Directa</v>
          </cell>
          <cell r="C8">
            <v>37680</v>
          </cell>
          <cell r="D8">
            <v>37680</v>
          </cell>
          <cell r="E8">
            <v>37680</v>
          </cell>
          <cell r="F8">
            <v>37680</v>
          </cell>
          <cell r="G8">
            <v>37680</v>
          </cell>
          <cell r="H8">
            <v>37680</v>
          </cell>
          <cell r="I8">
            <v>37680</v>
          </cell>
          <cell r="J8">
            <v>37680</v>
          </cell>
          <cell r="K8">
            <v>37680</v>
          </cell>
          <cell r="L8">
            <v>37680</v>
          </cell>
        </row>
        <row r="9">
          <cell r="C9">
            <v>7630590</v>
          </cell>
          <cell r="D9">
            <v>7934114.4000000004</v>
          </cell>
          <cell r="E9">
            <v>8249779.7760000005</v>
          </cell>
          <cell r="F9">
            <v>8578071.7670400012</v>
          </cell>
          <cell r="G9">
            <v>8919495.4377216008</v>
          </cell>
          <cell r="H9">
            <v>9274576.0552304648</v>
          </cell>
          <cell r="I9">
            <v>9643859.8974396847</v>
          </cell>
          <cell r="J9">
            <v>10027915.093337271</v>
          </cell>
          <cell r="K9">
            <v>10427332.497070763</v>
          </cell>
          <cell r="L9">
            <v>10842726.596953595</v>
          </cell>
        </row>
        <row r="43">
          <cell r="G43">
            <v>46547.5</v>
          </cell>
        </row>
        <row r="46">
          <cell r="A46" t="str">
            <v>Reparaciones y mantenimientos</v>
          </cell>
          <cell r="C46">
            <v>10000</v>
          </cell>
          <cell r="D46">
            <v>10000</v>
          </cell>
          <cell r="E46">
            <v>10000</v>
          </cell>
          <cell r="F46">
            <v>10000</v>
          </cell>
          <cell r="G46">
            <v>10000</v>
          </cell>
          <cell r="H46">
            <v>10000</v>
          </cell>
          <cell r="I46">
            <v>10000</v>
          </cell>
          <cell r="J46">
            <v>10000</v>
          </cell>
          <cell r="K46">
            <v>10000</v>
          </cell>
          <cell r="L46">
            <v>10000</v>
          </cell>
        </row>
        <row r="47">
          <cell r="A47" t="str">
            <v>Costos Publicitarios</v>
          </cell>
          <cell r="C47">
            <v>3605</v>
          </cell>
          <cell r="D47">
            <v>3605</v>
          </cell>
          <cell r="E47">
            <v>3605</v>
          </cell>
          <cell r="F47">
            <v>3605</v>
          </cell>
          <cell r="G47">
            <v>3605</v>
          </cell>
          <cell r="H47">
            <v>3605</v>
          </cell>
          <cell r="I47">
            <v>3605</v>
          </cell>
          <cell r="J47">
            <v>3605</v>
          </cell>
          <cell r="K47">
            <v>3605</v>
          </cell>
          <cell r="L47">
            <v>3605</v>
          </cell>
        </row>
        <row r="48">
          <cell r="A48" t="str">
            <v>Seguros</v>
          </cell>
          <cell r="C48">
            <v>18507</v>
          </cell>
          <cell r="D48">
            <v>18507</v>
          </cell>
          <cell r="E48">
            <v>18507</v>
          </cell>
          <cell r="F48">
            <v>18507</v>
          </cell>
          <cell r="G48">
            <v>18507</v>
          </cell>
          <cell r="H48">
            <v>18507</v>
          </cell>
          <cell r="I48">
            <v>18507</v>
          </cell>
          <cell r="J48">
            <v>18507</v>
          </cell>
          <cell r="K48">
            <v>18507</v>
          </cell>
          <cell r="L48">
            <v>18507</v>
          </cell>
        </row>
        <row r="49">
          <cell r="C49">
            <v>39</v>
          </cell>
          <cell r="D49">
            <v>39</v>
          </cell>
          <cell r="E49">
            <v>39</v>
          </cell>
          <cell r="F49">
            <v>39</v>
          </cell>
          <cell r="G49">
            <v>39</v>
          </cell>
          <cell r="H49">
            <v>39</v>
          </cell>
          <cell r="I49">
            <v>39</v>
          </cell>
          <cell r="J49">
            <v>39</v>
          </cell>
          <cell r="K49">
            <v>39</v>
          </cell>
          <cell r="L49">
            <v>39</v>
          </cell>
        </row>
        <row r="50">
          <cell r="L50">
            <v>20</v>
          </cell>
        </row>
        <row r="51">
          <cell r="C51">
            <v>44282.786752708911</v>
          </cell>
          <cell r="D51">
            <v>41283.383022206413</v>
          </cell>
          <cell r="E51">
            <v>38007.959163404434</v>
          </cell>
          <cell r="F51">
            <v>34431.114423996187</v>
          </cell>
          <cell r="G51">
            <v>30525.11054744391</v>
          </cell>
          <cell r="H51">
            <v>26259.656664151902</v>
          </cell>
          <cell r="I51">
            <v>21601.67438724995</v>
          </cell>
          <cell r="J51">
            <v>16515.041291316091</v>
          </cell>
          <cell r="K51">
            <v>10960.310784728923</v>
          </cell>
          <cell r="L51">
            <v>4894.406203273069</v>
          </cell>
        </row>
        <row r="52">
          <cell r="C52">
            <v>32753.35757133926</v>
          </cell>
          <cell r="D52">
            <v>35752.761301841761</v>
          </cell>
          <cell r="E52">
            <v>39028.185160643741</v>
          </cell>
          <cell r="F52">
            <v>42605.029900051988</v>
          </cell>
          <cell r="G52">
            <v>46511.033776604265</v>
          </cell>
          <cell r="H52">
            <v>50616.487659896273</v>
          </cell>
          <cell r="I52">
            <v>55274.469936798225</v>
          </cell>
          <cell r="J52">
            <v>60361.103032732084</v>
          </cell>
          <cell r="K52">
            <v>65915.833539319254</v>
          </cell>
          <cell r="L52">
            <v>71981.738120775102</v>
          </cell>
        </row>
        <row r="53">
          <cell r="A53" t="str">
            <v>Imprevistos</v>
          </cell>
          <cell r="C53">
            <v>999.20999999999992</v>
          </cell>
          <cell r="D53">
            <v>999.20999999999992</v>
          </cell>
          <cell r="E53">
            <v>999.20999999999992</v>
          </cell>
          <cell r="F53">
            <v>999.20999999999992</v>
          </cell>
          <cell r="G53">
            <v>999.20999999999992</v>
          </cell>
          <cell r="H53">
            <v>999.20999999999992</v>
          </cell>
          <cell r="I53">
            <v>999.20999999999992</v>
          </cell>
          <cell r="J53">
            <v>999.20999999999992</v>
          </cell>
          <cell r="K53">
            <v>999.20999999999992</v>
          </cell>
          <cell r="L53">
            <v>999.20999999999992</v>
          </cell>
        </row>
        <row r="54">
          <cell r="A54" t="str">
            <v>Depreciaciones</v>
          </cell>
          <cell r="C54">
            <v>49412.5</v>
          </cell>
          <cell r="D54">
            <v>49412.5</v>
          </cell>
          <cell r="E54">
            <v>49412.5</v>
          </cell>
          <cell r="F54">
            <v>49412.5</v>
          </cell>
          <cell r="G54">
            <v>49412.5</v>
          </cell>
        </row>
        <row r="70">
          <cell r="C70">
            <v>8479359.5810000002</v>
          </cell>
          <cell r="D70">
            <v>8818533.9642399997</v>
          </cell>
          <cell r="E70">
            <v>9171275.3228096012</v>
          </cell>
          <cell r="F70">
            <v>9538126.3357219864</v>
          </cell>
          <cell r="G70">
            <v>9919651.3891508654</v>
          </cell>
          <cell r="H70">
            <v>10316437.444716901</v>
          </cell>
          <cell r="I70">
            <v>10729094.942505576</v>
          </cell>
          <cell r="J70">
            <v>11158258.7402058</v>
          </cell>
          <cell r="K70">
            <v>11604589.089814031</v>
          </cell>
          <cell r="L70">
            <v>12068772.653406594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45"/>
  </sheetPr>
  <dimension ref="A1:I18"/>
  <sheetViews>
    <sheetView workbookViewId="0">
      <selection activeCell="G9" sqref="G9"/>
    </sheetView>
  </sheetViews>
  <sheetFormatPr baseColWidth="10" defaultRowHeight="12.75"/>
  <cols>
    <col min="1" max="1" width="31" style="142" customWidth="1"/>
    <col min="2" max="2" width="15.42578125" style="177" customWidth="1"/>
    <col min="3" max="4" width="11.42578125" style="178"/>
    <col min="5" max="5" width="2.42578125" style="141" customWidth="1"/>
    <col min="6" max="6" width="11.42578125" style="141"/>
    <col min="7" max="7" width="18.140625" style="141" customWidth="1"/>
    <col min="8" max="16384" width="11.42578125" style="141"/>
  </cols>
  <sheetData>
    <row r="1" spans="1:9">
      <c r="A1" s="413" t="s">
        <v>78</v>
      </c>
      <c r="B1" s="413"/>
      <c r="C1" s="413"/>
      <c r="D1" s="413"/>
    </row>
    <row r="2" spans="1:9">
      <c r="A2" s="413" t="s">
        <v>79</v>
      </c>
      <c r="B2" s="413"/>
      <c r="C2" s="413"/>
      <c r="D2" s="413"/>
    </row>
    <row r="3" spans="1:9" ht="13.5" thickBot="1">
      <c r="A3" s="1"/>
      <c r="B3" s="1"/>
      <c r="C3" s="1"/>
      <c r="D3" s="1"/>
    </row>
    <row r="4" spans="1:9" ht="13.5" thickBot="1">
      <c r="B4" s="409" t="s">
        <v>80</v>
      </c>
      <c r="C4" s="414" t="s">
        <v>2</v>
      </c>
      <c r="D4" s="415"/>
      <c r="G4" s="142"/>
      <c r="H4" s="411" t="s">
        <v>2</v>
      </c>
      <c r="I4" s="412"/>
    </row>
    <row r="5" spans="1:9">
      <c r="A5" s="17"/>
      <c r="B5" s="410"/>
      <c r="C5" s="144" t="s">
        <v>81</v>
      </c>
      <c r="D5" s="145" t="s">
        <v>82</v>
      </c>
      <c r="G5" s="17"/>
      <c r="H5" s="143" t="s">
        <v>80</v>
      </c>
      <c r="I5" s="145" t="s">
        <v>82</v>
      </c>
    </row>
    <row r="6" spans="1:9" ht="15" thickBot="1">
      <c r="B6" s="146" t="s">
        <v>94</v>
      </c>
      <c r="C6" s="147" t="s">
        <v>4</v>
      </c>
      <c r="D6" s="148" t="s">
        <v>4</v>
      </c>
      <c r="G6" s="142"/>
      <c r="H6" s="146" t="s">
        <v>94</v>
      </c>
      <c r="I6" s="148" t="s">
        <v>4</v>
      </c>
    </row>
    <row r="7" spans="1:9" s="153" customFormat="1" ht="25.5" customHeight="1" thickBot="1">
      <c r="A7" s="149" t="s">
        <v>83</v>
      </c>
      <c r="B7" s="150">
        <v>650</v>
      </c>
      <c r="C7" s="151">
        <v>2</v>
      </c>
      <c r="D7" s="152">
        <f>+B7*C7</f>
        <v>1300</v>
      </c>
      <c r="G7" s="149" t="s">
        <v>83</v>
      </c>
      <c r="H7" s="150">
        <f>+B7</f>
        <v>650</v>
      </c>
      <c r="I7" s="152">
        <f>+D7</f>
        <v>1300</v>
      </c>
    </row>
    <row r="8" spans="1:9" ht="10.5" customHeight="1" thickBot="1">
      <c r="A8" s="154"/>
      <c r="B8" s="155"/>
      <c r="C8" s="156"/>
      <c r="D8" s="157"/>
      <c r="G8" s="154"/>
      <c r="H8" s="155"/>
      <c r="I8" s="157"/>
    </row>
    <row r="9" spans="1:9" s="153" customFormat="1" ht="25.5" customHeight="1" thickBot="1">
      <c r="A9" s="149" t="s">
        <v>84</v>
      </c>
      <c r="B9" s="150"/>
      <c r="C9" s="151"/>
      <c r="D9" s="152">
        <f>SUM(D10:D17)</f>
        <v>190350</v>
      </c>
      <c r="G9" s="158" t="s">
        <v>84</v>
      </c>
      <c r="H9" s="159">
        <v>600</v>
      </c>
      <c r="I9" s="152">
        <f>+D9</f>
        <v>190350</v>
      </c>
    </row>
    <row r="10" spans="1:9" ht="25.5" customHeight="1">
      <c r="A10" s="160" t="s">
        <v>85</v>
      </c>
      <c r="B10" s="161">
        <v>55</v>
      </c>
      <c r="C10" s="162">
        <v>240</v>
      </c>
      <c r="D10" s="163">
        <f t="shared" ref="D10:D16" si="0">+B10*C10</f>
        <v>13200</v>
      </c>
    </row>
    <row r="11" spans="1:9" s="153" customFormat="1" ht="25.5" customHeight="1">
      <c r="A11" s="164" t="s">
        <v>86</v>
      </c>
      <c r="B11" s="165">
        <v>350</v>
      </c>
      <c r="C11" s="166">
        <v>180</v>
      </c>
      <c r="D11" s="167">
        <f>+B11*C11</f>
        <v>63000</v>
      </c>
    </row>
    <row r="12" spans="1:9" s="153" customFormat="1" ht="25.5" customHeight="1">
      <c r="A12" s="164" t="s">
        <v>87</v>
      </c>
      <c r="B12" s="165">
        <v>185</v>
      </c>
      <c r="C12" s="166">
        <v>180</v>
      </c>
      <c r="D12" s="167">
        <f t="shared" si="0"/>
        <v>33300</v>
      </c>
    </row>
    <row r="13" spans="1:9" s="153" customFormat="1" ht="25.5" customHeight="1">
      <c r="A13" s="164" t="s">
        <v>88</v>
      </c>
      <c r="B13" s="165">
        <v>185</v>
      </c>
      <c r="C13" s="166">
        <v>210</v>
      </c>
      <c r="D13" s="167">
        <f t="shared" si="0"/>
        <v>38850</v>
      </c>
    </row>
    <row r="14" spans="1:9" s="153" customFormat="1" ht="25.5" customHeight="1">
      <c r="A14" s="164" t="s">
        <v>89</v>
      </c>
      <c r="B14" s="165">
        <v>100</v>
      </c>
      <c r="C14" s="166">
        <v>150</v>
      </c>
      <c r="D14" s="167">
        <f t="shared" si="0"/>
        <v>15000</v>
      </c>
      <c r="F14" s="168"/>
      <c r="G14" s="169">
        <f>12*18</f>
        <v>216</v>
      </c>
    </row>
    <row r="15" spans="1:9" s="153" customFormat="1" ht="25.5" customHeight="1">
      <c r="A15" s="164" t="s">
        <v>90</v>
      </c>
      <c r="B15" s="165">
        <v>100</v>
      </c>
      <c r="C15" s="166">
        <v>45</v>
      </c>
      <c r="D15" s="167">
        <f t="shared" si="0"/>
        <v>4500</v>
      </c>
      <c r="G15" s="169">
        <f>6*18</f>
        <v>108</v>
      </c>
    </row>
    <row r="16" spans="1:9" s="170" customFormat="1" ht="25.5" customHeight="1">
      <c r="A16" s="164" t="s">
        <v>91</v>
      </c>
      <c r="B16" s="165">
        <v>25</v>
      </c>
      <c r="C16" s="166">
        <v>180</v>
      </c>
      <c r="D16" s="167">
        <f t="shared" si="0"/>
        <v>4500</v>
      </c>
      <c r="G16" s="171">
        <f>SUM(G14:G15)</f>
        <v>324</v>
      </c>
    </row>
    <row r="17" spans="1:4" ht="25.5" customHeight="1" thickBot="1">
      <c r="A17" s="172" t="s">
        <v>92</v>
      </c>
      <c r="B17" s="173">
        <v>600</v>
      </c>
      <c r="C17" s="174">
        <v>30</v>
      </c>
      <c r="D17" s="175">
        <f>B17*C17</f>
        <v>18000</v>
      </c>
    </row>
    <row r="18" spans="1:4" s="153" customFormat="1" ht="26.1" customHeight="1" thickBot="1">
      <c r="A18" s="407" t="s">
        <v>93</v>
      </c>
      <c r="B18" s="408"/>
      <c r="C18" s="408"/>
      <c r="D18" s="176">
        <f>+D7+D9</f>
        <v>191650</v>
      </c>
    </row>
  </sheetData>
  <mergeCells count="6">
    <mergeCell ref="A18:C18"/>
    <mergeCell ref="B4:B5"/>
    <mergeCell ref="H4:I4"/>
    <mergeCell ref="A1:D1"/>
    <mergeCell ref="A2:D2"/>
    <mergeCell ref="C4:D4"/>
  </mergeCells>
  <phoneticPr fontId="0" type="noConversion"/>
  <printOptions horizontalCentered="1"/>
  <pageMargins left="1.5748031496062993" right="0.78740157480314965" top="1.1811023622047245" bottom="0.78740157480314965" header="0" footer="0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K36"/>
  <sheetViews>
    <sheetView tabSelected="1" workbookViewId="0">
      <selection activeCell="C45" sqref="C45"/>
    </sheetView>
  </sheetViews>
  <sheetFormatPr baseColWidth="10" defaultRowHeight="14.25"/>
  <cols>
    <col min="1" max="1" width="45.85546875" style="36" bestFit="1" customWidth="1"/>
    <col min="2" max="3" width="13" style="36" bestFit="1" customWidth="1"/>
    <col min="4" max="4" width="10.5703125" style="36" customWidth="1"/>
    <col min="5" max="5" width="11.28515625" style="36" bestFit="1" customWidth="1"/>
    <col min="6" max="8" width="8.7109375" style="36" customWidth="1"/>
    <col min="9" max="16384" width="11.42578125" style="36"/>
  </cols>
  <sheetData>
    <row r="1" spans="1:11" ht="18">
      <c r="A1" s="416" t="s">
        <v>130</v>
      </c>
      <c r="B1" s="416"/>
      <c r="C1" s="416"/>
      <c r="D1" s="416"/>
      <c r="E1" s="416"/>
    </row>
    <row r="2" spans="1:11" ht="18">
      <c r="A2" s="416" t="s">
        <v>131</v>
      </c>
      <c r="B2" s="416"/>
      <c r="C2" s="416"/>
      <c r="D2" s="416"/>
      <c r="E2" s="416"/>
    </row>
    <row r="3" spans="1:11" ht="15">
      <c r="A3" s="138"/>
      <c r="B3" s="138"/>
      <c r="C3" s="138"/>
      <c r="D3" s="138"/>
    </row>
    <row r="4" spans="1:11" ht="15">
      <c r="A4" s="138" t="s">
        <v>132</v>
      </c>
      <c r="B4" s="138"/>
      <c r="C4" s="138"/>
      <c r="D4" s="138"/>
    </row>
    <row r="5" spans="1:11" ht="15.75" thickBot="1">
      <c r="A5" s="138"/>
      <c r="B5" s="138"/>
      <c r="C5" s="138"/>
      <c r="D5" s="138"/>
    </row>
    <row r="6" spans="1:11" ht="30.75" thickBot="1">
      <c r="A6" s="235" t="s">
        <v>133</v>
      </c>
      <c r="B6" s="236" t="s">
        <v>134</v>
      </c>
      <c r="C6" s="237" t="s">
        <v>135</v>
      </c>
      <c r="D6" s="237" t="s">
        <v>136</v>
      </c>
      <c r="E6" s="238" t="s">
        <v>137</v>
      </c>
      <c r="F6" s="239"/>
    </row>
    <row r="7" spans="1:11" ht="20.100000000000001" customHeight="1" thickBot="1">
      <c r="A7" s="240" t="s">
        <v>138</v>
      </c>
      <c r="B7" s="241">
        <v>2</v>
      </c>
      <c r="C7" s="242">
        <v>200</v>
      </c>
      <c r="D7" s="242">
        <f>(+B7*C7)</f>
        <v>400</v>
      </c>
      <c r="E7" s="243">
        <f>(+C7*B7)*12</f>
        <v>4800</v>
      </c>
    </row>
    <row r="8" spans="1:11" ht="20.100000000000001" customHeight="1" thickBot="1">
      <c r="A8" s="244" t="s">
        <v>139</v>
      </c>
      <c r="B8" s="245">
        <f>SUM(B7:B7)</f>
        <v>2</v>
      </c>
      <c r="C8" s="246"/>
      <c r="D8" s="247">
        <f>SUM(D7:D7)</f>
        <v>400</v>
      </c>
      <c r="E8" s="248">
        <f>SUM(E7:E7)</f>
        <v>4800</v>
      </c>
    </row>
    <row r="9" spans="1:11" ht="11.25" customHeight="1"/>
    <row r="10" spans="1:11" ht="14.25" customHeight="1"/>
    <row r="11" spans="1:11" ht="15.75" thickBot="1">
      <c r="A11" s="138" t="s">
        <v>140</v>
      </c>
    </row>
    <row r="12" spans="1:11" s="138" customFormat="1" ht="45.75" thickBot="1">
      <c r="A12" s="249" t="s">
        <v>141</v>
      </c>
      <c r="B12" s="250" t="s">
        <v>142</v>
      </c>
      <c r="C12" s="250" t="s">
        <v>143</v>
      </c>
      <c r="D12" s="251" t="s">
        <v>144</v>
      </c>
      <c r="F12" s="252"/>
    </row>
    <row r="13" spans="1:11" s="138" customFormat="1" ht="20.25" customHeight="1">
      <c r="A13" s="240" t="s">
        <v>145</v>
      </c>
      <c r="B13" s="242">
        <f>+'ANEXO 2'!D18</f>
        <v>191650</v>
      </c>
      <c r="C13" s="241">
        <v>20</v>
      </c>
      <c r="D13" s="243">
        <f>+B13/C13</f>
        <v>9582.5</v>
      </c>
      <c r="G13" s="64"/>
      <c r="H13" s="64"/>
      <c r="I13" s="64"/>
      <c r="J13" s="64"/>
      <c r="K13" s="64"/>
    </row>
    <row r="14" spans="1:11" ht="20.25" customHeight="1">
      <c r="A14" s="253" t="s">
        <v>146</v>
      </c>
      <c r="B14" s="123">
        <f>+'ANEXO 2A'!E18</f>
        <v>291000</v>
      </c>
      <c r="C14" s="254">
        <v>10</v>
      </c>
      <c r="D14" s="255">
        <f>+B14/C14</f>
        <v>29100</v>
      </c>
      <c r="G14" s="39"/>
      <c r="H14" s="39"/>
      <c r="I14" s="39"/>
      <c r="J14" s="39"/>
      <c r="K14" s="39"/>
    </row>
    <row r="15" spans="1:11" ht="20.25" customHeight="1">
      <c r="A15" s="253" t="s">
        <v>147</v>
      </c>
      <c r="B15" s="123">
        <f>+'ANEXO 2A'!E26</f>
        <v>29100</v>
      </c>
      <c r="C15" s="254">
        <v>5</v>
      </c>
      <c r="D15" s="255">
        <f>+B15/C15</f>
        <v>5820</v>
      </c>
      <c r="G15" s="78"/>
      <c r="H15" s="39"/>
      <c r="I15" s="39"/>
      <c r="J15" s="39"/>
      <c r="K15" s="39"/>
    </row>
    <row r="16" spans="1:11" ht="20.25" customHeight="1">
      <c r="A16" s="253" t="s">
        <v>148</v>
      </c>
      <c r="B16" s="123">
        <f>+'ANEXO 2A'!E27</f>
        <v>5000</v>
      </c>
      <c r="C16" s="254">
        <v>5</v>
      </c>
      <c r="D16" s="255">
        <f>+B16/C16</f>
        <v>1000</v>
      </c>
      <c r="G16" s="78"/>
      <c r="H16" s="39"/>
      <c r="I16" s="39"/>
      <c r="J16" s="39"/>
      <c r="K16" s="39"/>
    </row>
    <row r="17" spans="1:11" ht="20.25" customHeight="1" thickBot="1">
      <c r="A17" s="253" t="s">
        <v>149</v>
      </c>
      <c r="B17" s="123">
        <f>+'ANEXO 2A'!E29</f>
        <v>14550</v>
      </c>
      <c r="C17" s="254">
        <v>5</v>
      </c>
      <c r="D17" s="255">
        <f>+B17/C17</f>
        <v>2910</v>
      </c>
      <c r="G17" s="78"/>
      <c r="H17" s="39"/>
      <c r="I17" s="39"/>
      <c r="J17" s="39"/>
      <c r="K17" s="39"/>
    </row>
    <row r="18" spans="1:11" ht="20.25" customHeight="1" thickBot="1">
      <c r="A18" s="249" t="s">
        <v>150</v>
      </c>
      <c r="B18" s="256">
        <f>SUM(B13:B17)</f>
        <v>531300</v>
      </c>
      <c r="C18" s="257"/>
      <c r="D18" s="258">
        <f>SUM(D13:D17)</f>
        <v>48412.5</v>
      </c>
      <c r="E18" s="38"/>
    </row>
    <row r="19" spans="1:11" ht="15" thickBot="1"/>
    <row r="20" spans="1:11" ht="15.75" thickBot="1">
      <c r="A20" s="249" t="s">
        <v>151</v>
      </c>
      <c r="B20" s="259"/>
      <c r="C20" s="260" t="s">
        <v>152</v>
      </c>
    </row>
    <row r="21" spans="1:11">
      <c r="A21" s="261" t="s">
        <v>153</v>
      </c>
      <c r="B21" s="262"/>
      <c r="C21" s="243">
        <v>10000</v>
      </c>
    </row>
    <row r="22" spans="1:11" ht="20.25" customHeight="1">
      <c r="A22" s="253" t="s">
        <v>154</v>
      </c>
      <c r="B22" s="263">
        <v>0.65</v>
      </c>
      <c r="C22" s="255">
        <f>+C21*B22</f>
        <v>6500</v>
      </c>
    </row>
    <row r="23" spans="1:11" ht="20.25" customHeight="1" thickBot="1">
      <c r="A23" s="264" t="s">
        <v>155</v>
      </c>
      <c r="B23" s="265">
        <v>0.35</v>
      </c>
      <c r="C23" s="266">
        <f>+C21*B23</f>
        <v>3500</v>
      </c>
    </row>
    <row r="24" spans="1:11" ht="20.25" customHeight="1" thickBot="1">
      <c r="A24" s="267"/>
      <c r="B24" s="245" t="s">
        <v>150</v>
      </c>
      <c r="C24" s="248">
        <f>SUM(C22:C23)</f>
        <v>10000</v>
      </c>
    </row>
    <row r="25" spans="1:11" ht="15" thickBot="1"/>
    <row r="26" spans="1:11" ht="15.75" thickBot="1">
      <c r="A26" s="249" t="s">
        <v>156</v>
      </c>
      <c r="B26" s="246"/>
      <c r="C26" s="268" t="s">
        <v>82</v>
      </c>
    </row>
    <row r="27" spans="1:11" ht="20.25" customHeight="1">
      <c r="A27" s="240" t="s">
        <v>154</v>
      </c>
      <c r="B27" s="269">
        <v>0.05</v>
      </c>
      <c r="C27" s="243">
        <f>+B14*B27</f>
        <v>14550</v>
      </c>
    </row>
    <row r="28" spans="1:11" ht="20.25" customHeight="1">
      <c r="A28" s="253" t="s">
        <v>157</v>
      </c>
      <c r="B28" s="263">
        <v>0.02</v>
      </c>
      <c r="C28" s="270">
        <f>B28*'ANEXO 2'!D9</f>
        <v>3807</v>
      </c>
    </row>
    <row r="29" spans="1:11" ht="20.25" customHeight="1" thickBot="1">
      <c r="A29" s="271" t="s">
        <v>158</v>
      </c>
      <c r="B29" s="272">
        <v>0.03</v>
      </c>
      <c r="C29" s="273">
        <f>+B16*B29</f>
        <v>150</v>
      </c>
    </row>
    <row r="30" spans="1:11" ht="20.25" customHeight="1" thickBot="1">
      <c r="A30" s="267"/>
      <c r="B30" s="274" t="s">
        <v>150</v>
      </c>
      <c r="C30" s="275">
        <f>SUM(C27:C29)</f>
        <v>18507</v>
      </c>
    </row>
    <row r="32" spans="1:11" ht="15" thickBot="1">
      <c r="B32" s="276" t="s">
        <v>16</v>
      </c>
      <c r="C32" s="277">
        <f>(+E8+D18+C24+C30)</f>
        <v>81719.5</v>
      </c>
    </row>
    <row r="33" spans="1:3" ht="15.75" thickTop="1" thickBot="1">
      <c r="B33" s="276"/>
    </row>
    <row r="34" spans="1:3" ht="15.75" thickBot="1">
      <c r="A34" s="249" t="s">
        <v>159</v>
      </c>
      <c r="B34" s="246"/>
      <c r="C34" s="268" t="s">
        <v>82</v>
      </c>
    </row>
    <row r="35" spans="1:3" ht="15" thickBot="1">
      <c r="A35" s="278" t="s">
        <v>160</v>
      </c>
      <c r="B35" s="279">
        <v>0.03</v>
      </c>
      <c r="C35" s="280">
        <f>B35*(C32-D18)</f>
        <v>999.20999999999992</v>
      </c>
    </row>
    <row r="36" spans="1:3" ht="15.75" thickBot="1">
      <c r="A36" s="449" t="s">
        <v>161</v>
      </c>
      <c r="B36" s="450"/>
      <c r="C36" s="275">
        <f>+C32+C35</f>
        <v>82718.710000000006</v>
      </c>
    </row>
  </sheetData>
  <mergeCells count="3">
    <mergeCell ref="A36:B36"/>
    <mergeCell ref="A1:E1"/>
    <mergeCell ref="A2:E2"/>
  </mergeCells>
  <phoneticPr fontId="0" type="noConversion"/>
  <printOptions horizontalCentered="1" verticalCentered="1"/>
  <pageMargins left="1.5748031496062993" right="0.52" top="1.3779527559055118" bottom="0.35433070866141736" header="0" footer="0"/>
  <pageSetup paperSize="9" scale="85" orientation="portrait" horizontalDpi="300" verticalDpi="300" r:id="rId1"/>
  <headerFooter alignWithMargins="0"/>
  <ignoredErrors>
    <ignoredError sqref="C2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B1:O33"/>
  <sheetViews>
    <sheetView topLeftCell="A22" workbookViewId="0">
      <selection activeCell="J13" sqref="J13"/>
    </sheetView>
  </sheetViews>
  <sheetFormatPr baseColWidth="10" defaultRowHeight="14.25"/>
  <cols>
    <col min="1" max="1" width="4.28515625" style="36" customWidth="1"/>
    <col min="2" max="2" width="28.85546875" style="36" customWidth="1"/>
    <col min="3" max="3" width="6.42578125" style="36" customWidth="1"/>
    <col min="4" max="4" width="11.42578125" style="36"/>
    <col min="5" max="5" width="14.140625" style="36" bestFit="1" customWidth="1"/>
    <col min="6" max="6" width="2.42578125" style="36" customWidth="1"/>
    <col min="7" max="7" width="15.28515625" style="36" bestFit="1" customWidth="1"/>
    <col min="8" max="9" width="0" style="36" hidden="1" customWidth="1"/>
    <col min="10" max="16384" width="11.42578125" style="36"/>
  </cols>
  <sheetData>
    <row r="1" spans="2:15" s="35" customFormat="1" ht="18">
      <c r="B1" s="416" t="s">
        <v>57</v>
      </c>
      <c r="C1" s="416"/>
      <c r="D1" s="416"/>
      <c r="E1" s="416"/>
      <c r="F1" s="416"/>
      <c r="G1" s="416"/>
    </row>
    <row r="2" spans="2:15" s="35" customFormat="1" ht="18">
      <c r="B2" s="416" t="s">
        <v>58</v>
      </c>
      <c r="C2" s="416"/>
      <c r="D2" s="416"/>
      <c r="E2" s="416"/>
      <c r="F2" s="416"/>
      <c r="G2" s="416"/>
    </row>
    <row r="3" spans="2:15" ht="24.95" customHeight="1" thickBot="1">
      <c r="B3" s="101"/>
      <c r="C3" s="101"/>
      <c r="D3" s="101"/>
      <c r="E3" s="101"/>
      <c r="F3" s="101"/>
      <c r="G3" s="101"/>
    </row>
    <row r="4" spans="2:15" s="101" customFormat="1" ht="24.95" customHeight="1">
      <c r="B4" s="102" t="s">
        <v>59</v>
      </c>
      <c r="C4" s="103"/>
      <c r="D4" s="104" t="s">
        <v>60</v>
      </c>
      <c r="E4" s="104" t="s">
        <v>61</v>
      </c>
      <c r="F4" s="104"/>
      <c r="G4" s="105" t="s">
        <v>16</v>
      </c>
    </row>
    <row r="5" spans="2:15" ht="20.100000000000001" customHeight="1">
      <c r="B5" s="106" t="s">
        <v>62</v>
      </c>
      <c r="C5" s="106"/>
      <c r="D5" s="107">
        <v>7925161</v>
      </c>
      <c r="E5" s="108">
        <f>E31*1.1</f>
        <v>1.0699289996758425</v>
      </c>
      <c r="F5" s="106"/>
      <c r="G5" s="109">
        <f>+D5*E5</f>
        <v>8479359.5810000002</v>
      </c>
      <c r="H5" s="36" t="e">
        <f>+#REF!</f>
        <v>#REF!</v>
      </c>
      <c r="K5" s="110">
        <f>D5/12</f>
        <v>660430.08333333337</v>
      </c>
      <c r="L5" s="110">
        <f>K5*0.125</f>
        <v>82553.760416666672</v>
      </c>
      <c r="M5" s="110">
        <f>K5/26</f>
        <v>25401.157051282054</v>
      </c>
      <c r="N5" s="110">
        <f>M5*0.125</f>
        <v>3175.1446314102568</v>
      </c>
      <c r="O5" s="110"/>
    </row>
    <row r="6" spans="2:15" ht="20.100000000000001" customHeight="1">
      <c r="D6" s="106"/>
      <c r="E6" s="108"/>
      <c r="F6" s="106"/>
      <c r="G6" s="109"/>
      <c r="H6" s="36" t="e">
        <f>+#REF!</f>
        <v>#REF!</v>
      </c>
      <c r="K6" s="110">
        <f>K5/96000</f>
        <v>6.8794800347222225</v>
      </c>
      <c r="L6" s="110"/>
      <c r="M6" s="110">
        <f>M5/8</f>
        <v>3175.1446314102568</v>
      </c>
      <c r="N6" s="110">
        <f>N5*2</f>
        <v>6350.2892628205136</v>
      </c>
      <c r="O6" s="110"/>
    </row>
    <row r="7" spans="2:15" ht="20.100000000000001" customHeight="1">
      <c r="D7" s="111" t="s">
        <v>63</v>
      </c>
      <c r="E7" s="108"/>
      <c r="F7" s="106"/>
      <c r="G7" s="112">
        <f>+G5</f>
        <v>8479359.5810000002</v>
      </c>
      <c r="K7" s="110"/>
      <c r="L7" s="110"/>
      <c r="M7" s="110">
        <f>M6/60</f>
        <v>52.919077190170945</v>
      </c>
      <c r="N7" s="110"/>
      <c r="O7" s="110"/>
    </row>
    <row r="8" spans="2:15" ht="20.100000000000001" customHeight="1">
      <c r="E8" s="113"/>
      <c r="G8" s="114"/>
      <c r="H8" s="36" t="e">
        <f>+#REF!</f>
        <v>#REF!</v>
      </c>
      <c r="K8" s="110"/>
      <c r="L8" s="110"/>
      <c r="M8" s="110"/>
      <c r="N8" s="110"/>
      <c r="O8" s="110"/>
    </row>
    <row r="9" spans="2:15" ht="15">
      <c r="B9" s="36" t="s">
        <v>64</v>
      </c>
      <c r="E9" s="115"/>
      <c r="K9" s="110">
        <f>N5/0.58</f>
        <v>5474.3872955349261</v>
      </c>
      <c r="L9" s="110"/>
      <c r="M9" s="110"/>
      <c r="N9" s="110"/>
      <c r="O9" s="110"/>
    </row>
    <row r="10" spans="2:15">
      <c r="K10" s="110">
        <f>K9*6</f>
        <v>32846.323773209559</v>
      </c>
      <c r="L10" s="110"/>
    </row>
    <row r="11" spans="2:15">
      <c r="K11" s="110"/>
      <c r="L11" s="110"/>
    </row>
    <row r="12" spans="2:15">
      <c r="K12" s="110"/>
      <c r="L12" s="110"/>
    </row>
    <row r="13" spans="2:15">
      <c r="K13" s="110">
        <f>0.3^3</f>
        <v>2.7E-2</v>
      </c>
      <c r="L13" s="110"/>
    </row>
    <row r="14" spans="2:15">
      <c r="K14" s="110" t="e">
        <f>K13*#REF!</f>
        <v>#REF!</v>
      </c>
      <c r="L14" s="110"/>
    </row>
    <row r="15" spans="2:15">
      <c r="K15" s="110">
        <f>10*15</f>
        <v>150</v>
      </c>
      <c r="L15" s="110"/>
    </row>
    <row r="16" spans="2:15">
      <c r="K16" s="110"/>
      <c r="L16" s="110"/>
    </row>
    <row r="17" spans="2:12" ht="18">
      <c r="B17" s="416" t="s">
        <v>65</v>
      </c>
      <c r="C17" s="416"/>
      <c r="D17" s="416"/>
      <c r="E17" s="416"/>
      <c r="F17" s="416"/>
      <c r="G17" s="416"/>
      <c r="K17" s="110"/>
      <c r="L17" s="110"/>
    </row>
    <row r="18" spans="2:12" ht="18">
      <c r="B18" s="416" t="s">
        <v>66</v>
      </c>
      <c r="C18" s="416"/>
      <c r="D18" s="416"/>
      <c r="E18" s="416"/>
      <c r="F18" s="416"/>
      <c r="G18" s="416"/>
    </row>
    <row r="19" spans="2:12" ht="20.100000000000001" customHeight="1">
      <c r="B19" s="116"/>
      <c r="C19" s="116"/>
      <c r="D19" s="37"/>
      <c r="E19" s="117" t="s">
        <v>67</v>
      </c>
      <c r="F19" s="118"/>
      <c r="G19" s="119" t="s">
        <v>3</v>
      </c>
    </row>
    <row r="20" spans="2:12" ht="20.100000000000001" customHeight="1">
      <c r="B20" s="120" t="s">
        <v>68</v>
      </c>
      <c r="C20" s="121"/>
      <c r="D20" s="122"/>
      <c r="E20" s="123">
        <f>+'A-D1-D2'!G13</f>
        <v>7588110</v>
      </c>
      <c r="F20" s="123"/>
      <c r="G20" s="124">
        <f>+E20/$E$28</f>
        <v>0.98438106324718677</v>
      </c>
    </row>
    <row r="21" spans="2:12" ht="20.100000000000001" customHeight="1">
      <c r="B21" s="120" t="s">
        <v>69</v>
      </c>
      <c r="C21" s="121"/>
      <c r="D21" s="122"/>
      <c r="E21" s="123">
        <f>+'A-D1-D2'!F30</f>
        <v>37680</v>
      </c>
      <c r="F21" s="123"/>
      <c r="G21" s="124">
        <f>+E21/$E$28</f>
        <v>4.8881050041649369E-3</v>
      </c>
    </row>
    <row r="22" spans="2:12" ht="20.100000000000001" customHeight="1">
      <c r="B22" s="125" t="s">
        <v>70</v>
      </c>
      <c r="C22" s="126"/>
      <c r="D22" s="127"/>
      <c r="E22" s="123">
        <f>+'ANEXO D3'!C36</f>
        <v>82718.710000000006</v>
      </c>
      <c r="F22" s="123"/>
      <c r="G22" s="124">
        <f>+E22/$E$28</f>
        <v>1.0730831748648308E-2</v>
      </c>
    </row>
    <row r="23" spans="2:12" ht="20.100000000000001" customHeight="1">
      <c r="B23" s="128" t="s">
        <v>71</v>
      </c>
      <c r="C23" s="129"/>
      <c r="D23" s="130">
        <f>+'ANEXO D3'!E8</f>
        <v>4800</v>
      </c>
      <c r="E23" s="106"/>
      <c r="F23" s="123"/>
      <c r="G23" s="124">
        <f>+D23/$E$22</f>
        <v>5.8027984237181647E-2</v>
      </c>
    </row>
    <row r="24" spans="2:12" ht="20.100000000000001" customHeight="1">
      <c r="B24" s="128" t="s">
        <v>72</v>
      </c>
      <c r="C24" s="129"/>
      <c r="D24" s="130">
        <f>+'ANEXO D3'!D18</f>
        <v>48412.5</v>
      </c>
      <c r="E24" s="106"/>
      <c r="F24" s="123"/>
      <c r="G24" s="124">
        <f>+D24/$E$22</f>
        <v>0.58526662226719928</v>
      </c>
    </row>
    <row r="25" spans="2:12" ht="20.100000000000001" customHeight="1">
      <c r="B25" s="131" t="s">
        <v>73</v>
      </c>
      <c r="C25" s="132"/>
      <c r="D25" s="130">
        <f>+'ANEXO D3'!C24</f>
        <v>10000</v>
      </c>
      <c r="E25" s="106"/>
      <c r="F25" s="123"/>
      <c r="G25" s="124">
        <f>+D25/$E$22</f>
        <v>0.12089163382746176</v>
      </c>
    </row>
    <row r="26" spans="2:12" ht="20.100000000000001" customHeight="1">
      <c r="B26" s="131" t="s">
        <v>74</v>
      </c>
      <c r="C26" s="132"/>
      <c r="D26" s="130">
        <f>+'ANEXO D3'!C30</f>
        <v>18507</v>
      </c>
      <c r="E26" s="106"/>
      <c r="F26" s="123"/>
      <c r="G26" s="124">
        <f>+D26/$E$22</f>
        <v>0.22373414672448347</v>
      </c>
    </row>
    <row r="27" spans="2:12" ht="20.100000000000001" customHeight="1">
      <c r="B27" s="131" t="s">
        <v>75</v>
      </c>
      <c r="C27" s="132"/>
      <c r="D27" s="130">
        <f>+'ANEXO D3'!C35</f>
        <v>999.20999999999992</v>
      </c>
      <c r="E27" s="106"/>
      <c r="F27" s="123"/>
      <c r="G27" s="124">
        <f>+D27/$E$22</f>
        <v>1.2079612943673806E-2</v>
      </c>
    </row>
    <row r="28" spans="2:12" ht="20.100000000000001" customHeight="1">
      <c r="D28" s="133" t="s">
        <v>16</v>
      </c>
      <c r="E28" s="134">
        <f>SUM(E20:E22)</f>
        <v>7708508.71</v>
      </c>
      <c r="F28" s="134"/>
      <c r="G28" s="135">
        <f>+G20+G21+G22</f>
        <v>1</v>
      </c>
    </row>
    <row r="29" spans="2:12" ht="20.25" customHeight="1">
      <c r="D29" s="119"/>
      <c r="E29" s="136"/>
      <c r="F29" s="136"/>
      <c r="G29" s="137"/>
    </row>
    <row r="30" spans="2:12" s="138" customFormat="1" ht="24.95" customHeight="1">
      <c r="B30" s="138" t="s">
        <v>76</v>
      </c>
      <c r="E30" s="139">
        <f>+D5</f>
        <v>7925161</v>
      </c>
    </row>
    <row r="31" spans="2:12" s="138" customFormat="1" ht="24.95" customHeight="1">
      <c r="B31" s="138" t="s">
        <v>77</v>
      </c>
      <c r="E31" s="140">
        <f>+E28/E30</f>
        <v>0.97266272697803868</v>
      </c>
    </row>
    <row r="32" spans="2:12" ht="24.95" customHeight="1">
      <c r="E32" s="113"/>
    </row>
    <row r="33" ht="24.95" customHeight="1"/>
  </sheetData>
  <mergeCells count="4">
    <mergeCell ref="B17:G17"/>
    <mergeCell ref="B18:G18"/>
    <mergeCell ref="B1:G1"/>
    <mergeCell ref="B2:G2"/>
  </mergeCells>
  <phoneticPr fontId="0" type="noConversion"/>
  <printOptions horizontalCentered="1" verticalCentered="1"/>
  <pageMargins left="1.5748031496062993" right="0.78740157480314965" top="1.5748031496062993" bottom="1.0236220472440944" header="0" footer="0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6"/>
  <sheetViews>
    <sheetView topLeftCell="A22" zoomScale="75" workbookViewId="0">
      <selection activeCell="C32" sqref="C32"/>
    </sheetView>
  </sheetViews>
  <sheetFormatPr baseColWidth="10" defaultRowHeight="14.25"/>
  <cols>
    <col min="1" max="1" width="51.5703125" style="36" bestFit="1" customWidth="1"/>
    <col min="2" max="2" width="10.140625" style="36" customWidth="1"/>
    <col min="3" max="4" width="10.28515625" style="36" customWidth="1"/>
    <col min="5" max="16384" width="11.42578125" style="36"/>
  </cols>
  <sheetData>
    <row r="1" spans="1:5" ht="18">
      <c r="A1" s="416" t="s">
        <v>162</v>
      </c>
      <c r="B1" s="416"/>
      <c r="C1" s="416"/>
      <c r="D1" s="416"/>
      <c r="E1" s="416"/>
    </row>
    <row r="2" spans="1:5" ht="18">
      <c r="A2" s="416" t="s">
        <v>163</v>
      </c>
      <c r="B2" s="416"/>
      <c r="C2" s="416"/>
      <c r="D2" s="416"/>
      <c r="E2" s="416"/>
    </row>
    <row r="3" spans="1:5" ht="15" thickBot="1"/>
    <row r="4" spans="1:5" ht="20.100000000000001" customHeight="1" thickBot="1">
      <c r="A4" s="235" t="s">
        <v>164</v>
      </c>
      <c r="B4" s="180"/>
      <c r="C4" s="281"/>
      <c r="D4" s="282"/>
      <c r="E4" s="238" t="s">
        <v>137</v>
      </c>
    </row>
    <row r="5" spans="1:5" ht="20.100000000000001" customHeight="1" thickBot="1">
      <c r="A5" s="253" t="s">
        <v>165</v>
      </c>
      <c r="B5" s="283"/>
      <c r="C5" s="284"/>
      <c r="D5" s="130"/>
      <c r="E5" s="255">
        <v>2500</v>
      </c>
    </row>
    <row r="6" spans="1:5" ht="20.100000000000001" customHeight="1" thickBot="1">
      <c r="A6" s="285" t="s">
        <v>164</v>
      </c>
      <c r="B6" s="286"/>
      <c r="C6" s="287"/>
      <c r="D6" s="288"/>
      <c r="E6" s="289">
        <f>SUM(E5:E5)</f>
        <v>2500</v>
      </c>
    </row>
    <row r="7" spans="1:5" ht="20.100000000000001" customHeight="1" thickBot="1">
      <c r="A7" s="290" t="s">
        <v>166</v>
      </c>
      <c r="B7" s="291"/>
      <c r="C7" s="287"/>
      <c r="D7" s="292"/>
      <c r="E7" s="289">
        <v>1000</v>
      </c>
    </row>
    <row r="8" spans="1:5" ht="20.100000000000001" customHeight="1" thickBot="1">
      <c r="A8" s="290" t="s">
        <v>167</v>
      </c>
      <c r="B8" s="293">
        <v>0.03</v>
      </c>
      <c r="C8" s="287"/>
      <c r="D8" s="292"/>
      <c r="E8" s="294">
        <f>(E6+E7)*3%</f>
        <v>105</v>
      </c>
    </row>
    <row r="9" spans="1:5" ht="20.100000000000001" customHeight="1" thickBot="1">
      <c r="A9" s="295" t="s">
        <v>168</v>
      </c>
      <c r="B9" s="287"/>
      <c r="C9" s="287"/>
      <c r="D9" s="287"/>
      <c r="E9" s="296">
        <f>E6+E7+E8</f>
        <v>3605</v>
      </c>
    </row>
    <row r="12" spans="1:5" ht="18">
      <c r="A12" s="416" t="s">
        <v>169</v>
      </c>
      <c r="B12" s="416"/>
      <c r="C12" s="416"/>
      <c r="D12" s="416"/>
      <c r="E12" s="416"/>
    </row>
    <row r="13" spans="1:5" ht="18">
      <c r="A13" s="416" t="s">
        <v>170</v>
      </c>
      <c r="B13" s="416"/>
      <c r="C13" s="416"/>
      <c r="D13" s="416"/>
      <c r="E13" s="416"/>
    </row>
    <row r="14" spans="1:5" ht="15" thickBot="1"/>
    <row r="15" spans="1:5" ht="30.75" thickBot="1">
      <c r="A15" s="235" t="s">
        <v>171</v>
      </c>
      <c r="B15" s="236" t="s">
        <v>134</v>
      </c>
      <c r="C15" s="237" t="s">
        <v>135</v>
      </c>
      <c r="D15" s="237" t="s">
        <v>136</v>
      </c>
      <c r="E15" s="238" t="s">
        <v>137</v>
      </c>
    </row>
    <row r="16" spans="1:5">
      <c r="A16" s="253" t="s">
        <v>172</v>
      </c>
      <c r="B16" s="254">
        <v>1</v>
      </c>
      <c r="C16" s="123">
        <v>350</v>
      </c>
      <c r="D16" s="123">
        <f>(+B16*C16)</f>
        <v>350</v>
      </c>
      <c r="E16" s="255">
        <f>(+C16*B16)*12</f>
        <v>4200</v>
      </c>
    </row>
    <row r="17" spans="1:9">
      <c r="A17" s="253" t="s">
        <v>173</v>
      </c>
      <c r="B17" s="254">
        <v>1</v>
      </c>
      <c r="C17" s="123">
        <v>800</v>
      </c>
      <c r="D17" s="123">
        <f>(+B17*C17)</f>
        <v>800</v>
      </c>
      <c r="E17" s="255">
        <f>(+C17*B17)*12</f>
        <v>9600</v>
      </c>
    </row>
    <row r="18" spans="1:9" ht="15" thickBot="1">
      <c r="A18" s="253" t="s">
        <v>174</v>
      </c>
      <c r="B18" s="254">
        <v>1</v>
      </c>
      <c r="C18" s="123">
        <v>450</v>
      </c>
      <c r="D18" s="123">
        <f>(+B18*C18)</f>
        <v>450</v>
      </c>
      <c r="E18" s="255">
        <f>(+C18*B18)*12</f>
        <v>5400</v>
      </c>
    </row>
    <row r="19" spans="1:9" ht="15.75" thickBot="1">
      <c r="A19" s="244" t="s">
        <v>150</v>
      </c>
      <c r="B19" s="245">
        <f>SUM(B16:B18)</f>
        <v>3</v>
      </c>
      <c r="C19" s="246"/>
      <c r="D19" s="247">
        <f>SUM(D16:D18)</f>
        <v>1600</v>
      </c>
      <c r="E19" s="247">
        <f>SUM(E16:E18)</f>
        <v>19200</v>
      </c>
    </row>
    <row r="20" spans="1:9" ht="20.100000000000001" customHeight="1" thickBot="1">
      <c r="A20" s="290" t="s">
        <v>175</v>
      </c>
      <c r="B20" s="291"/>
      <c r="C20" s="287"/>
      <c r="D20" s="288"/>
      <c r="E20" s="289">
        <v>1000</v>
      </c>
    </row>
    <row r="21" spans="1:9" ht="15.75" thickBot="1">
      <c r="A21" s="297" t="s">
        <v>176</v>
      </c>
      <c r="B21" s="287"/>
      <c r="C21" s="287"/>
      <c r="D21" s="287"/>
      <c r="E21" s="298"/>
    </row>
    <row r="22" spans="1:9">
      <c r="A22" s="240" t="s">
        <v>177</v>
      </c>
      <c r="B22" s="299"/>
      <c r="C22" s="300"/>
      <c r="D22" s="301">
        <v>5</v>
      </c>
      <c r="E22" s="243">
        <f>+'ANEXO 2A'!E24/D22</f>
        <v>1000</v>
      </c>
    </row>
    <row r="23" spans="1:9" ht="15" thickBot="1">
      <c r="A23" s="253" t="s">
        <v>178</v>
      </c>
      <c r="B23" s="131"/>
      <c r="C23" s="132"/>
      <c r="D23" s="302">
        <v>5</v>
      </c>
      <c r="E23" s="255">
        <f>+'ANEXO 2A'!E25/D23</f>
        <v>160</v>
      </c>
    </row>
    <row r="24" spans="1:9" ht="15.75" thickBot="1">
      <c r="A24" s="285" t="s">
        <v>150</v>
      </c>
      <c r="B24" s="303"/>
      <c r="C24" s="303"/>
      <c r="D24" s="303"/>
      <c r="E24" s="296">
        <f>SUM(E22:E23)</f>
        <v>1160</v>
      </c>
    </row>
    <row r="25" spans="1:9" ht="20.100000000000001" customHeight="1" thickBot="1">
      <c r="A25" s="295" t="s">
        <v>161</v>
      </c>
      <c r="B25" s="287"/>
      <c r="C25" s="287"/>
      <c r="D25" s="287"/>
      <c r="E25" s="296">
        <f>E20+E24+E19</f>
        <v>21360</v>
      </c>
      <c r="I25" s="38"/>
    </row>
    <row r="26" spans="1:9" ht="15">
      <c r="A26" s="304"/>
      <c r="B26" s="119"/>
      <c r="C26" s="39"/>
      <c r="D26" s="136"/>
      <c r="E26" s="136"/>
    </row>
    <row r="29" spans="1:9" ht="18">
      <c r="A29" s="416" t="s">
        <v>179</v>
      </c>
      <c r="B29" s="416"/>
      <c r="C29" s="416"/>
      <c r="D29" s="416"/>
      <c r="E29" s="416"/>
    </row>
    <row r="30" spans="1:9" ht="18">
      <c r="A30" s="416" t="s">
        <v>180</v>
      </c>
      <c r="B30" s="416"/>
      <c r="C30" s="416"/>
      <c r="D30" s="416"/>
      <c r="E30" s="416"/>
    </row>
    <row r="31" spans="1:9" ht="15" thickBot="1"/>
    <row r="32" spans="1:9" ht="15.75" thickBot="1">
      <c r="A32" s="297" t="s">
        <v>181</v>
      </c>
      <c r="B32" s="287"/>
      <c r="C32" s="287"/>
      <c r="D32" s="287"/>
      <c r="E32" s="298"/>
    </row>
    <row r="33" spans="1:5" ht="15" thickBot="1">
      <c r="A33" s="305" t="s">
        <v>182</v>
      </c>
      <c r="B33" s="306"/>
      <c r="C33" s="306"/>
      <c r="D33" s="307"/>
      <c r="E33" s="308">
        <f>+[1]amortización!C9+[1]amortización!C10</f>
        <v>76876.144324048175</v>
      </c>
    </row>
    <row r="34" spans="1:5" ht="15.75" thickBot="1">
      <c r="A34" s="285" t="s">
        <v>150</v>
      </c>
      <c r="B34" s="303"/>
      <c r="C34" s="303"/>
      <c r="D34" s="303"/>
      <c r="E34" s="296">
        <f>+E33</f>
        <v>76876.144324048175</v>
      </c>
    </row>
    <row r="35" spans="1:5" ht="15" thickBot="1"/>
    <row r="36" spans="1:5" ht="15.75" thickBot="1">
      <c r="A36" s="295" t="s">
        <v>161</v>
      </c>
      <c r="B36" s="287"/>
      <c r="C36" s="287"/>
      <c r="D36" s="287"/>
      <c r="E36" s="296">
        <f>+E34</f>
        <v>76876.144324048175</v>
      </c>
    </row>
  </sheetData>
  <mergeCells count="6">
    <mergeCell ref="A29:E29"/>
    <mergeCell ref="A30:E30"/>
    <mergeCell ref="A1:E1"/>
    <mergeCell ref="A2:E2"/>
    <mergeCell ref="A12:E12"/>
    <mergeCell ref="A13:E13"/>
  </mergeCells>
  <phoneticPr fontId="0" type="noConversion"/>
  <printOptions horizontalCentered="1" verticalCentered="1"/>
  <pageMargins left="1.5748031496062993" right="0.23" top="1.3779527559055118" bottom="0.9055118110236221" header="0" footer="0"/>
  <pageSetup paperSize="9" scale="85" orientation="portrait" horizontalDpi="4294967293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6"/>
  <sheetViews>
    <sheetView zoomScale="75" workbookViewId="0">
      <selection activeCell="D30" sqref="D30"/>
    </sheetView>
  </sheetViews>
  <sheetFormatPr baseColWidth="10" defaultRowHeight="12.75"/>
  <cols>
    <col min="1" max="1" width="40.85546875" customWidth="1"/>
    <col min="2" max="2" width="12" style="2" bestFit="1" customWidth="1"/>
    <col min="3" max="4" width="12.85546875" style="2" bestFit="1" customWidth="1"/>
    <col min="5" max="5" width="13.28515625" style="2" bestFit="1" customWidth="1"/>
    <col min="6" max="6" width="12.85546875" style="2" bestFit="1" customWidth="1"/>
    <col min="7" max="9" width="13.7109375" style="2" bestFit="1" customWidth="1"/>
    <col min="10" max="10" width="12.85546875" style="2" bestFit="1" customWidth="1"/>
    <col min="11" max="11" width="13.7109375" style="2" bestFit="1" customWidth="1"/>
  </cols>
  <sheetData>
    <row r="1" spans="1:13" s="348" customFormat="1" ht="30">
      <c r="A1" s="417" t="s">
        <v>224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</row>
    <row r="2" spans="1:13" s="348" customFormat="1" ht="30">
      <c r="A2" s="417" t="s">
        <v>225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</row>
    <row r="3" spans="1:13" ht="13.5" thickBot="1"/>
    <row r="4" spans="1:13" ht="13.5" customHeight="1">
      <c r="A4" s="349" t="s">
        <v>185</v>
      </c>
      <c r="B4" s="350">
        <v>1</v>
      </c>
      <c r="C4" s="350">
        <v>2</v>
      </c>
      <c r="D4" s="350">
        <v>3</v>
      </c>
      <c r="E4" s="350">
        <v>4</v>
      </c>
      <c r="F4" s="350">
        <v>5</v>
      </c>
      <c r="G4" s="350">
        <v>6</v>
      </c>
      <c r="H4" s="350">
        <v>7</v>
      </c>
      <c r="I4" s="350">
        <v>8</v>
      </c>
      <c r="J4" s="350">
        <v>9</v>
      </c>
      <c r="K4" s="351">
        <v>10</v>
      </c>
    </row>
    <row r="5" spans="1:13" s="3" customFormat="1">
      <c r="A5" s="352"/>
      <c r="B5" s="353"/>
      <c r="C5" s="353"/>
      <c r="D5" s="353"/>
      <c r="E5" s="353"/>
      <c r="F5" s="353"/>
      <c r="G5" s="353"/>
      <c r="H5" s="353"/>
      <c r="I5" s="353"/>
      <c r="J5" s="353"/>
      <c r="K5" s="354"/>
    </row>
    <row r="6" spans="1:13">
      <c r="A6" s="355" t="s">
        <v>226</v>
      </c>
      <c r="B6" s="356">
        <f>+[1]Datos!C70</f>
        <v>8479359.5810000002</v>
      </c>
      <c r="C6" s="356">
        <f>+[1]Datos!D70</f>
        <v>8818533.9642399997</v>
      </c>
      <c r="D6" s="356">
        <f>+[1]Datos!E70</f>
        <v>9171275.3228096012</v>
      </c>
      <c r="E6" s="356">
        <f>+[1]Datos!F70</f>
        <v>9538126.3357219864</v>
      </c>
      <c r="F6" s="356">
        <f>+[1]Datos!G70</f>
        <v>9919651.3891508654</v>
      </c>
      <c r="G6" s="356">
        <f>+[1]Datos!H70</f>
        <v>10316437.444716901</v>
      </c>
      <c r="H6" s="356">
        <f>+[1]Datos!I70</f>
        <v>10729094.942505576</v>
      </c>
      <c r="I6" s="356">
        <f>+[1]Datos!J70</f>
        <v>11158258.7402058</v>
      </c>
      <c r="J6" s="356">
        <f>+[1]Datos!K70</f>
        <v>11604589.089814031</v>
      </c>
      <c r="K6" s="357">
        <f>+[1]Datos!L70</f>
        <v>12068772.653406594</v>
      </c>
      <c r="L6" s="358"/>
      <c r="M6" s="358"/>
    </row>
    <row r="7" spans="1:13">
      <c r="A7" s="355" t="s">
        <v>227</v>
      </c>
      <c r="B7" s="356">
        <f>[1]Datos!C9</f>
        <v>7630590</v>
      </c>
      <c r="C7" s="356">
        <f>[1]Datos!D9</f>
        <v>7934114.4000000004</v>
      </c>
      <c r="D7" s="356">
        <f>[1]Datos!E9</f>
        <v>8249779.7760000005</v>
      </c>
      <c r="E7" s="356">
        <f>[1]Datos!F9</f>
        <v>8578071.7670400012</v>
      </c>
      <c r="F7" s="356">
        <f>[1]Datos!G9</f>
        <v>8919495.4377216008</v>
      </c>
      <c r="G7" s="356">
        <f>[1]Datos!H9</f>
        <v>9274576.0552304648</v>
      </c>
      <c r="H7" s="356">
        <f>[1]Datos!I9</f>
        <v>9643859.8974396847</v>
      </c>
      <c r="I7" s="356">
        <f>[1]Datos!J9</f>
        <v>10027915.093337271</v>
      </c>
      <c r="J7" s="356">
        <f>[1]Datos!K9</f>
        <v>10427332.497070763</v>
      </c>
      <c r="K7" s="357">
        <f>[1]Datos!L9</f>
        <v>10842726.596953595</v>
      </c>
      <c r="L7" s="358"/>
      <c r="M7" s="358"/>
    </row>
    <row r="8" spans="1:13" s="3" customFormat="1" ht="13.5" thickBot="1">
      <c r="A8" s="359" t="s">
        <v>228</v>
      </c>
      <c r="B8" s="360">
        <f>+B6-B7</f>
        <v>848769.58100000024</v>
      </c>
      <c r="C8" s="360">
        <f t="shared" ref="C8:K8" si="0">+C6-C7</f>
        <v>884419.56423999928</v>
      </c>
      <c r="D8" s="360">
        <f t="shared" si="0"/>
        <v>921495.54680960067</v>
      </c>
      <c r="E8" s="360">
        <f t="shared" si="0"/>
        <v>960054.56868198514</v>
      </c>
      <c r="F8" s="360">
        <f t="shared" si="0"/>
        <v>1000155.9514292646</v>
      </c>
      <c r="G8" s="360">
        <f t="shared" si="0"/>
        <v>1041861.3894864358</v>
      </c>
      <c r="H8" s="360">
        <f t="shared" si="0"/>
        <v>1085235.045065891</v>
      </c>
      <c r="I8" s="360">
        <f t="shared" si="0"/>
        <v>1130343.6468685288</v>
      </c>
      <c r="J8" s="360">
        <f t="shared" si="0"/>
        <v>1177256.5927432682</v>
      </c>
      <c r="K8" s="361">
        <f t="shared" si="0"/>
        <v>1226046.0564529989</v>
      </c>
      <c r="L8" s="10"/>
      <c r="M8" s="10"/>
    </row>
    <row r="9" spans="1:13" s="3" customFormat="1" ht="13.5" thickBot="1">
      <c r="A9" s="362" t="s">
        <v>229</v>
      </c>
      <c r="B9" s="363">
        <f>+B8/B6</f>
        <v>0.1000983120118963</v>
      </c>
      <c r="C9" s="363">
        <f t="shared" ref="C9:K9" si="1">+C8/C6</f>
        <v>0.10029099710069785</v>
      </c>
      <c r="D9" s="363">
        <f t="shared" si="1"/>
        <v>0.10047627122454572</v>
      </c>
      <c r="E9" s="363">
        <f t="shared" si="1"/>
        <v>0.10065441942055321</v>
      </c>
      <c r="F9" s="363">
        <f t="shared" si="1"/>
        <v>0.10082571576286807</v>
      </c>
      <c r="G9" s="363">
        <f t="shared" si="1"/>
        <v>0.10099042378432471</v>
      </c>
      <c r="H9" s="363">
        <f t="shared" si="1"/>
        <v>0.10114879688187893</v>
      </c>
      <c r="I9" s="363">
        <f t="shared" si="1"/>
        <v>0.10130107870645066</v>
      </c>
      <c r="J9" s="363">
        <f t="shared" si="1"/>
        <v>0.10144750353776932</v>
      </c>
      <c r="K9" s="364">
        <f t="shared" si="1"/>
        <v>0.10158829664480662</v>
      </c>
    </row>
    <row r="10" spans="1:13">
      <c r="A10" s="365"/>
      <c r="B10" s="366"/>
      <c r="C10" s="366"/>
      <c r="D10" s="366"/>
      <c r="E10" s="366"/>
      <c r="F10" s="366"/>
      <c r="G10" s="366"/>
      <c r="H10" s="366"/>
      <c r="I10" s="366"/>
      <c r="J10" s="366"/>
      <c r="K10" s="367"/>
    </row>
    <row r="11" spans="1:13">
      <c r="A11" s="365"/>
      <c r="B11" s="366"/>
      <c r="C11" s="366"/>
      <c r="D11" s="366"/>
      <c r="E11" s="366"/>
      <c r="F11" s="366"/>
      <c r="G11" s="366"/>
      <c r="H11" s="366"/>
      <c r="I11" s="366"/>
      <c r="J11" s="366"/>
      <c r="K11" s="367"/>
    </row>
    <row r="12" spans="1:13" s="3" customFormat="1">
      <c r="A12" s="368" t="str">
        <f>+'ANEXO 10'!A9</f>
        <v xml:space="preserve">-   GASTOS DE VENTAS </v>
      </c>
      <c r="B12" s="369">
        <f>+'ANEXO 4-5-6'!E9</f>
        <v>3605</v>
      </c>
      <c r="C12" s="369">
        <f t="shared" ref="C12:K12" si="2">+B12</f>
        <v>3605</v>
      </c>
      <c r="D12" s="369">
        <f t="shared" si="2"/>
        <v>3605</v>
      </c>
      <c r="E12" s="369">
        <f t="shared" si="2"/>
        <v>3605</v>
      </c>
      <c r="F12" s="369">
        <f t="shared" si="2"/>
        <v>3605</v>
      </c>
      <c r="G12" s="369">
        <f t="shared" si="2"/>
        <v>3605</v>
      </c>
      <c r="H12" s="369">
        <f t="shared" si="2"/>
        <v>3605</v>
      </c>
      <c r="I12" s="369">
        <f t="shared" si="2"/>
        <v>3605</v>
      </c>
      <c r="J12" s="369">
        <f t="shared" si="2"/>
        <v>3605</v>
      </c>
      <c r="K12" s="370">
        <f t="shared" si="2"/>
        <v>3605</v>
      </c>
    </row>
    <row r="13" spans="1:13">
      <c r="A13" s="355" t="str">
        <f>+'ANEXO 10'!A12</f>
        <v xml:space="preserve">- GASTOS DE ADMINISTRACIÓN y GENERALES </v>
      </c>
      <c r="B13" s="371">
        <f>+'ANEXO 4-5-6'!E25</f>
        <v>21360</v>
      </c>
      <c r="C13" s="369">
        <f t="shared" ref="C13:K13" si="3">+B13</f>
        <v>21360</v>
      </c>
      <c r="D13" s="369">
        <f t="shared" si="3"/>
        <v>21360</v>
      </c>
      <c r="E13" s="369">
        <f t="shared" si="3"/>
        <v>21360</v>
      </c>
      <c r="F13" s="369">
        <f t="shared" si="3"/>
        <v>21360</v>
      </c>
      <c r="G13" s="369">
        <f t="shared" si="3"/>
        <v>21360</v>
      </c>
      <c r="H13" s="369">
        <f t="shared" si="3"/>
        <v>21360</v>
      </c>
      <c r="I13" s="369">
        <f t="shared" si="3"/>
        <v>21360</v>
      </c>
      <c r="J13" s="369">
        <f t="shared" si="3"/>
        <v>21360</v>
      </c>
      <c r="K13" s="370">
        <f t="shared" si="3"/>
        <v>21360</v>
      </c>
    </row>
    <row r="14" spans="1:13" ht="13.5" thickBot="1">
      <c r="A14" s="372" t="str">
        <f>+'ANEXO 10'!A15</f>
        <v xml:space="preserve">-   GASTOS DE FINANCIAMIENTO      </v>
      </c>
      <c r="B14" s="373">
        <f>+[1]Datos!C51</f>
        <v>44282.786752708911</v>
      </c>
      <c r="C14" s="373">
        <f>+[1]Datos!D51</f>
        <v>41283.383022206413</v>
      </c>
      <c r="D14" s="373">
        <f>+[1]Datos!E51</f>
        <v>38007.959163404434</v>
      </c>
      <c r="E14" s="373">
        <f>+[1]Datos!F51</f>
        <v>34431.114423996187</v>
      </c>
      <c r="F14" s="373">
        <f>+[1]Datos!G51</f>
        <v>30525.11054744391</v>
      </c>
      <c r="G14" s="373">
        <f>+[1]Datos!H51</f>
        <v>26259.656664151902</v>
      </c>
      <c r="H14" s="373">
        <f>+[1]Datos!I51</f>
        <v>21601.67438724995</v>
      </c>
      <c r="I14" s="373">
        <f>+[1]Datos!J51</f>
        <v>16515.041291316091</v>
      </c>
      <c r="J14" s="373">
        <f>+[1]Datos!K51</f>
        <v>10960.310784728923</v>
      </c>
      <c r="K14" s="374">
        <f>+[1]Datos!L51</f>
        <v>4894.406203273069</v>
      </c>
    </row>
    <row r="15" spans="1:13" s="3" customFormat="1">
      <c r="A15" s="375" t="s">
        <v>230</v>
      </c>
      <c r="B15" s="376">
        <f>SUM(B12:B14)</f>
        <v>69247.786752708911</v>
      </c>
      <c r="C15" s="376">
        <f t="shared" ref="C15:K15" si="4">SUM(C13:C14)</f>
        <v>62643.383022206413</v>
      </c>
      <c r="D15" s="376">
        <f t="shared" si="4"/>
        <v>59367.959163404434</v>
      </c>
      <c r="E15" s="376">
        <f t="shared" si="4"/>
        <v>55791.114423996187</v>
      </c>
      <c r="F15" s="376">
        <f t="shared" si="4"/>
        <v>51885.11054744391</v>
      </c>
      <c r="G15" s="376">
        <f t="shared" si="4"/>
        <v>47619.656664151902</v>
      </c>
      <c r="H15" s="376">
        <f t="shared" si="4"/>
        <v>42961.67438724995</v>
      </c>
      <c r="I15" s="376">
        <f t="shared" si="4"/>
        <v>37875.041291316091</v>
      </c>
      <c r="J15" s="376">
        <f t="shared" si="4"/>
        <v>32320.310784728921</v>
      </c>
      <c r="K15" s="377">
        <f t="shared" si="4"/>
        <v>26254.406203273069</v>
      </c>
    </row>
    <row r="16" spans="1:13" s="3" customFormat="1">
      <c r="A16" s="352"/>
      <c r="B16" s="369"/>
      <c r="C16" s="369"/>
      <c r="D16" s="369"/>
      <c r="E16" s="369"/>
      <c r="F16" s="369"/>
      <c r="G16" s="369"/>
      <c r="H16" s="369"/>
      <c r="I16" s="369"/>
      <c r="J16" s="369"/>
      <c r="K16" s="370"/>
    </row>
    <row r="17" spans="1:11" s="3" customFormat="1">
      <c r="A17" s="378" t="s">
        <v>208</v>
      </c>
      <c r="B17" s="369">
        <f>+B8-B15</f>
        <v>779521.79424729128</v>
      </c>
      <c r="C17" s="369">
        <f t="shared" ref="C17:K17" si="5">+C8-C15</f>
        <v>821776.18121779291</v>
      </c>
      <c r="D17" s="369">
        <f t="shared" si="5"/>
        <v>862127.58764619625</v>
      </c>
      <c r="E17" s="369">
        <f t="shared" si="5"/>
        <v>904263.45425798895</v>
      </c>
      <c r="F17" s="369">
        <f t="shared" si="5"/>
        <v>948270.84088182077</v>
      </c>
      <c r="G17" s="369">
        <f t="shared" si="5"/>
        <v>994241.73282228387</v>
      </c>
      <c r="H17" s="369">
        <f t="shared" si="5"/>
        <v>1042273.370678641</v>
      </c>
      <c r="I17" s="369">
        <f t="shared" si="5"/>
        <v>1092468.6055772128</v>
      </c>
      <c r="J17" s="369">
        <f t="shared" si="5"/>
        <v>1144936.2819585393</v>
      </c>
      <c r="K17" s="370">
        <f t="shared" si="5"/>
        <v>1199791.6502497259</v>
      </c>
    </row>
    <row r="18" spans="1:11" s="3" customFormat="1" ht="13.5" thickBot="1">
      <c r="A18" s="379" t="s">
        <v>209</v>
      </c>
      <c r="B18" s="380">
        <f t="shared" ref="B18:K18" si="6">0.15*B17</f>
        <v>116928.2691370937</v>
      </c>
      <c r="C18" s="380">
        <f t="shared" si="6"/>
        <v>123266.42718266894</v>
      </c>
      <c r="D18" s="380">
        <f t="shared" si="6"/>
        <v>129319.13814692943</v>
      </c>
      <c r="E18" s="380">
        <f t="shared" si="6"/>
        <v>135639.51813869833</v>
      </c>
      <c r="F18" s="380">
        <f t="shared" si="6"/>
        <v>142240.62613227312</v>
      </c>
      <c r="G18" s="380">
        <f t="shared" si="6"/>
        <v>149136.25992334259</v>
      </c>
      <c r="H18" s="380">
        <f t="shared" si="6"/>
        <v>156341.00560179615</v>
      </c>
      <c r="I18" s="380">
        <f t="shared" si="6"/>
        <v>163870.2908365819</v>
      </c>
      <c r="J18" s="380">
        <f t="shared" si="6"/>
        <v>171740.44229378088</v>
      </c>
      <c r="K18" s="381">
        <f t="shared" si="6"/>
        <v>179968.74753745887</v>
      </c>
    </row>
    <row r="19" spans="1:11" s="3" customFormat="1">
      <c r="A19" s="375"/>
      <c r="B19" s="382"/>
      <c r="C19" s="382"/>
      <c r="D19" s="382"/>
      <c r="E19" s="382"/>
      <c r="F19" s="382"/>
      <c r="G19" s="382"/>
      <c r="H19" s="382"/>
      <c r="I19" s="382"/>
      <c r="J19" s="382"/>
      <c r="K19" s="383"/>
    </row>
    <row r="20" spans="1:11" s="3" customFormat="1">
      <c r="A20" s="378" t="s">
        <v>210</v>
      </c>
      <c r="B20" s="369">
        <f t="shared" ref="B20:K20" si="7">+B17-B18</f>
        <v>662593.5251101976</v>
      </c>
      <c r="C20" s="369">
        <f t="shared" si="7"/>
        <v>698509.75403512397</v>
      </c>
      <c r="D20" s="369">
        <f t="shared" si="7"/>
        <v>732808.4494992668</v>
      </c>
      <c r="E20" s="369">
        <f t="shared" si="7"/>
        <v>768623.93611929065</v>
      </c>
      <c r="F20" s="369">
        <f t="shared" si="7"/>
        <v>806030.21474954765</v>
      </c>
      <c r="G20" s="369">
        <f t="shared" si="7"/>
        <v>845105.47289894125</v>
      </c>
      <c r="H20" s="369">
        <f t="shared" si="7"/>
        <v>885932.36507684481</v>
      </c>
      <c r="I20" s="369">
        <f t="shared" si="7"/>
        <v>928598.3147406308</v>
      </c>
      <c r="J20" s="369">
        <f t="shared" si="7"/>
        <v>973195.83966475842</v>
      </c>
      <c r="K20" s="370">
        <f t="shared" si="7"/>
        <v>1019822.902712267</v>
      </c>
    </row>
    <row r="21" spans="1:11" s="3" customFormat="1" ht="13.5" thickBot="1">
      <c r="A21" s="379" t="s">
        <v>211</v>
      </c>
      <c r="B21" s="380">
        <f t="shared" ref="B21:K21" si="8">0.25*B20</f>
        <v>165648.3812775494</v>
      </c>
      <c r="C21" s="380">
        <f t="shared" si="8"/>
        <v>174627.43850878099</v>
      </c>
      <c r="D21" s="380">
        <f t="shared" si="8"/>
        <v>183202.1123748167</v>
      </c>
      <c r="E21" s="380">
        <f t="shared" si="8"/>
        <v>192155.98402982266</v>
      </c>
      <c r="F21" s="380">
        <f t="shared" si="8"/>
        <v>201507.55368738691</v>
      </c>
      <c r="G21" s="380">
        <f t="shared" si="8"/>
        <v>211276.36822473531</v>
      </c>
      <c r="H21" s="380">
        <f t="shared" si="8"/>
        <v>221483.0912692112</v>
      </c>
      <c r="I21" s="380">
        <f t="shared" si="8"/>
        <v>232149.5786851577</v>
      </c>
      <c r="J21" s="380">
        <f t="shared" si="8"/>
        <v>243298.9599161896</v>
      </c>
      <c r="K21" s="381">
        <f t="shared" si="8"/>
        <v>254955.72567806675</v>
      </c>
    </row>
    <row r="22" spans="1:11" s="3" customFormat="1">
      <c r="A22" s="375"/>
      <c r="B22" s="382"/>
      <c r="C22" s="382"/>
      <c r="D22" s="382"/>
      <c r="E22" s="382"/>
      <c r="F22" s="382"/>
      <c r="G22" s="382"/>
      <c r="H22" s="382"/>
      <c r="I22" s="382"/>
      <c r="J22" s="382"/>
      <c r="K22" s="383"/>
    </row>
    <row r="23" spans="1:11" s="3" customFormat="1">
      <c r="A23" s="352" t="s">
        <v>212</v>
      </c>
      <c r="B23" s="384">
        <f>+B20-B21</f>
        <v>496945.14383264817</v>
      </c>
      <c r="C23" s="384">
        <f t="shared" ref="C23:K23" si="9">+C17-C21</f>
        <v>647148.74270901189</v>
      </c>
      <c r="D23" s="384">
        <f t="shared" si="9"/>
        <v>678925.47527137958</v>
      </c>
      <c r="E23" s="384">
        <f t="shared" si="9"/>
        <v>712107.47022816632</v>
      </c>
      <c r="F23" s="384">
        <f t="shared" si="9"/>
        <v>746763.28719443385</v>
      </c>
      <c r="G23" s="384">
        <f t="shared" si="9"/>
        <v>782965.3645975485</v>
      </c>
      <c r="H23" s="384">
        <f t="shared" si="9"/>
        <v>820790.27940942976</v>
      </c>
      <c r="I23" s="384">
        <f t="shared" si="9"/>
        <v>860319.02689205506</v>
      </c>
      <c r="J23" s="384">
        <f t="shared" si="9"/>
        <v>901637.32204234973</v>
      </c>
      <c r="K23" s="385">
        <f t="shared" si="9"/>
        <v>944835.92457165918</v>
      </c>
    </row>
    <row r="24" spans="1:11" s="3" customFormat="1" ht="13.5" thickBot="1">
      <c r="A24" s="352"/>
      <c r="B24" s="360"/>
      <c r="C24" s="360"/>
      <c r="D24" s="360"/>
      <c r="E24" s="360"/>
      <c r="F24" s="360"/>
      <c r="G24" s="360"/>
      <c r="H24" s="360"/>
      <c r="I24" s="360"/>
      <c r="J24" s="360"/>
      <c r="K24" s="361"/>
    </row>
    <row r="25" spans="1:11" s="3" customFormat="1" ht="13.5" thickBot="1">
      <c r="A25" s="386" t="s">
        <v>231</v>
      </c>
      <c r="B25" s="387">
        <f>+B23</f>
        <v>496945.14383264817</v>
      </c>
      <c r="C25" s="388">
        <f t="shared" ref="C25:K25" si="10">+B25+C23</f>
        <v>1144093.8865416599</v>
      </c>
      <c r="D25" s="388">
        <f t="shared" si="10"/>
        <v>1823019.3618130395</v>
      </c>
      <c r="E25" s="388">
        <f t="shared" si="10"/>
        <v>2535126.8320412058</v>
      </c>
      <c r="F25" s="388">
        <f t="shared" si="10"/>
        <v>3281890.1192356395</v>
      </c>
      <c r="G25" s="388">
        <f t="shared" si="10"/>
        <v>4064855.4838331882</v>
      </c>
      <c r="H25" s="388">
        <f t="shared" si="10"/>
        <v>4885645.7632426182</v>
      </c>
      <c r="I25" s="388">
        <f t="shared" si="10"/>
        <v>5745964.790134673</v>
      </c>
      <c r="J25" s="388">
        <f t="shared" si="10"/>
        <v>6647602.1121770227</v>
      </c>
      <c r="K25" s="389">
        <f t="shared" si="10"/>
        <v>7592438.0367486821</v>
      </c>
    </row>
    <row r="26" spans="1:11">
      <c r="A26" s="7"/>
      <c r="B26" s="366"/>
      <c r="C26" s="366"/>
      <c r="D26" s="366"/>
      <c r="E26" s="366"/>
      <c r="F26" s="366"/>
      <c r="G26" s="366"/>
      <c r="H26" s="366"/>
      <c r="I26" s="366"/>
      <c r="J26" s="366"/>
      <c r="K26" s="366"/>
    </row>
  </sheetData>
  <mergeCells count="2">
    <mergeCell ref="A2:K2"/>
    <mergeCell ref="A1:K1"/>
  </mergeCells>
  <phoneticPr fontId="0" type="noConversion"/>
  <printOptions horizontalCentered="1" verticalCentered="1"/>
  <pageMargins left="0.51181102362204722" right="0.47244094488188981" top="1.5748031496062993" bottom="0.98425196850393704" header="0" footer="0"/>
  <pageSetup paperSize="9" scale="8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67"/>
  <sheetViews>
    <sheetView topLeftCell="A49" workbookViewId="0">
      <selection activeCell="A71" sqref="A71"/>
    </sheetView>
  </sheetViews>
  <sheetFormatPr baseColWidth="10" defaultRowHeight="18"/>
  <cols>
    <col min="1" max="1" width="50" style="35" customWidth="1"/>
    <col min="2" max="6" width="13" style="344" bestFit="1" customWidth="1"/>
    <col min="7" max="12" width="14.140625" style="344" bestFit="1" customWidth="1"/>
    <col min="13" max="16384" width="11.42578125" style="35"/>
  </cols>
  <sheetData>
    <row r="1" spans="1:12" s="309" customFormat="1">
      <c r="A1" s="416" t="s">
        <v>183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</row>
    <row r="2" spans="1:12" s="34" customFormat="1" ht="18.75" thickBot="1">
      <c r="A2" s="416" t="s">
        <v>184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</row>
    <row r="3" spans="1:12" s="314" customFormat="1" ht="18.75" thickBot="1">
      <c r="A3" s="310" t="s">
        <v>185</v>
      </c>
      <c r="B3" s="311">
        <v>0</v>
      </c>
      <c r="C3" s="312">
        <v>1</v>
      </c>
      <c r="D3" s="312">
        <v>2</v>
      </c>
      <c r="E3" s="312">
        <v>3</v>
      </c>
      <c r="F3" s="312">
        <v>4</v>
      </c>
      <c r="G3" s="312">
        <v>5</v>
      </c>
      <c r="H3" s="312">
        <v>6</v>
      </c>
      <c r="I3" s="312">
        <v>7</v>
      </c>
      <c r="J3" s="312">
        <v>8</v>
      </c>
      <c r="K3" s="312">
        <v>9</v>
      </c>
      <c r="L3" s="313">
        <v>10</v>
      </c>
    </row>
    <row r="4" spans="1:12" s="317" customFormat="1" ht="15.95" customHeight="1">
      <c r="A4" s="315" t="s">
        <v>186</v>
      </c>
      <c r="B4" s="316"/>
      <c r="C4" s="316"/>
      <c r="D4" s="316"/>
      <c r="E4" s="316"/>
      <c r="F4" s="316"/>
      <c r="G4" s="316"/>
      <c r="H4" s="316"/>
      <c r="I4" s="316"/>
      <c r="J4" s="316"/>
      <c r="K4" s="316"/>
      <c r="L4" s="316"/>
    </row>
    <row r="5" spans="1:12" s="317" customFormat="1" ht="15.95" customHeight="1">
      <c r="A5" s="318" t="s">
        <v>187</v>
      </c>
      <c r="B5" s="319">
        <f>+'[1]Cuadro 1'!C16</f>
        <v>738509.54236805579</v>
      </c>
      <c r="C5" s="320"/>
      <c r="D5" s="320"/>
      <c r="E5" s="320"/>
      <c r="F5" s="320"/>
      <c r="G5" s="320"/>
      <c r="H5" s="320"/>
      <c r="I5" s="320"/>
      <c r="J5" s="320"/>
      <c r="K5" s="320"/>
      <c r="L5" s="320"/>
    </row>
    <row r="6" spans="1:12" s="314" customFormat="1" ht="15.95" customHeight="1">
      <c r="A6" s="318" t="s">
        <v>188</v>
      </c>
      <c r="B6" s="321">
        <f>+[1]amortización!C32</f>
        <v>500000</v>
      </c>
      <c r="C6" s="322"/>
      <c r="D6" s="322"/>
      <c r="E6" s="322"/>
      <c r="F6" s="322"/>
      <c r="G6" s="322"/>
      <c r="H6" s="322"/>
      <c r="I6" s="322"/>
      <c r="J6" s="322"/>
      <c r="K6" s="322"/>
      <c r="L6" s="322"/>
    </row>
    <row r="7" spans="1:12" s="314" customFormat="1" ht="15.95" customHeight="1">
      <c r="A7" s="318" t="s">
        <v>189</v>
      </c>
      <c r="B7" s="322"/>
      <c r="C7" s="319">
        <f>+[1]Datos!C70</f>
        <v>8479359.5810000002</v>
      </c>
      <c r="D7" s="319">
        <f>+[1]Datos!D70</f>
        <v>8818533.9642399997</v>
      </c>
      <c r="E7" s="319">
        <f>+[1]Datos!E70</f>
        <v>9171275.3228096012</v>
      </c>
      <c r="F7" s="319">
        <f>+[1]Datos!F70</f>
        <v>9538126.3357219864</v>
      </c>
      <c r="G7" s="319">
        <f>+[1]Datos!G70</f>
        <v>9919651.3891508654</v>
      </c>
      <c r="H7" s="319">
        <f>+[1]Datos!H70</f>
        <v>10316437.444716901</v>
      </c>
      <c r="I7" s="319">
        <f>+[1]Datos!I70</f>
        <v>10729094.942505576</v>
      </c>
      <c r="J7" s="319">
        <f>+[1]Datos!J70</f>
        <v>11158258.7402058</v>
      </c>
      <c r="K7" s="319">
        <f>+[1]Datos!K70</f>
        <v>11604589.089814031</v>
      </c>
      <c r="L7" s="319">
        <f>+[1]Datos!L70</f>
        <v>12068772.653406594</v>
      </c>
    </row>
    <row r="8" spans="1:12" s="314" customFormat="1" ht="15.95" customHeight="1" thickBot="1">
      <c r="A8" s="318" t="s">
        <v>190</v>
      </c>
      <c r="B8" s="323"/>
      <c r="C8" s="324">
        <f>(0.1*'ANEXO 3'!D5)*0.5</f>
        <v>396258.05000000005</v>
      </c>
      <c r="D8" s="324">
        <f>+C8*1.04</f>
        <v>412108.37200000009</v>
      </c>
      <c r="E8" s="324">
        <f t="shared" ref="E8:L8" si="0">+D8*1.04</f>
        <v>428592.70688000013</v>
      </c>
      <c r="F8" s="324">
        <f t="shared" si="0"/>
        <v>445736.41515520017</v>
      </c>
      <c r="G8" s="324">
        <f t="shared" si="0"/>
        <v>463565.87176140817</v>
      </c>
      <c r="H8" s="324">
        <f t="shared" si="0"/>
        <v>482108.50663186453</v>
      </c>
      <c r="I8" s="324">
        <f t="shared" si="0"/>
        <v>501392.8468971391</v>
      </c>
      <c r="J8" s="324">
        <f t="shared" si="0"/>
        <v>521448.56077302468</v>
      </c>
      <c r="K8" s="324">
        <f t="shared" si="0"/>
        <v>542306.5032039457</v>
      </c>
      <c r="L8" s="324">
        <f t="shared" si="0"/>
        <v>563998.7633321035</v>
      </c>
    </row>
    <row r="9" spans="1:12" s="309" customFormat="1">
      <c r="A9" s="138" t="s">
        <v>191</v>
      </c>
      <c r="B9" s="325">
        <f>SUM(B5:B8)</f>
        <v>1238509.5423680558</v>
      </c>
      <c r="C9" s="325">
        <f t="shared" ref="C9:L9" si="1">SUM(C6:C8)</f>
        <v>8875617.631000001</v>
      </c>
      <c r="D9" s="325">
        <f t="shared" si="1"/>
        <v>9230642.3362399992</v>
      </c>
      <c r="E9" s="325">
        <f t="shared" si="1"/>
        <v>9599868.0296896007</v>
      </c>
      <c r="F9" s="325">
        <f t="shared" si="1"/>
        <v>9983862.7508771867</v>
      </c>
      <c r="G9" s="325">
        <f t="shared" si="1"/>
        <v>10383217.260912273</v>
      </c>
      <c r="H9" s="325">
        <f t="shared" si="1"/>
        <v>10798545.951348765</v>
      </c>
      <c r="I9" s="325">
        <f t="shared" si="1"/>
        <v>11230487.789402714</v>
      </c>
      <c r="J9" s="325">
        <f t="shared" si="1"/>
        <v>11679707.300978824</v>
      </c>
      <c r="K9" s="325">
        <f t="shared" si="1"/>
        <v>12146895.593017977</v>
      </c>
      <c r="L9" s="325">
        <f t="shared" si="1"/>
        <v>12632771.416738698</v>
      </c>
    </row>
    <row r="10" spans="1:12" ht="6.75" customHeight="1">
      <c r="A10" s="36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2" s="309" customFormat="1">
      <c r="A11" s="138" t="s">
        <v>192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</row>
    <row r="12" spans="1:12" ht="15.95" customHeight="1">
      <c r="A12" s="106" t="s">
        <v>193</v>
      </c>
      <c r="B12" s="326">
        <f>+[1]INVERSION!C4</f>
        <v>191650</v>
      </c>
      <c r="C12" s="254"/>
      <c r="D12" s="254"/>
      <c r="E12" s="254"/>
      <c r="F12" s="254"/>
      <c r="G12" s="254"/>
      <c r="H12" s="254"/>
      <c r="I12" s="254"/>
      <c r="J12" s="254"/>
      <c r="K12" s="254"/>
      <c r="L12" s="254"/>
    </row>
    <row r="13" spans="1:12" ht="15.95" customHeight="1">
      <c r="A13" s="106" t="s">
        <v>194</v>
      </c>
      <c r="B13" s="326">
        <f>+[1]INVERSION!C16</f>
        <v>291000</v>
      </c>
      <c r="C13" s="254"/>
      <c r="D13" s="254"/>
      <c r="E13" s="254"/>
      <c r="F13" s="254"/>
      <c r="G13" s="254"/>
      <c r="H13" s="254"/>
      <c r="I13" s="254"/>
      <c r="J13" s="254"/>
      <c r="K13" s="254"/>
      <c r="L13" s="254"/>
    </row>
    <row r="14" spans="1:12" ht="15.95" customHeight="1">
      <c r="A14" s="106" t="s">
        <v>48</v>
      </c>
      <c r="B14" s="326">
        <f>+[1]INVERSION!C33</f>
        <v>5000</v>
      </c>
      <c r="C14" s="254"/>
      <c r="D14" s="254"/>
      <c r="E14" s="254"/>
      <c r="F14" s="326">
        <f>+B14</f>
        <v>5000</v>
      </c>
      <c r="G14" s="254"/>
      <c r="H14" s="254"/>
      <c r="I14" s="254"/>
      <c r="J14" s="254"/>
      <c r="K14" s="254"/>
      <c r="L14" s="254"/>
    </row>
    <row r="15" spans="1:12" ht="15.95" customHeight="1">
      <c r="A15" s="106" t="str">
        <f>+[1]INVERSION!B31</f>
        <v>Equipos Laboratorio</v>
      </c>
      <c r="B15" s="108">
        <f>+[1]INVERSION!C31</f>
        <v>5000</v>
      </c>
      <c r="C15" s="254"/>
      <c r="D15" s="254"/>
      <c r="E15" s="254"/>
      <c r="F15" s="326">
        <f>+B15</f>
        <v>5000</v>
      </c>
      <c r="G15" s="254"/>
      <c r="H15" s="254"/>
      <c r="I15" s="254"/>
      <c r="J15" s="254"/>
      <c r="K15" s="254"/>
      <c r="L15" s="254"/>
    </row>
    <row r="16" spans="1:12" ht="15.95" customHeight="1">
      <c r="A16" s="106" t="s">
        <v>52</v>
      </c>
      <c r="B16" s="108">
        <v>1500</v>
      </c>
      <c r="C16" s="254"/>
      <c r="D16" s="254"/>
      <c r="E16" s="254"/>
      <c r="F16" s="326">
        <f>+B16</f>
        <v>1500</v>
      </c>
      <c r="G16" s="254"/>
      <c r="H16" s="254"/>
      <c r="I16" s="254"/>
      <c r="J16" s="254"/>
      <c r="K16" s="254"/>
      <c r="L16" s="254"/>
    </row>
    <row r="17" spans="1:13" ht="15.95" customHeight="1">
      <c r="A17" s="106" t="s">
        <v>195</v>
      </c>
      <c r="B17" s="326">
        <f>+[1]INVERSION!C37</f>
        <v>29100</v>
      </c>
      <c r="C17" s="254"/>
      <c r="D17" s="254"/>
      <c r="E17" s="254"/>
      <c r="F17" s="326">
        <f>+B17</f>
        <v>29100</v>
      </c>
      <c r="G17" s="254"/>
      <c r="H17" s="254"/>
      <c r="I17" s="254"/>
      <c r="J17" s="254"/>
      <c r="K17" s="254"/>
      <c r="L17" s="254"/>
    </row>
    <row r="18" spans="1:13" ht="15.95" customHeight="1">
      <c r="A18" s="106" t="s">
        <v>54</v>
      </c>
      <c r="B18" s="326">
        <f>+[1]INVERSION!C39</f>
        <v>500</v>
      </c>
      <c r="C18" s="254"/>
      <c r="D18" s="254"/>
      <c r="E18" s="254"/>
      <c r="F18" s="326"/>
      <c r="G18" s="254"/>
      <c r="H18" s="254"/>
      <c r="I18" s="254"/>
      <c r="J18" s="254"/>
      <c r="K18" s="254"/>
      <c r="L18" s="254"/>
    </row>
    <row r="19" spans="1:13" ht="15.95" customHeight="1">
      <c r="A19" s="106" t="s">
        <v>196</v>
      </c>
      <c r="B19" s="326">
        <f>+'ANEXO 2A'!E29</f>
        <v>14550</v>
      </c>
      <c r="C19" s="254"/>
      <c r="D19" s="254"/>
      <c r="E19" s="254"/>
      <c r="F19" s="254"/>
      <c r="G19" s="326"/>
      <c r="H19" s="254"/>
      <c r="I19" s="254"/>
      <c r="J19" s="254"/>
      <c r="K19" s="254"/>
      <c r="L19" s="254"/>
    </row>
    <row r="20" spans="1:13" ht="15.95" customHeight="1">
      <c r="A20" s="106" t="s">
        <v>197</v>
      </c>
      <c r="B20" s="326">
        <f>+[1]INVERSION!C47</f>
        <v>699209.54236805567</v>
      </c>
      <c r="C20" s="254"/>
      <c r="D20" s="254"/>
      <c r="E20" s="254"/>
      <c r="F20" s="254"/>
      <c r="G20" s="254"/>
      <c r="H20" s="254"/>
      <c r="I20" s="254"/>
      <c r="J20" s="254"/>
      <c r="K20" s="254"/>
      <c r="L20" s="254"/>
    </row>
    <row r="21" spans="1:13" ht="15.95" customHeight="1">
      <c r="A21" s="106" t="str">
        <f>+[1]Datos!A5</f>
        <v>Materia Prima</v>
      </c>
      <c r="B21" s="254"/>
      <c r="C21" s="326">
        <f>+[1]Datos!C5</f>
        <v>6279000</v>
      </c>
      <c r="D21" s="326">
        <f>+[1]Datos!D5</f>
        <v>6530160</v>
      </c>
      <c r="E21" s="326">
        <f>+[1]Datos!E5</f>
        <v>6791366.4000000004</v>
      </c>
      <c r="F21" s="326">
        <f>+[1]Datos!F5</f>
        <v>7063021.0560000008</v>
      </c>
      <c r="G21" s="326">
        <f>+[1]Datos!G5</f>
        <v>7345541.8982400009</v>
      </c>
      <c r="H21" s="326">
        <f>+[1]Datos!H5</f>
        <v>7639363.5741696013</v>
      </c>
      <c r="I21" s="326">
        <f>+[1]Datos!I5</f>
        <v>7944938.1171363853</v>
      </c>
      <c r="J21" s="326">
        <f>+[1]Datos!J5</f>
        <v>8262735.6418218408</v>
      </c>
      <c r="K21" s="326">
        <f>+[1]Datos!K5</f>
        <v>8593245.0674947146</v>
      </c>
      <c r="L21" s="326">
        <f>+[1]Datos!L5</f>
        <v>8936974.870194504</v>
      </c>
    </row>
    <row r="22" spans="1:13" ht="15.95" customHeight="1">
      <c r="A22" s="106" t="str">
        <f>+[1]Datos!A6</f>
        <v>Insumos</v>
      </c>
      <c r="B22" s="254"/>
      <c r="C22" s="326">
        <f>+[1]Datos!C6</f>
        <v>1309110</v>
      </c>
      <c r="D22" s="326">
        <f>+[1]Datos!D6</f>
        <v>1361474.4000000001</v>
      </c>
      <c r="E22" s="326">
        <f>+[1]Datos!E6</f>
        <v>1415933.3760000002</v>
      </c>
      <c r="F22" s="326">
        <f>+[1]Datos!F6</f>
        <v>1472570.7110400002</v>
      </c>
      <c r="G22" s="326">
        <f>+[1]Datos!G6</f>
        <v>1531473.5394816003</v>
      </c>
      <c r="H22" s="326">
        <f>+[1]Datos!H6</f>
        <v>1592732.4810608644</v>
      </c>
      <c r="I22" s="326">
        <f>+[1]Datos!I6</f>
        <v>1656441.780303299</v>
      </c>
      <c r="J22" s="326">
        <f>+[1]Datos!J6</f>
        <v>1722699.4515154311</v>
      </c>
      <c r="K22" s="326">
        <f>+[1]Datos!K6</f>
        <v>1791607.4295760484</v>
      </c>
      <c r="L22" s="326">
        <f>+[1]Datos!L6</f>
        <v>1863271.7267590903</v>
      </c>
    </row>
    <row r="23" spans="1:13" ht="15.95" customHeight="1">
      <c r="A23" s="106" t="str">
        <f>+[1]Datos!A8</f>
        <v>Mano de Obra Directa</v>
      </c>
      <c r="B23" s="254"/>
      <c r="C23" s="326">
        <f>+[1]Datos!C8</f>
        <v>37680</v>
      </c>
      <c r="D23" s="326">
        <f>+[1]Datos!D8</f>
        <v>37680</v>
      </c>
      <c r="E23" s="326">
        <f>+[1]Datos!E8</f>
        <v>37680</v>
      </c>
      <c r="F23" s="326">
        <f>+[1]Datos!F8</f>
        <v>37680</v>
      </c>
      <c r="G23" s="326">
        <f>+[1]Datos!G8</f>
        <v>37680</v>
      </c>
      <c r="H23" s="326">
        <f>+[1]Datos!H8</f>
        <v>37680</v>
      </c>
      <c r="I23" s="326">
        <f>+[1]Datos!I8</f>
        <v>37680</v>
      </c>
      <c r="J23" s="326">
        <f>+[1]Datos!J8</f>
        <v>37680</v>
      </c>
      <c r="K23" s="326">
        <f>+[1]Datos!K8</f>
        <v>37680</v>
      </c>
      <c r="L23" s="326">
        <f>+[1]Datos!L8</f>
        <v>37680</v>
      </c>
    </row>
    <row r="24" spans="1:13" ht="15.95" customHeight="1">
      <c r="A24" s="106" t="str">
        <f>+[1]Datos!A7</f>
        <v>Mano de obra Indirecta</v>
      </c>
      <c r="B24" s="254"/>
      <c r="C24" s="326">
        <f>+[1]Datos!C7</f>
        <v>4800</v>
      </c>
      <c r="D24" s="326">
        <f>+[1]Datos!D7</f>
        <v>4800</v>
      </c>
      <c r="E24" s="326">
        <f>+[1]Datos!E7</f>
        <v>4800</v>
      </c>
      <c r="F24" s="326">
        <f>+[1]Datos!F7</f>
        <v>4800</v>
      </c>
      <c r="G24" s="326">
        <f>+[1]Datos!G7</f>
        <v>4800</v>
      </c>
      <c r="H24" s="326">
        <f>+[1]Datos!H7</f>
        <v>4800</v>
      </c>
      <c r="I24" s="326">
        <f>+[1]Datos!I7</f>
        <v>4800</v>
      </c>
      <c r="J24" s="326">
        <f>+[1]Datos!J7</f>
        <v>4800</v>
      </c>
      <c r="K24" s="326">
        <f>+[1]Datos!K7</f>
        <v>4800</v>
      </c>
      <c r="L24" s="326">
        <f>+[1]Datos!L7</f>
        <v>4800</v>
      </c>
    </row>
    <row r="25" spans="1:13" ht="15.95" customHeight="1">
      <c r="A25" s="106" t="str">
        <f>+[1]Datos!A46</f>
        <v>Reparaciones y mantenimientos</v>
      </c>
      <c r="B25" s="254"/>
      <c r="C25" s="123">
        <f>+[1]Datos!C46</f>
        <v>10000</v>
      </c>
      <c r="D25" s="123">
        <f>+[1]Datos!D46</f>
        <v>10000</v>
      </c>
      <c r="E25" s="123">
        <f>+[1]Datos!E46</f>
        <v>10000</v>
      </c>
      <c r="F25" s="123">
        <f>+[1]Datos!F46</f>
        <v>10000</v>
      </c>
      <c r="G25" s="123">
        <f>+[1]Datos!G46</f>
        <v>10000</v>
      </c>
      <c r="H25" s="123">
        <f>+[1]Datos!H46</f>
        <v>10000</v>
      </c>
      <c r="I25" s="123">
        <f>+[1]Datos!I46</f>
        <v>10000</v>
      </c>
      <c r="J25" s="123">
        <f>+[1]Datos!J46</f>
        <v>10000</v>
      </c>
      <c r="K25" s="123">
        <f>+[1]Datos!K46</f>
        <v>10000</v>
      </c>
      <c r="L25" s="123">
        <f>+[1]Datos!L46</f>
        <v>10000</v>
      </c>
    </row>
    <row r="26" spans="1:13" ht="15.95" customHeight="1">
      <c r="A26" s="106" t="s">
        <v>181</v>
      </c>
      <c r="B26" s="254"/>
      <c r="C26" s="123">
        <f>[1]amortización!D9+[1]amortización!D10</f>
        <v>44282.786752708911</v>
      </c>
      <c r="D26" s="123">
        <f>[1]amortización!D11+[1]amortización!D12</f>
        <v>41283.383022206413</v>
      </c>
      <c r="E26" s="123">
        <f>[1]amortización!D13+[1]amortización!D14</f>
        <v>38007.959163404434</v>
      </c>
      <c r="F26" s="123">
        <f>[1]amortización!D15+[1]amortización!D16</f>
        <v>34431.114423996187</v>
      </c>
      <c r="G26" s="123">
        <f>[1]amortización!D17+[1]amortización!D18</f>
        <v>30525.11054744391</v>
      </c>
      <c r="H26" s="123">
        <f>[1]amortización!D19+[1]amortización!D20</f>
        <v>26259.656664151902</v>
      </c>
      <c r="I26" s="123">
        <f>[1]amortización!D21+[1]amortización!D22</f>
        <v>21601.67438724995</v>
      </c>
      <c r="J26" s="123">
        <f>[1]amortización!D23+[1]amortización!D24</f>
        <v>16515.041291316091</v>
      </c>
      <c r="K26" s="123">
        <f>[1]amortización!D25+[1]amortización!D26</f>
        <v>10960.310784728923</v>
      </c>
      <c r="L26" s="123">
        <f>[1]amortización!D27+[1]amortización!D28</f>
        <v>4894.406203273069</v>
      </c>
    </row>
    <row r="27" spans="1:13" ht="15.95" customHeight="1" thickBot="1">
      <c r="A27" s="106" t="str">
        <f>+[1]Datos!A47</f>
        <v>Costos Publicitarios</v>
      </c>
      <c r="B27" s="327"/>
      <c r="C27" s="328">
        <f>+[1]Datos!C47</f>
        <v>3605</v>
      </c>
      <c r="D27" s="328">
        <f>+[1]Datos!D47</f>
        <v>3605</v>
      </c>
      <c r="E27" s="328">
        <f>+[1]Datos!E47</f>
        <v>3605</v>
      </c>
      <c r="F27" s="328">
        <f>+[1]Datos!F47</f>
        <v>3605</v>
      </c>
      <c r="G27" s="328">
        <f>+[1]Datos!G47</f>
        <v>3605</v>
      </c>
      <c r="H27" s="328">
        <f>+[1]Datos!H47</f>
        <v>3605</v>
      </c>
      <c r="I27" s="328">
        <f>+[1]Datos!I47</f>
        <v>3605</v>
      </c>
      <c r="J27" s="328">
        <f>+[1]Datos!J47</f>
        <v>3605</v>
      </c>
      <c r="K27" s="328">
        <f>+[1]Datos!K47</f>
        <v>3605</v>
      </c>
      <c r="L27" s="328">
        <f>+[1]Datos!L47</f>
        <v>3605</v>
      </c>
      <c r="M27" s="329"/>
    </row>
    <row r="28" spans="1:13" s="309" customFormat="1">
      <c r="A28" s="64" t="s">
        <v>198</v>
      </c>
      <c r="B28" s="136">
        <f>SUM(B12:B27)</f>
        <v>1237509.5423680558</v>
      </c>
      <c r="C28" s="136">
        <f t="shared" ref="C28:L28" si="2">SUM(C12:C27)</f>
        <v>7688477.7867527092</v>
      </c>
      <c r="D28" s="136">
        <f t="shared" si="2"/>
        <v>7989002.7830222072</v>
      </c>
      <c r="E28" s="136">
        <f t="shared" si="2"/>
        <v>8301392.7351634046</v>
      </c>
      <c r="F28" s="136">
        <f t="shared" si="2"/>
        <v>8666707.8814639971</v>
      </c>
      <c r="G28" s="136">
        <f t="shared" si="2"/>
        <v>8963625.5482690446</v>
      </c>
      <c r="H28" s="136">
        <f t="shared" si="2"/>
        <v>9314440.7118946165</v>
      </c>
      <c r="I28" s="136">
        <f t="shared" si="2"/>
        <v>9679066.5718269348</v>
      </c>
      <c r="J28" s="136">
        <f t="shared" si="2"/>
        <v>10058035.134628588</v>
      </c>
      <c r="K28" s="136">
        <f t="shared" si="2"/>
        <v>10451897.807855492</v>
      </c>
      <c r="L28" s="136">
        <f t="shared" si="2"/>
        <v>10861226.003156869</v>
      </c>
      <c r="M28" s="330"/>
    </row>
    <row r="29" spans="1:13" s="309" customFormat="1" ht="19.5" customHeight="1">
      <c r="A29" s="64" t="s">
        <v>199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330"/>
    </row>
    <row r="30" spans="1:13" s="309" customFormat="1" ht="15.95" customHeight="1">
      <c r="A30" s="106" t="s">
        <v>200</v>
      </c>
      <c r="B30" s="123">
        <f>+'ANEXO 2A'!E25</f>
        <v>800</v>
      </c>
      <c r="C30" s="134"/>
      <c r="D30" s="134"/>
      <c r="E30" s="134"/>
      <c r="F30" s="134"/>
      <c r="G30" s="134"/>
      <c r="H30" s="134"/>
      <c r="I30" s="134"/>
      <c r="J30" s="134"/>
      <c r="K30" s="134"/>
      <c r="L30" s="134"/>
    </row>
    <row r="31" spans="1:13" s="309" customFormat="1" ht="15.95" customHeight="1">
      <c r="A31" s="331" t="str">
        <f>+'ANEXO 4-5-6'!A23</f>
        <v>Amortización de constitución de la sociedad (5 años)</v>
      </c>
      <c r="B31" s="332"/>
      <c r="C31" s="123">
        <f>+'ANEXO 4-5-6'!E23</f>
        <v>160</v>
      </c>
      <c r="D31" s="123">
        <f>+C31</f>
        <v>160</v>
      </c>
      <c r="E31" s="123">
        <f>+D31</f>
        <v>160</v>
      </c>
      <c r="F31" s="123">
        <f>+E31</f>
        <v>160</v>
      </c>
      <c r="G31" s="123">
        <f>+F31</f>
        <v>160</v>
      </c>
      <c r="H31" s="123"/>
      <c r="I31" s="123"/>
      <c r="J31" s="123"/>
      <c r="K31" s="123"/>
      <c r="L31" s="123"/>
      <c r="M31" s="330"/>
    </row>
    <row r="32" spans="1:13" ht="15.95" customHeight="1">
      <c r="A32" s="106" t="str">
        <f>+[1]Datos!A54</f>
        <v>Depreciaciones</v>
      </c>
      <c r="B32" s="254"/>
      <c r="C32" s="123">
        <f>+[1]Datos!C54</f>
        <v>49412.5</v>
      </c>
      <c r="D32" s="123">
        <f>+[1]Datos!D54</f>
        <v>49412.5</v>
      </c>
      <c r="E32" s="123">
        <f>+[1]Datos!E54</f>
        <v>49412.5</v>
      </c>
      <c r="F32" s="123">
        <f>+[1]Datos!F54</f>
        <v>49412.5</v>
      </c>
      <c r="G32" s="123">
        <f>+[1]Datos!G54</f>
        <v>49412.5</v>
      </c>
      <c r="H32" s="123">
        <f>+[1]Datos!G43</f>
        <v>46547.5</v>
      </c>
      <c r="I32" s="123">
        <f>+H32</f>
        <v>46547.5</v>
      </c>
      <c r="J32" s="123">
        <f>+I32</f>
        <v>46547.5</v>
      </c>
      <c r="K32" s="123">
        <f>+J32</f>
        <v>46547.5</v>
      </c>
      <c r="L32" s="123">
        <f>+K32</f>
        <v>46547.5</v>
      </c>
    </row>
    <row r="33" spans="1:13" ht="15.95" customHeight="1">
      <c r="A33" s="106" t="str">
        <f>+[1]Datos!A53</f>
        <v>Imprevistos</v>
      </c>
      <c r="B33" s="254"/>
      <c r="C33" s="123">
        <f>+[1]Datos!C53</f>
        <v>999.20999999999992</v>
      </c>
      <c r="D33" s="123">
        <f>+[1]Datos!D53</f>
        <v>999.20999999999992</v>
      </c>
      <c r="E33" s="123">
        <f>+[1]Datos!E53</f>
        <v>999.20999999999992</v>
      </c>
      <c r="F33" s="123">
        <f>+[1]Datos!F53</f>
        <v>999.20999999999992</v>
      </c>
      <c r="G33" s="123">
        <f>+[1]Datos!G53</f>
        <v>999.20999999999992</v>
      </c>
      <c r="H33" s="123">
        <f>+[1]Datos!H53</f>
        <v>999.20999999999992</v>
      </c>
      <c r="I33" s="123">
        <f>+[1]Datos!I53</f>
        <v>999.20999999999992</v>
      </c>
      <c r="J33" s="123">
        <f>+[1]Datos!J53</f>
        <v>999.20999999999992</v>
      </c>
      <c r="K33" s="123">
        <f>+[1]Datos!K53</f>
        <v>999.20999999999992</v>
      </c>
      <c r="L33" s="123">
        <f>+[1]Datos!L53</f>
        <v>999.20999999999992</v>
      </c>
    </row>
    <row r="34" spans="1:13" s="309" customFormat="1" ht="15.95" customHeight="1">
      <c r="A34" s="106" t="s">
        <v>201</v>
      </c>
      <c r="B34" s="134"/>
      <c r="C34" s="123">
        <f>+[1]Datos!C49</f>
        <v>39</v>
      </c>
      <c r="D34" s="123">
        <f>+[1]Datos!D49</f>
        <v>39</v>
      </c>
      <c r="E34" s="123">
        <f>+[1]Datos!E49</f>
        <v>39</v>
      </c>
      <c r="F34" s="123">
        <f>+[1]Datos!F49</f>
        <v>39</v>
      </c>
      <c r="G34" s="123">
        <f>+[1]Datos!G49</f>
        <v>39</v>
      </c>
      <c r="H34" s="123">
        <f>+[1]Datos!H49</f>
        <v>39</v>
      </c>
      <c r="I34" s="123">
        <f>+[1]Datos!I49</f>
        <v>39</v>
      </c>
      <c r="J34" s="123">
        <f>+[1]Datos!J49</f>
        <v>39</v>
      </c>
      <c r="K34" s="123">
        <f>+[1]Datos!K49</f>
        <v>39</v>
      </c>
      <c r="L34" s="123">
        <f>+[1]Datos!L49</f>
        <v>39</v>
      </c>
    </row>
    <row r="35" spans="1:13" ht="15.95" customHeight="1">
      <c r="A35" s="106" t="str">
        <f>+[1]Datos!A48</f>
        <v>Seguros</v>
      </c>
      <c r="B35" s="254"/>
      <c r="C35" s="123">
        <f>+[1]Datos!C48</f>
        <v>18507</v>
      </c>
      <c r="D35" s="123">
        <f>+[1]Datos!D48</f>
        <v>18507</v>
      </c>
      <c r="E35" s="123">
        <f>+[1]Datos!E48</f>
        <v>18507</v>
      </c>
      <c r="F35" s="123">
        <f>+[1]Datos!F48</f>
        <v>18507</v>
      </c>
      <c r="G35" s="123">
        <f>+[1]Datos!G48</f>
        <v>18507</v>
      </c>
      <c r="H35" s="123">
        <f>+[1]Datos!H48</f>
        <v>18507</v>
      </c>
      <c r="I35" s="123">
        <f>+[1]Datos!I48</f>
        <v>18507</v>
      </c>
      <c r="J35" s="123">
        <f>+[1]Datos!J48</f>
        <v>18507</v>
      </c>
      <c r="K35" s="123">
        <f>+[1]Datos!K48</f>
        <v>18507</v>
      </c>
      <c r="L35" s="123">
        <f>+[1]Datos!L48</f>
        <v>18507</v>
      </c>
    </row>
    <row r="36" spans="1:13" s="309" customFormat="1" ht="15.95" customHeight="1">
      <c r="A36" s="106" t="s">
        <v>202</v>
      </c>
      <c r="B36" s="123">
        <v>200</v>
      </c>
      <c r="C36" s="123">
        <f>+B36*10%</f>
        <v>20</v>
      </c>
      <c r="D36" s="123">
        <f t="shared" ref="D36:K36" si="3">+C36</f>
        <v>20</v>
      </c>
      <c r="E36" s="123">
        <f t="shared" si="3"/>
        <v>20</v>
      </c>
      <c r="F36" s="123">
        <f t="shared" si="3"/>
        <v>20</v>
      </c>
      <c r="G36" s="123">
        <f t="shared" si="3"/>
        <v>20</v>
      </c>
      <c r="H36" s="123">
        <f t="shared" si="3"/>
        <v>20</v>
      </c>
      <c r="I36" s="123">
        <f t="shared" si="3"/>
        <v>20</v>
      </c>
      <c r="J36" s="123">
        <f t="shared" si="3"/>
        <v>20</v>
      </c>
      <c r="K36" s="123">
        <f t="shared" si="3"/>
        <v>20</v>
      </c>
      <c r="L36" s="123">
        <f>+[1]Datos!L50</f>
        <v>20</v>
      </c>
    </row>
    <row r="37" spans="1:13" s="309" customFormat="1" ht="15.95" customHeight="1" thickBot="1">
      <c r="A37" s="333" t="s">
        <v>203</v>
      </c>
      <c r="B37" s="334">
        <f>SUM(B30:B36)</f>
        <v>1000</v>
      </c>
      <c r="C37" s="334">
        <f t="shared" ref="C37:L37" si="4">SUM(C32:C36)</f>
        <v>68977.709999999992</v>
      </c>
      <c r="D37" s="334">
        <f t="shared" si="4"/>
        <v>68977.709999999992</v>
      </c>
      <c r="E37" s="334">
        <f t="shared" si="4"/>
        <v>68977.709999999992</v>
      </c>
      <c r="F37" s="334">
        <f t="shared" si="4"/>
        <v>68977.709999999992</v>
      </c>
      <c r="G37" s="334">
        <f t="shared" si="4"/>
        <v>68977.709999999992</v>
      </c>
      <c r="H37" s="334">
        <f t="shared" si="4"/>
        <v>66112.709999999992</v>
      </c>
      <c r="I37" s="334">
        <f t="shared" si="4"/>
        <v>66112.709999999992</v>
      </c>
      <c r="J37" s="334">
        <f t="shared" si="4"/>
        <v>66112.709999999992</v>
      </c>
      <c r="K37" s="334">
        <f t="shared" si="4"/>
        <v>66112.709999999992</v>
      </c>
      <c r="L37" s="334">
        <f t="shared" si="4"/>
        <v>66112.709999999992</v>
      </c>
      <c r="M37" s="330"/>
    </row>
    <row r="38" spans="1:13" s="309" customFormat="1">
      <c r="A38" s="64" t="s">
        <v>204</v>
      </c>
      <c r="B38" s="136">
        <f t="shared" ref="B38:L38" si="5">+B28+B37</f>
        <v>1238509.5423680558</v>
      </c>
      <c r="C38" s="136">
        <f t="shared" si="5"/>
        <v>7757455.4967527092</v>
      </c>
      <c r="D38" s="136">
        <f t="shared" si="5"/>
        <v>8057980.4930222072</v>
      </c>
      <c r="E38" s="136">
        <f t="shared" si="5"/>
        <v>8370370.4451634046</v>
      </c>
      <c r="F38" s="136">
        <f t="shared" si="5"/>
        <v>8735685.591463998</v>
      </c>
      <c r="G38" s="136">
        <f t="shared" si="5"/>
        <v>9032603.2582690455</v>
      </c>
      <c r="H38" s="136">
        <f t="shared" si="5"/>
        <v>9380553.4218946174</v>
      </c>
      <c r="I38" s="136">
        <f t="shared" si="5"/>
        <v>9745179.2818269357</v>
      </c>
      <c r="J38" s="136">
        <f t="shared" si="5"/>
        <v>10124147.844628589</v>
      </c>
      <c r="K38" s="136">
        <f t="shared" si="5"/>
        <v>10518010.517855493</v>
      </c>
      <c r="L38" s="136">
        <f t="shared" si="5"/>
        <v>10927338.71315687</v>
      </c>
      <c r="M38" s="330"/>
    </row>
    <row r="39" spans="1:13" s="309" customFormat="1" ht="16.5" customHeight="1">
      <c r="A39" s="64" t="s">
        <v>205</v>
      </c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330"/>
    </row>
    <row r="40" spans="1:13" s="309" customFormat="1" ht="15.75" customHeight="1">
      <c r="A40" s="39" t="s">
        <v>206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66">
        <f>+[1]INVERSION!C5+10%*([1]INVERSION!C16+[1]INVERSION!C13+[1]INVERSION!C12+[1]INVERSION!C11+[1]INVERSION!C10+[1]INVERSION!C7+[1]INVERSION!C6)+B20</f>
        <v>741429.54236805567</v>
      </c>
      <c r="M40" s="330"/>
    </row>
    <row r="41" spans="1:13" s="309" customFormat="1" ht="17.25" customHeight="1" thickBot="1">
      <c r="A41" s="335" t="s">
        <v>207</v>
      </c>
      <c r="B41" s="336"/>
      <c r="C41" s="336"/>
      <c r="D41" s="336"/>
      <c r="E41" s="336"/>
      <c r="F41" s="336"/>
      <c r="G41" s="336"/>
      <c r="H41" s="336"/>
      <c r="I41" s="336"/>
      <c r="J41" s="336"/>
      <c r="K41" s="336"/>
      <c r="L41" s="336">
        <f>+L40</f>
        <v>741429.54236805567</v>
      </c>
      <c r="M41" s="330"/>
    </row>
    <row r="42" spans="1:13" s="309" customFormat="1" ht="5.25" customHeight="1">
      <c r="A42" s="64"/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330"/>
    </row>
    <row r="43" spans="1:13" s="309" customFormat="1">
      <c r="A43" s="337" t="s">
        <v>208</v>
      </c>
      <c r="B43" s="134">
        <v>0</v>
      </c>
      <c r="C43" s="134">
        <f t="shared" ref="C43:L43" si="6">+C9-C38</f>
        <v>1118162.1342472918</v>
      </c>
      <c r="D43" s="134">
        <f t="shared" si="6"/>
        <v>1172661.843217792</v>
      </c>
      <c r="E43" s="134">
        <f t="shared" si="6"/>
        <v>1229497.5845261961</v>
      </c>
      <c r="F43" s="134">
        <f t="shared" si="6"/>
        <v>1248177.1594131887</v>
      </c>
      <c r="G43" s="134">
        <f t="shared" si="6"/>
        <v>1350614.0026432276</v>
      </c>
      <c r="H43" s="134">
        <f t="shared" si="6"/>
        <v>1417992.5294541474</v>
      </c>
      <c r="I43" s="134">
        <f t="shared" si="6"/>
        <v>1485308.5075757783</v>
      </c>
      <c r="J43" s="134">
        <f t="shared" si="6"/>
        <v>1555559.4563502353</v>
      </c>
      <c r="K43" s="134">
        <f t="shared" si="6"/>
        <v>1628885.0751624834</v>
      </c>
      <c r="L43" s="134">
        <f t="shared" si="6"/>
        <v>1705432.7035818286</v>
      </c>
      <c r="M43" s="330"/>
    </row>
    <row r="44" spans="1:13" s="309" customFormat="1" ht="15.95" customHeight="1" thickBot="1">
      <c r="A44" s="333" t="s">
        <v>209</v>
      </c>
      <c r="B44" s="338">
        <v>0</v>
      </c>
      <c r="C44" s="328">
        <f>-0.15*C43</f>
        <v>-167724.32013709377</v>
      </c>
      <c r="D44" s="328">
        <f t="shared" ref="D44:L44" si="7">-D43*15%</f>
        <v>-175899.27648266879</v>
      </c>
      <c r="E44" s="328">
        <f t="shared" si="7"/>
        <v>-184424.6376789294</v>
      </c>
      <c r="F44" s="328">
        <f t="shared" si="7"/>
        <v>-187226.57391197831</v>
      </c>
      <c r="G44" s="328">
        <f t="shared" si="7"/>
        <v>-202592.10039648414</v>
      </c>
      <c r="H44" s="328">
        <f t="shared" si="7"/>
        <v>-212698.87941812212</v>
      </c>
      <c r="I44" s="328">
        <f t="shared" si="7"/>
        <v>-222796.27613636674</v>
      </c>
      <c r="J44" s="328">
        <f t="shared" si="7"/>
        <v>-233333.91845253529</v>
      </c>
      <c r="K44" s="328">
        <f t="shared" si="7"/>
        <v>-244332.76127437249</v>
      </c>
      <c r="L44" s="328">
        <f t="shared" si="7"/>
        <v>-255814.90553727429</v>
      </c>
      <c r="M44" s="330"/>
    </row>
    <row r="45" spans="1:13" s="309" customFormat="1" ht="11.25" customHeight="1">
      <c r="A45" s="64"/>
      <c r="B45" s="339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330"/>
    </row>
    <row r="46" spans="1:13" s="309" customFormat="1" ht="15.95" customHeight="1">
      <c r="A46" s="337" t="s">
        <v>210</v>
      </c>
      <c r="B46" s="123">
        <f t="shared" ref="B46:L46" si="8">SUM(B43:B44)</f>
        <v>0</v>
      </c>
      <c r="C46" s="123">
        <f t="shared" si="8"/>
        <v>950437.81411019806</v>
      </c>
      <c r="D46" s="123">
        <f t="shared" si="8"/>
        <v>996762.56673512317</v>
      </c>
      <c r="E46" s="123">
        <f t="shared" si="8"/>
        <v>1045072.9468472668</v>
      </c>
      <c r="F46" s="123">
        <f t="shared" si="8"/>
        <v>1060950.5855012103</v>
      </c>
      <c r="G46" s="123">
        <f t="shared" si="8"/>
        <v>1148021.9022467434</v>
      </c>
      <c r="H46" s="123">
        <f t="shared" si="8"/>
        <v>1205293.6500360253</v>
      </c>
      <c r="I46" s="123">
        <f t="shared" si="8"/>
        <v>1262512.2314394116</v>
      </c>
      <c r="J46" s="123">
        <f t="shared" si="8"/>
        <v>1322225.5378977</v>
      </c>
      <c r="K46" s="123">
        <f t="shared" si="8"/>
        <v>1384552.3138881109</v>
      </c>
      <c r="L46" s="123">
        <f t="shared" si="8"/>
        <v>1449617.7980445544</v>
      </c>
      <c r="M46" s="330"/>
    </row>
    <row r="47" spans="1:13" s="309" customFormat="1" ht="15.95" customHeight="1" thickBot="1">
      <c r="A47" s="333" t="s">
        <v>211</v>
      </c>
      <c r="B47" s="328">
        <v>0</v>
      </c>
      <c r="C47" s="328">
        <f>-0.25*C46</f>
        <v>-237609.45352754951</v>
      </c>
      <c r="D47" s="328">
        <f t="shared" ref="D47:L47" si="9">-D46*25%</f>
        <v>-249190.64168378079</v>
      </c>
      <c r="E47" s="328">
        <f t="shared" si="9"/>
        <v>-261268.23671181669</v>
      </c>
      <c r="F47" s="328">
        <f t="shared" si="9"/>
        <v>-265237.64637530257</v>
      </c>
      <c r="G47" s="328">
        <f t="shared" si="9"/>
        <v>-287005.47556168586</v>
      </c>
      <c r="H47" s="328">
        <f t="shared" si="9"/>
        <v>-301323.41250900633</v>
      </c>
      <c r="I47" s="328">
        <f t="shared" si="9"/>
        <v>-315628.05785985291</v>
      </c>
      <c r="J47" s="328">
        <f t="shared" si="9"/>
        <v>-330556.38447442499</v>
      </c>
      <c r="K47" s="328">
        <f t="shared" si="9"/>
        <v>-346138.07847202773</v>
      </c>
      <c r="L47" s="328">
        <f t="shared" si="9"/>
        <v>-362404.44951113861</v>
      </c>
      <c r="M47" s="330"/>
    </row>
    <row r="48" spans="1:13" s="309" customFormat="1" ht="9.75" customHeight="1">
      <c r="A48" s="64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330"/>
    </row>
    <row r="49" spans="1:13" s="309" customFormat="1" ht="15.95" customHeight="1">
      <c r="A49" s="111" t="s">
        <v>212</v>
      </c>
      <c r="B49" s="123">
        <f t="shared" ref="B49:L49" si="10">SUM(B46:B47)</f>
        <v>0</v>
      </c>
      <c r="C49" s="123">
        <f t="shared" si="10"/>
        <v>712828.36058264854</v>
      </c>
      <c r="D49" s="123">
        <f t="shared" si="10"/>
        <v>747571.92505134235</v>
      </c>
      <c r="E49" s="123">
        <f t="shared" si="10"/>
        <v>783804.71013545012</v>
      </c>
      <c r="F49" s="123">
        <f t="shared" si="10"/>
        <v>795712.93912590772</v>
      </c>
      <c r="G49" s="123">
        <f t="shared" si="10"/>
        <v>861016.42668505758</v>
      </c>
      <c r="H49" s="123">
        <f t="shared" si="10"/>
        <v>903970.237527019</v>
      </c>
      <c r="I49" s="123">
        <f t="shared" si="10"/>
        <v>946884.17357955873</v>
      </c>
      <c r="J49" s="123">
        <f t="shared" si="10"/>
        <v>991669.15342327498</v>
      </c>
      <c r="K49" s="123">
        <f t="shared" si="10"/>
        <v>1038414.2354160831</v>
      </c>
      <c r="L49" s="123">
        <f t="shared" si="10"/>
        <v>1087213.3485334157</v>
      </c>
      <c r="M49" s="330"/>
    </row>
    <row r="50" spans="1:13" s="309" customFormat="1" ht="15.95" customHeight="1">
      <c r="A50" s="111" t="s">
        <v>213</v>
      </c>
      <c r="B50" s="123"/>
      <c r="C50" s="123">
        <f t="shared" ref="C50:L50" si="11">+C32</f>
        <v>49412.5</v>
      </c>
      <c r="D50" s="123">
        <f t="shared" si="11"/>
        <v>49412.5</v>
      </c>
      <c r="E50" s="123">
        <f t="shared" si="11"/>
        <v>49412.5</v>
      </c>
      <c r="F50" s="123">
        <f t="shared" si="11"/>
        <v>49412.5</v>
      </c>
      <c r="G50" s="123">
        <f t="shared" si="11"/>
        <v>49412.5</v>
      </c>
      <c r="H50" s="123">
        <f t="shared" si="11"/>
        <v>46547.5</v>
      </c>
      <c r="I50" s="123">
        <f t="shared" si="11"/>
        <v>46547.5</v>
      </c>
      <c r="J50" s="123">
        <f t="shared" si="11"/>
        <v>46547.5</v>
      </c>
      <c r="K50" s="123">
        <f t="shared" si="11"/>
        <v>46547.5</v>
      </c>
      <c r="L50" s="123">
        <f t="shared" si="11"/>
        <v>46547.5</v>
      </c>
      <c r="M50" s="330"/>
    </row>
    <row r="51" spans="1:13" s="309" customFormat="1" ht="15.95" customHeight="1">
      <c r="A51" s="340" t="s">
        <v>214</v>
      </c>
      <c r="B51" s="332"/>
      <c r="C51" s="123">
        <f>+C31</f>
        <v>160</v>
      </c>
      <c r="D51" s="123">
        <f t="shared" ref="D51:L51" si="12">+C51</f>
        <v>160</v>
      </c>
      <c r="E51" s="123">
        <f t="shared" si="12"/>
        <v>160</v>
      </c>
      <c r="F51" s="123">
        <f t="shared" si="12"/>
        <v>160</v>
      </c>
      <c r="G51" s="123">
        <f t="shared" si="12"/>
        <v>160</v>
      </c>
      <c r="H51" s="123">
        <f t="shared" si="12"/>
        <v>160</v>
      </c>
      <c r="I51" s="123">
        <f t="shared" si="12"/>
        <v>160</v>
      </c>
      <c r="J51" s="123">
        <f t="shared" si="12"/>
        <v>160</v>
      </c>
      <c r="K51" s="123">
        <f t="shared" si="12"/>
        <v>160</v>
      </c>
      <c r="L51" s="123">
        <f t="shared" si="12"/>
        <v>160</v>
      </c>
      <c r="M51" s="330"/>
    </row>
    <row r="52" spans="1:13" s="309" customFormat="1" ht="15.95" customHeight="1" thickBot="1">
      <c r="A52" s="333" t="s">
        <v>215</v>
      </c>
      <c r="B52" s="328">
        <v>0</v>
      </c>
      <c r="C52" s="328">
        <f>-[1]Datos!C52</f>
        <v>-32753.35757133926</v>
      </c>
      <c r="D52" s="328">
        <f>-[1]Datos!D52</f>
        <v>-35752.761301841761</v>
      </c>
      <c r="E52" s="328">
        <f>-[1]Datos!E52</f>
        <v>-39028.185160643741</v>
      </c>
      <c r="F52" s="328">
        <f>-[1]Datos!F52</f>
        <v>-42605.029900051988</v>
      </c>
      <c r="G52" s="328">
        <f>-[1]Datos!G52</f>
        <v>-46511.033776604265</v>
      </c>
      <c r="H52" s="328">
        <f>-[1]Datos!H52</f>
        <v>-50616.487659896273</v>
      </c>
      <c r="I52" s="328">
        <f>-[1]Datos!I52</f>
        <v>-55274.469936798225</v>
      </c>
      <c r="J52" s="328">
        <f>-[1]Datos!J52</f>
        <v>-60361.103032732084</v>
      </c>
      <c r="K52" s="328">
        <f>-[1]Datos!K52</f>
        <v>-65915.833539319254</v>
      </c>
      <c r="L52" s="328">
        <f>-[1]Datos!L52</f>
        <v>-71981.738120775102</v>
      </c>
      <c r="M52" s="330"/>
    </row>
    <row r="53" spans="1:13" s="342" customFormat="1" ht="26.25" customHeight="1" thickBot="1">
      <c r="A53" s="230" t="s">
        <v>216</v>
      </c>
      <c r="B53" s="341">
        <f>-B5</f>
        <v>-738509.54236805579</v>
      </c>
      <c r="C53" s="341">
        <f t="shared" ref="C53:K53" si="13">SUM(C49:C52)</f>
        <v>729647.50301130931</v>
      </c>
      <c r="D53" s="341">
        <f t="shared" si="13"/>
        <v>761391.66374950064</v>
      </c>
      <c r="E53" s="341">
        <f t="shared" si="13"/>
        <v>794349.02497480635</v>
      </c>
      <c r="F53" s="341">
        <f t="shared" si="13"/>
        <v>802680.40922585572</v>
      </c>
      <c r="G53" s="341">
        <f t="shared" si="13"/>
        <v>864077.89290845336</v>
      </c>
      <c r="H53" s="341">
        <f t="shared" si="13"/>
        <v>900061.24986712274</v>
      </c>
      <c r="I53" s="341">
        <f t="shared" si="13"/>
        <v>938317.20364276052</v>
      </c>
      <c r="J53" s="341">
        <f t="shared" si="13"/>
        <v>978015.55039054295</v>
      </c>
      <c r="K53" s="341">
        <f t="shared" si="13"/>
        <v>1019205.9018767639</v>
      </c>
      <c r="L53" s="341">
        <f>SUM(L49:L52)+L41</f>
        <v>1803368.6527806963</v>
      </c>
    </row>
    <row r="54" spans="1:13" s="342" customFormat="1" ht="25.5" customHeight="1" thickBot="1">
      <c r="A54" s="230" t="s">
        <v>217</v>
      </c>
      <c r="B54" s="343"/>
      <c r="C54" s="343">
        <f t="shared" ref="C54:L54" si="14">+B54+C53</f>
        <v>729647.50301130931</v>
      </c>
      <c r="D54" s="343">
        <f t="shared" si="14"/>
        <v>1491039.16676081</v>
      </c>
      <c r="E54" s="343">
        <f t="shared" si="14"/>
        <v>2285388.1917356164</v>
      </c>
      <c r="F54" s="343">
        <f t="shared" si="14"/>
        <v>3088068.6009614719</v>
      </c>
      <c r="G54" s="343">
        <f t="shared" si="14"/>
        <v>3952146.4938699254</v>
      </c>
      <c r="H54" s="343">
        <f t="shared" si="14"/>
        <v>4852207.7437370485</v>
      </c>
      <c r="I54" s="343">
        <f t="shared" si="14"/>
        <v>5790524.9473798089</v>
      </c>
      <c r="J54" s="343">
        <f t="shared" si="14"/>
        <v>6768540.4977703523</v>
      </c>
      <c r="K54" s="343">
        <f t="shared" si="14"/>
        <v>7787746.3996471167</v>
      </c>
      <c r="L54" s="343">
        <f t="shared" si="14"/>
        <v>9591115.0524278134</v>
      </c>
    </row>
    <row r="55" spans="1:13">
      <c r="A55" s="36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</row>
    <row r="57" spans="1:13" s="345" customFormat="1" ht="12.75">
      <c r="A57" s="345" t="s">
        <v>218</v>
      </c>
      <c r="B57" s="346"/>
      <c r="C57" s="347">
        <f t="shared" ref="C57:L57" si="15">+C51</f>
        <v>160</v>
      </c>
      <c r="D57" s="347">
        <f t="shared" si="15"/>
        <v>160</v>
      </c>
      <c r="E57" s="347">
        <f t="shared" si="15"/>
        <v>160</v>
      </c>
      <c r="F57" s="347">
        <f t="shared" si="15"/>
        <v>160</v>
      </c>
      <c r="G57" s="347">
        <f t="shared" si="15"/>
        <v>160</v>
      </c>
      <c r="H57" s="347">
        <f t="shared" si="15"/>
        <v>160</v>
      </c>
      <c r="I57" s="347">
        <f t="shared" si="15"/>
        <v>160</v>
      </c>
      <c r="J57" s="347">
        <f t="shared" si="15"/>
        <v>160</v>
      </c>
      <c r="K57" s="347">
        <f t="shared" si="15"/>
        <v>160</v>
      </c>
      <c r="L57" s="347">
        <f t="shared" si="15"/>
        <v>160</v>
      </c>
    </row>
    <row r="58" spans="1:13" s="345" customFormat="1" ht="12.75">
      <c r="A58" s="345" t="s">
        <v>219</v>
      </c>
      <c r="B58" s="346"/>
      <c r="C58" s="347">
        <f>+C57</f>
        <v>160</v>
      </c>
      <c r="D58" s="347">
        <f>+C57+D57</f>
        <v>320</v>
      </c>
      <c r="E58" s="347">
        <f t="shared" ref="E58:L58" si="16">+D58+E57</f>
        <v>480</v>
      </c>
      <c r="F58" s="347">
        <f t="shared" si="16"/>
        <v>640</v>
      </c>
      <c r="G58" s="347">
        <f t="shared" si="16"/>
        <v>800</v>
      </c>
      <c r="H58" s="347">
        <f t="shared" si="16"/>
        <v>960</v>
      </c>
      <c r="I58" s="347">
        <f t="shared" si="16"/>
        <v>1120</v>
      </c>
      <c r="J58" s="347">
        <f t="shared" si="16"/>
        <v>1280</v>
      </c>
      <c r="K58" s="347">
        <f t="shared" si="16"/>
        <v>1440</v>
      </c>
      <c r="L58" s="347">
        <f t="shared" si="16"/>
        <v>1600</v>
      </c>
    </row>
    <row r="59" spans="1:13" s="345" customFormat="1" ht="12.75">
      <c r="A59" s="345" t="s">
        <v>220</v>
      </c>
      <c r="B59" s="346"/>
      <c r="C59" s="347">
        <f>+C50</f>
        <v>49412.5</v>
      </c>
      <c r="D59" s="347">
        <f t="shared" ref="D59:L59" si="17">+C59+D50</f>
        <v>98825</v>
      </c>
      <c r="E59" s="347">
        <f t="shared" si="17"/>
        <v>148237.5</v>
      </c>
      <c r="F59" s="347">
        <f t="shared" si="17"/>
        <v>197650</v>
      </c>
      <c r="G59" s="347">
        <f t="shared" si="17"/>
        <v>247062.5</v>
      </c>
      <c r="H59" s="347">
        <f t="shared" si="17"/>
        <v>293610</v>
      </c>
      <c r="I59" s="347">
        <f t="shared" si="17"/>
        <v>340157.5</v>
      </c>
      <c r="J59" s="347">
        <f t="shared" si="17"/>
        <v>386705</v>
      </c>
      <c r="K59" s="347">
        <f t="shared" si="17"/>
        <v>433252.5</v>
      </c>
      <c r="L59" s="347">
        <f t="shared" si="17"/>
        <v>479800</v>
      </c>
    </row>
    <row r="60" spans="1:13" s="345" customFormat="1" ht="12.75">
      <c r="B60" s="346"/>
      <c r="C60" s="346"/>
      <c r="D60" s="346"/>
      <c r="E60" s="346"/>
      <c r="F60" s="346"/>
      <c r="G60" s="346"/>
      <c r="H60" s="346"/>
      <c r="I60" s="346"/>
      <c r="J60" s="346"/>
      <c r="K60" s="346"/>
      <c r="L60" s="346"/>
    </row>
    <row r="61" spans="1:13" s="345" customFormat="1" ht="12.75">
      <c r="B61" s="346" t="s">
        <v>221</v>
      </c>
      <c r="C61" s="346"/>
      <c r="D61" s="346"/>
      <c r="E61" s="346"/>
      <c r="F61" s="346"/>
      <c r="G61" s="346"/>
      <c r="H61" s="346"/>
      <c r="I61" s="346"/>
      <c r="J61" s="346"/>
      <c r="K61" s="346"/>
      <c r="L61" s="346"/>
    </row>
    <row r="62" spans="1:13" s="345" customFormat="1" ht="12.75">
      <c r="B62" s="346"/>
      <c r="C62" s="346"/>
      <c r="D62" s="346"/>
      <c r="E62" s="346"/>
      <c r="F62" s="346"/>
      <c r="G62" s="346"/>
      <c r="H62" s="346"/>
      <c r="I62" s="346"/>
      <c r="J62" s="346"/>
      <c r="K62" s="346"/>
      <c r="L62" s="346"/>
    </row>
    <row r="63" spans="1:13" s="345" customFormat="1" ht="12.75">
      <c r="A63" s="345" t="s">
        <v>222</v>
      </c>
      <c r="B63" s="346"/>
      <c r="C63" s="346"/>
      <c r="D63" s="346"/>
      <c r="E63" s="346"/>
      <c r="F63" s="346"/>
      <c r="G63" s="346"/>
      <c r="H63" s="346"/>
      <c r="I63" s="346"/>
      <c r="J63" s="346"/>
      <c r="K63" s="346"/>
      <c r="L63" s="346"/>
    </row>
    <row r="64" spans="1:13" s="345" customFormat="1" ht="12.75">
      <c r="A64" s="345" t="s">
        <v>223</v>
      </c>
      <c r="B64" s="346"/>
      <c r="C64" s="347">
        <f>+C49</f>
        <v>712828.36058264854</v>
      </c>
      <c r="D64" s="347">
        <f t="shared" ref="D64:L64" si="18">+C64+D49</f>
        <v>1460400.285633991</v>
      </c>
      <c r="E64" s="347">
        <f t="shared" si="18"/>
        <v>2244204.9957694411</v>
      </c>
      <c r="F64" s="347">
        <f t="shared" si="18"/>
        <v>3039917.9348953487</v>
      </c>
      <c r="G64" s="347">
        <f t="shared" si="18"/>
        <v>3900934.3615804063</v>
      </c>
      <c r="H64" s="347">
        <f t="shared" si="18"/>
        <v>4804904.5991074257</v>
      </c>
      <c r="I64" s="347">
        <f t="shared" si="18"/>
        <v>5751788.7726869844</v>
      </c>
      <c r="J64" s="347">
        <f t="shared" si="18"/>
        <v>6743457.9261102593</v>
      </c>
      <c r="K64" s="347">
        <f t="shared" si="18"/>
        <v>7781872.1615263429</v>
      </c>
      <c r="L64" s="347">
        <f t="shared" si="18"/>
        <v>8869085.510059759</v>
      </c>
    </row>
    <row r="65" spans="2:12" s="141" customFormat="1" ht="12.75">
      <c r="B65" s="177"/>
      <c r="C65" s="177"/>
      <c r="D65" s="177"/>
      <c r="E65" s="177"/>
      <c r="F65" s="177"/>
      <c r="G65" s="177"/>
      <c r="H65" s="177"/>
      <c r="I65" s="177"/>
      <c r="J65" s="177"/>
      <c r="K65" s="177"/>
      <c r="L65" s="177"/>
    </row>
    <row r="66" spans="2:12" s="141" customFormat="1" ht="12.75">
      <c r="B66" s="177"/>
      <c r="C66" s="177"/>
      <c r="D66" s="177"/>
      <c r="E66" s="177"/>
      <c r="F66" s="177"/>
      <c r="G66" s="177"/>
      <c r="H66" s="177"/>
      <c r="I66" s="177"/>
      <c r="J66" s="177"/>
      <c r="K66" s="177"/>
      <c r="L66" s="177"/>
    </row>
    <row r="67" spans="2:12" s="141" customFormat="1" ht="12.75">
      <c r="B67" s="177"/>
      <c r="C67" s="177"/>
      <c r="D67" s="177"/>
      <c r="E67" s="177"/>
      <c r="F67" s="177"/>
      <c r="G67" s="177"/>
      <c r="H67" s="177"/>
      <c r="I67" s="177"/>
      <c r="J67" s="177"/>
      <c r="K67" s="177"/>
      <c r="L67" s="177"/>
    </row>
  </sheetData>
  <mergeCells count="2">
    <mergeCell ref="A2:L2"/>
    <mergeCell ref="A1:L1"/>
  </mergeCells>
  <phoneticPr fontId="0" type="noConversion"/>
  <printOptions horizontalCentered="1"/>
  <pageMargins left="0.27559055118110237" right="0.27559055118110237" top="0.98" bottom="0" header="0.15748031496062992" footer="0"/>
  <pageSetup paperSize="9" scale="60" orientation="landscape" horizontalDpi="4294967295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K30"/>
  <sheetViews>
    <sheetView workbookViewId="0">
      <selection activeCell="F20" sqref="F20"/>
    </sheetView>
  </sheetViews>
  <sheetFormatPr baseColWidth="10" defaultRowHeight="12.75"/>
  <cols>
    <col min="1" max="1" width="15.42578125" bestFit="1" customWidth="1"/>
    <col min="2" max="4" width="10.140625" bestFit="1" customWidth="1"/>
    <col min="5" max="5" width="11.5703125" customWidth="1"/>
    <col min="7" max="9" width="10.140625" bestFit="1" customWidth="1"/>
  </cols>
  <sheetData>
    <row r="1" spans="1:11" ht="18">
      <c r="A1" s="416" t="s">
        <v>232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</row>
    <row r="2" spans="1:11" ht="33" customHeight="1" thickBot="1">
      <c r="A2" s="418" t="s">
        <v>233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</row>
    <row r="3" spans="1:11" s="27" customFormat="1" ht="15" customHeight="1" thickBot="1">
      <c r="B3" s="419" t="s">
        <v>234</v>
      </c>
      <c r="C3" s="420"/>
      <c r="D3" s="420"/>
      <c r="E3" s="420"/>
      <c r="F3" s="420"/>
      <c r="G3" s="420"/>
      <c r="H3" s="420"/>
      <c r="I3" s="420"/>
      <c r="J3" s="420"/>
      <c r="K3" s="421"/>
    </row>
    <row r="4" spans="1:11" s="27" customFormat="1" ht="30" customHeight="1" thickBot="1">
      <c r="A4" s="390" t="s">
        <v>235</v>
      </c>
      <c r="B4" s="391">
        <v>1</v>
      </c>
      <c r="C4" s="392">
        <v>2</v>
      </c>
      <c r="D4" s="391">
        <v>3</v>
      </c>
      <c r="E4" s="392">
        <v>4</v>
      </c>
      <c r="F4" s="391">
        <v>5</v>
      </c>
      <c r="G4" s="393">
        <v>6</v>
      </c>
      <c r="H4" s="394">
        <v>7</v>
      </c>
      <c r="I4" s="395">
        <v>8</v>
      </c>
      <c r="J4" s="391">
        <v>9</v>
      </c>
      <c r="K4" s="396">
        <v>10</v>
      </c>
    </row>
    <row r="5" spans="1:11" s="27" customFormat="1" ht="30" customHeight="1" thickBot="1">
      <c r="A5" s="397">
        <f>-'ANEXO 8'!B38</f>
        <v>-1238509.5423680558</v>
      </c>
      <c r="B5" s="398">
        <f>+'ANEXO 8'!C53</f>
        <v>729647.50301130931</v>
      </c>
      <c r="C5" s="398">
        <f>+'ANEXO 8'!D53</f>
        <v>761391.66374950064</v>
      </c>
      <c r="D5" s="398">
        <f>+'ANEXO 8'!E53</f>
        <v>794349.02497480635</v>
      </c>
      <c r="E5" s="398">
        <f>+'ANEXO 8'!F53</f>
        <v>802680.40922585572</v>
      </c>
      <c r="F5" s="398">
        <f>+'ANEXO 8'!G53</f>
        <v>864077.89290845336</v>
      </c>
      <c r="G5" s="398">
        <f>+'ANEXO 8'!H53</f>
        <v>900061.24986712274</v>
      </c>
      <c r="H5" s="398">
        <f>+'ANEXO 8'!I53</f>
        <v>938317.20364276052</v>
      </c>
      <c r="I5" s="398">
        <f>+'ANEXO 8'!J53</f>
        <v>978015.55039054295</v>
      </c>
      <c r="J5" s="398">
        <f>+'ANEXO 8'!K53</f>
        <v>1019205.9018767639</v>
      </c>
      <c r="K5" s="399">
        <f>+'ANEXO 8'!L53</f>
        <v>1803368.6527806963</v>
      </c>
    </row>
    <row r="6" spans="1:11">
      <c r="B6" s="400"/>
      <c r="C6" s="400"/>
      <c r="D6" s="400"/>
      <c r="E6" s="400"/>
      <c r="F6" s="400"/>
      <c r="G6" s="400"/>
      <c r="H6" s="400"/>
      <c r="I6" s="400"/>
      <c r="J6" s="400"/>
      <c r="K6" s="400"/>
    </row>
    <row r="7" spans="1:11" ht="13.5" thickBot="1"/>
    <row r="8" spans="1:11" s="27" customFormat="1" ht="30" customHeight="1" thickBot="1">
      <c r="E8" s="401" t="s">
        <v>236</v>
      </c>
      <c r="F8" s="402"/>
      <c r="G8" s="403">
        <f>IRR(A5:K5)</f>
        <v>0.626280320002363</v>
      </c>
    </row>
    <row r="9" spans="1:11" s="27" customFormat="1" ht="15.75" customHeight="1" thickBot="1">
      <c r="E9" s="404"/>
      <c r="F9" s="25"/>
      <c r="G9" s="405"/>
    </row>
    <row r="10" spans="1:11" s="27" customFormat="1" ht="30" customHeight="1" thickBot="1">
      <c r="E10" s="401" t="s">
        <v>237</v>
      </c>
      <c r="F10" s="422">
        <f>NPV(F30,B5:K5)+A5</f>
        <v>3163340.5455359039</v>
      </c>
      <c r="G10" s="423"/>
    </row>
    <row r="24" spans="5:6">
      <c r="E24" s="14">
        <f>+'[1]Cuadro 1'!E18</f>
        <v>0.40371105986312361</v>
      </c>
    </row>
    <row r="25" spans="5:6">
      <c r="E25" s="406">
        <v>0.25</v>
      </c>
    </row>
    <row r="26" spans="5:6">
      <c r="E26" s="406">
        <v>0.09</v>
      </c>
      <c r="F26">
        <f>E24*E26*(1-E25)</f>
        <v>2.7250496540760845E-2</v>
      </c>
    </row>
    <row r="27" spans="5:6">
      <c r="E27" s="14">
        <f>1-E24</f>
        <v>0.59628894013687639</v>
      </c>
    </row>
    <row r="28" spans="5:6">
      <c r="E28" s="14">
        <v>0.20730000000000001</v>
      </c>
      <c r="F28" s="14">
        <f>E27*E28</f>
        <v>0.12361069729037448</v>
      </c>
    </row>
    <row r="30" spans="5:6">
      <c r="F30" s="14">
        <f>SUM(F26:F29)</f>
        <v>0.15086119383113533</v>
      </c>
    </row>
  </sheetData>
  <mergeCells count="4">
    <mergeCell ref="A1:K1"/>
    <mergeCell ref="A2:K2"/>
    <mergeCell ref="B3:K3"/>
    <mergeCell ref="F10:G10"/>
  </mergeCells>
  <phoneticPr fontId="0" type="noConversion"/>
  <printOptions horizontalCentered="1"/>
  <pageMargins left="0.11811023622047245" right="0.11811023622047245" top="1.5748031496062993" bottom="1.9291338582677167" header="0" footer="0"/>
  <pageSetup paperSize="9" orientation="landscape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9"/>
  <sheetViews>
    <sheetView topLeftCell="A22" workbookViewId="0">
      <selection activeCell="I43" sqref="I42:I43"/>
    </sheetView>
  </sheetViews>
  <sheetFormatPr baseColWidth="10" defaultRowHeight="12.75"/>
  <cols>
    <col min="1" max="1" width="51.140625" customWidth="1"/>
    <col min="2" max="2" width="8.28515625" bestFit="1" customWidth="1"/>
    <col min="3" max="3" width="11.7109375" style="13" bestFit="1" customWidth="1"/>
    <col min="4" max="4" width="4.140625" style="7" customWidth="1"/>
    <col min="5" max="5" width="11.42578125" style="14"/>
  </cols>
  <sheetData>
    <row r="1" spans="1:5">
      <c r="A1" s="413" t="s">
        <v>0</v>
      </c>
      <c r="B1" s="413"/>
      <c r="C1" s="413"/>
      <c r="D1" s="413"/>
      <c r="E1" s="413"/>
    </row>
    <row r="2" spans="1:5">
      <c r="A2" s="413" t="s">
        <v>1</v>
      </c>
      <c r="B2" s="413"/>
      <c r="C2" s="413"/>
      <c r="D2" s="413"/>
      <c r="E2" s="413"/>
    </row>
    <row r="3" spans="1:5">
      <c r="A3" s="426"/>
      <c r="B3" s="426"/>
      <c r="C3" s="426"/>
      <c r="D3" s="426"/>
      <c r="E3" s="426"/>
    </row>
    <row r="4" spans="1:5">
      <c r="A4" s="3"/>
      <c r="B4" s="3"/>
      <c r="C4" s="4" t="s">
        <v>2</v>
      </c>
      <c r="D4" s="5"/>
      <c r="E4" s="425" t="s">
        <v>3</v>
      </c>
    </row>
    <row r="5" spans="1:5">
      <c r="C5" s="4" t="s">
        <v>4</v>
      </c>
      <c r="D5" s="5"/>
      <c r="E5" s="425"/>
    </row>
    <row r="7" spans="1:5" ht="20.100000000000001" customHeight="1">
      <c r="A7" s="3" t="s">
        <v>5</v>
      </c>
      <c r="B7" s="3"/>
      <c r="C7" s="6">
        <f>+'ANEXO 7'!B6</f>
        <v>8479359.5810000002</v>
      </c>
      <c r="E7" s="8">
        <f>+C7/C7</f>
        <v>1</v>
      </c>
    </row>
    <row r="8" spans="1:5" ht="20.100000000000001" customHeight="1">
      <c r="A8" s="9" t="s">
        <v>6</v>
      </c>
      <c r="C8" s="6">
        <f>+[1]Datos!C9</f>
        <v>7630590</v>
      </c>
      <c r="E8" s="8">
        <f>+C8/$C$7</f>
        <v>0.89990168798810366</v>
      </c>
    </row>
    <row r="9" spans="1:5" ht="20.100000000000001" customHeight="1">
      <c r="A9" s="9" t="s">
        <v>7</v>
      </c>
      <c r="C9" s="6">
        <f>+'ANEXO 7'!B12</f>
        <v>3605</v>
      </c>
      <c r="E9" s="8">
        <f>+C9/$C$7</f>
        <v>4.2515003233001823E-4</v>
      </c>
    </row>
    <row r="10" spans="1:5" ht="20.100000000000001" customHeight="1" thickBot="1">
      <c r="A10" s="10" t="s">
        <v>8</v>
      </c>
      <c r="B10" s="3"/>
      <c r="C10" s="11">
        <f>+C7-C8-C9</f>
        <v>845164.58100000024</v>
      </c>
      <c r="D10" s="5"/>
      <c r="E10" s="12">
        <f>+C10/$C$7</f>
        <v>9.9673161979566272E-2</v>
      </c>
    </row>
    <row r="11" spans="1:5" ht="9.9499999999999993" customHeight="1"/>
    <row r="12" spans="1:5" ht="20.100000000000001" customHeight="1">
      <c r="A12" s="15" t="s">
        <v>9</v>
      </c>
      <c r="B12" s="3"/>
      <c r="C12" s="6">
        <f>+'ANEXO 7'!B13</f>
        <v>21360</v>
      </c>
      <c r="E12" s="8">
        <f>+C12/$C$7</f>
        <v>2.5190581665933951E-3</v>
      </c>
    </row>
    <row r="13" spans="1:5" ht="20.100000000000001" customHeight="1" thickBot="1">
      <c r="A13" s="10" t="s">
        <v>10</v>
      </c>
      <c r="B13" s="3"/>
      <c r="C13" s="11">
        <f>+C10-C12</f>
        <v>823804.58100000024</v>
      </c>
      <c r="D13" s="5"/>
      <c r="E13" s="12">
        <f>+C13/$C$7</f>
        <v>9.7154103812972875E-2</v>
      </c>
    </row>
    <row r="14" spans="1:5" ht="9.9499999999999993" customHeight="1"/>
    <row r="15" spans="1:5" ht="20.100000000000001" customHeight="1">
      <c r="A15" s="16" t="s">
        <v>11</v>
      </c>
      <c r="B15" s="1"/>
      <c r="C15" s="6">
        <f>+[1]amortización!C11+[1]amortización!C12</f>
        <v>76876.144324048175</v>
      </c>
      <c r="E15" s="8">
        <f>+C15/$C$7</f>
        <v>9.0662677516716306E-3</v>
      </c>
    </row>
    <row r="16" spans="1:5" ht="9.9499999999999993" customHeight="1">
      <c r="B16" s="3"/>
    </row>
    <row r="17" spans="1:6" ht="25.5">
      <c r="A17" s="17" t="s">
        <v>12</v>
      </c>
      <c r="B17" s="18"/>
      <c r="C17" s="6">
        <f>+C13-C15</f>
        <v>746928.43667595205</v>
      </c>
      <c r="E17" s="8">
        <f>+C17/$C$7</f>
        <v>8.8087836061301245E-2</v>
      </c>
    </row>
    <row r="18" spans="1:6" ht="9.9499999999999993" customHeight="1">
      <c r="A18" s="19"/>
      <c r="B18" s="18"/>
      <c r="C18" s="20"/>
      <c r="E18" s="21"/>
    </row>
    <row r="19" spans="1:6" s="27" customFormat="1" ht="20.100000000000001" customHeight="1">
      <c r="A19" s="22" t="s">
        <v>13</v>
      </c>
      <c r="B19" s="23">
        <v>0.15</v>
      </c>
      <c r="C19" s="24">
        <f>+C17*B19</f>
        <v>112039.2655013928</v>
      </c>
      <c r="D19" s="25"/>
      <c r="E19" s="26">
        <f>+C19/$C$7</f>
        <v>1.3213175409195187E-2</v>
      </c>
    </row>
    <row r="20" spans="1:6" ht="26.25" thickBot="1">
      <c r="A20" s="17" t="s">
        <v>14</v>
      </c>
      <c r="B20" s="10"/>
      <c r="C20" s="11">
        <f>+C17-C19</f>
        <v>634889.17117455928</v>
      </c>
      <c r="D20" s="5"/>
      <c r="E20" s="12">
        <f>+C20/$C$7</f>
        <v>7.4874660652106059E-2</v>
      </c>
      <c r="F20" s="3"/>
    </row>
    <row r="21" spans="1:6" ht="20.100000000000001" customHeight="1">
      <c r="A21" s="19"/>
      <c r="B21" s="18"/>
      <c r="C21" s="20"/>
      <c r="E21" s="21"/>
    </row>
    <row r="22" spans="1:6" s="27" customFormat="1" ht="20.100000000000001" customHeight="1">
      <c r="A22" s="22" t="s">
        <v>15</v>
      </c>
      <c r="B22" s="23">
        <v>0.25</v>
      </c>
      <c r="C22" s="28">
        <f>+C20*B22</f>
        <v>158722.29279363982</v>
      </c>
      <c r="D22" s="25"/>
      <c r="E22" s="26">
        <f>+C22/$C$7</f>
        <v>1.8718665163026515E-2</v>
      </c>
    </row>
    <row r="23" spans="1:6" ht="20.100000000000001" customHeight="1" thickBot="1">
      <c r="B23" s="10" t="s">
        <v>16</v>
      </c>
      <c r="C23" s="11">
        <f>+C20-C22</f>
        <v>476166.87838091946</v>
      </c>
      <c r="D23" s="5"/>
      <c r="E23" s="12">
        <f>+C23/$C$7</f>
        <v>5.6155995489079548E-2</v>
      </c>
      <c r="F23" s="3"/>
    </row>
    <row r="24" spans="1:6">
      <c r="B24" s="10"/>
      <c r="C24" s="29"/>
      <c r="D24" s="5"/>
      <c r="E24" s="30"/>
      <c r="F24" s="3"/>
    </row>
    <row r="25" spans="1:6">
      <c r="B25" s="10"/>
      <c r="C25" s="29"/>
      <c r="D25" s="5"/>
      <c r="E25" s="30"/>
      <c r="F25" s="3"/>
    </row>
    <row r="26" spans="1:6">
      <c r="B26" s="10"/>
      <c r="C26" s="29"/>
      <c r="D26" s="5"/>
      <c r="E26" s="30"/>
      <c r="F26" s="3"/>
    </row>
    <row r="27" spans="1:6">
      <c r="B27" s="10"/>
      <c r="C27" s="29"/>
      <c r="D27" s="5"/>
      <c r="E27" s="30"/>
      <c r="F27" s="3"/>
    </row>
    <row r="28" spans="1:6">
      <c r="A28" s="1" t="s">
        <v>17</v>
      </c>
      <c r="B28" s="1"/>
      <c r="C28" s="29"/>
      <c r="D28" s="5"/>
      <c r="E28" s="30"/>
      <c r="F28" s="3"/>
    </row>
    <row r="29" spans="1:6">
      <c r="B29" s="10"/>
      <c r="C29" s="29"/>
      <c r="D29" s="5"/>
      <c r="E29" s="30"/>
      <c r="F29" s="3"/>
    </row>
    <row r="31" spans="1:6">
      <c r="A31" s="424" t="s">
        <v>18</v>
      </c>
      <c r="B31" s="424"/>
    </row>
    <row r="32" spans="1:6">
      <c r="A32" t="s">
        <v>19</v>
      </c>
      <c r="B32" s="31">
        <f>+C20/'[1]Cuadro 1'!C16</f>
        <v>0.85968986824295557</v>
      </c>
    </row>
    <row r="33" spans="1:2">
      <c r="A33" t="s">
        <v>20</v>
      </c>
      <c r="B33" s="31">
        <f>+C20/'[1]Cuadro 1'!C14</f>
        <v>0.51262356038100287</v>
      </c>
    </row>
    <row r="34" spans="1:2">
      <c r="A34" t="s">
        <v>21</v>
      </c>
      <c r="B34" s="32">
        <f>+E20</f>
        <v>7.4874660652106059E-2</v>
      </c>
    </row>
    <row r="36" spans="1:2">
      <c r="A36" s="424" t="s">
        <v>22</v>
      </c>
      <c r="B36" s="424"/>
    </row>
    <row r="37" spans="1:2">
      <c r="A37" t="s">
        <v>19</v>
      </c>
      <c r="B37" s="31">
        <f>+C23/'[1]Cuadro 1'!C16</f>
        <v>0.64476740118221665</v>
      </c>
    </row>
    <row r="38" spans="1:2">
      <c r="A38" t="s">
        <v>20</v>
      </c>
      <c r="B38" s="31">
        <f>+C23/'[1]Cuadro 1'!C14</f>
        <v>0.38446767028575213</v>
      </c>
    </row>
    <row r="39" spans="1:2">
      <c r="A39" t="s">
        <v>21</v>
      </c>
      <c r="B39" s="32">
        <f>+E23</f>
        <v>5.6155995489079548E-2</v>
      </c>
    </row>
  </sheetData>
  <mergeCells count="6">
    <mergeCell ref="A36:B36"/>
    <mergeCell ref="A1:E1"/>
    <mergeCell ref="A2:E2"/>
    <mergeCell ref="E4:E5"/>
    <mergeCell ref="A31:B31"/>
    <mergeCell ref="A3:E3"/>
  </mergeCells>
  <phoneticPr fontId="0" type="noConversion"/>
  <printOptions horizontalCentered="1" verticalCentered="1"/>
  <pageMargins left="1.5748031496062993" right="0.15748031496062992" top="1.1811023622047245" bottom="0.98425196850393704" header="0" footer="0"/>
  <pageSetup paperSize="9" scale="90" orientation="portrait" horizontalDpi="4294967293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44"/>
  </sheetPr>
  <dimension ref="A1:I42"/>
  <sheetViews>
    <sheetView topLeftCell="A40" workbookViewId="0">
      <selection activeCell="G17" sqref="G17"/>
    </sheetView>
  </sheetViews>
  <sheetFormatPr baseColWidth="10" defaultRowHeight="14.25"/>
  <cols>
    <col min="1" max="1" width="4" style="36" customWidth="1"/>
    <col min="2" max="2" width="37.7109375" style="36" bestFit="1" customWidth="1"/>
    <col min="3" max="3" width="10.7109375" style="37" bestFit="1" customWidth="1"/>
    <col min="4" max="4" width="8.7109375" style="37" bestFit="1" customWidth="1"/>
    <col min="5" max="5" width="13" style="38" bestFit="1" customWidth="1"/>
    <col min="6" max="6" width="4.140625" style="39" customWidth="1"/>
    <col min="7" max="16384" width="11.42578125" style="36"/>
  </cols>
  <sheetData>
    <row r="1" spans="1:9" s="35" customFormat="1" ht="18">
      <c r="A1" s="416" t="s">
        <v>23</v>
      </c>
      <c r="B1" s="416"/>
      <c r="C1" s="416"/>
      <c r="D1" s="416"/>
      <c r="E1" s="416"/>
      <c r="F1" s="34"/>
    </row>
    <row r="2" spans="1:9" s="35" customFormat="1" ht="18">
      <c r="A2" s="416" t="s">
        <v>24</v>
      </c>
      <c r="B2" s="416"/>
      <c r="C2" s="416"/>
      <c r="D2" s="416"/>
      <c r="E2" s="416"/>
      <c r="F2" s="34"/>
    </row>
    <row r="3" spans="1:9" ht="11.25" customHeight="1" thickBot="1"/>
    <row r="4" spans="1:9" s="46" customFormat="1" ht="20.100000000000001" customHeight="1" thickBot="1">
      <c r="A4" s="40" t="s">
        <v>25</v>
      </c>
      <c r="B4" s="41"/>
      <c r="C4" s="42" t="s">
        <v>26</v>
      </c>
      <c r="D4" s="43" t="s">
        <v>27</v>
      </c>
      <c r="E4" s="44" t="s">
        <v>16</v>
      </c>
      <c r="F4" s="45"/>
    </row>
    <row r="5" spans="1:9" s="46" customFormat="1" ht="20.100000000000001" customHeight="1">
      <c r="A5" s="47" t="s">
        <v>28</v>
      </c>
      <c r="B5" s="48"/>
      <c r="C5" s="49"/>
      <c r="D5" s="50"/>
      <c r="E5" s="51"/>
      <c r="F5" s="45"/>
    </row>
    <row r="6" spans="1:9" s="46" customFormat="1" ht="20.100000000000001" customHeight="1">
      <c r="A6" s="52"/>
      <c r="B6" s="53" t="s">
        <v>29</v>
      </c>
      <c r="C6" s="54">
        <v>10000</v>
      </c>
      <c r="D6" s="55">
        <v>3</v>
      </c>
      <c r="E6" s="56">
        <f t="shared" ref="E6:E17" si="0">C6*D6</f>
        <v>30000</v>
      </c>
      <c r="F6" s="45"/>
      <c r="G6" s="57">
        <v>35400</v>
      </c>
      <c r="H6" s="57"/>
      <c r="I6" s="57" t="s">
        <v>30</v>
      </c>
    </row>
    <row r="7" spans="1:9" s="46" customFormat="1" ht="20.100000000000001" customHeight="1">
      <c r="A7" s="52"/>
      <c r="B7" s="53" t="s">
        <v>31</v>
      </c>
      <c r="C7" s="54">
        <v>5000</v>
      </c>
      <c r="D7" s="55">
        <v>3</v>
      </c>
      <c r="E7" s="56">
        <f t="shared" si="0"/>
        <v>15000</v>
      </c>
      <c r="F7" s="45"/>
      <c r="G7" s="57"/>
      <c r="H7" s="57"/>
      <c r="I7" s="57"/>
    </row>
    <row r="8" spans="1:9" s="46" customFormat="1" ht="20.100000000000001" customHeight="1">
      <c r="A8" s="52"/>
      <c r="B8" s="53" t="s">
        <v>32</v>
      </c>
      <c r="C8" s="54">
        <v>25000</v>
      </c>
      <c r="D8" s="55">
        <v>1</v>
      </c>
      <c r="E8" s="56">
        <f t="shared" si="0"/>
        <v>25000</v>
      </c>
      <c r="F8" s="45"/>
      <c r="G8" s="57">
        <v>26</v>
      </c>
      <c r="H8" s="57" t="s">
        <v>33</v>
      </c>
      <c r="I8" s="57" t="s">
        <v>34</v>
      </c>
    </row>
    <row r="9" spans="1:9" s="46" customFormat="1" ht="20.100000000000001" customHeight="1">
      <c r="A9" s="52"/>
      <c r="B9" s="58" t="s">
        <v>35</v>
      </c>
      <c r="C9" s="54">
        <v>50000</v>
      </c>
      <c r="D9" s="55">
        <v>1</v>
      </c>
      <c r="E9" s="56">
        <f t="shared" si="0"/>
        <v>50000</v>
      </c>
      <c r="F9" s="45"/>
      <c r="G9" s="57">
        <f>G6/G8</f>
        <v>1361.5384615384614</v>
      </c>
      <c r="H9" s="57"/>
      <c r="I9" s="57" t="s">
        <v>30</v>
      </c>
    </row>
    <row r="10" spans="1:9" s="46" customFormat="1" ht="20.100000000000001" customHeight="1">
      <c r="A10" s="52"/>
      <c r="B10" s="53" t="s">
        <v>36</v>
      </c>
      <c r="C10" s="54">
        <v>35000</v>
      </c>
      <c r="D10" s="55">
        <v>1</v>
      </c>
      <c r="E10" s="56">
        <f t="shared" si="0"/>
        <v>35000</v>
      </c>
      <c r="F10" s="45"/>
      <c r="G10" s="57">
        <f>G9*125</f>
        <v>170192.30769230769</v>
      </c>
      <c r="H10" s="57"/>
      <c r="I10" s="57" t="s">
        <v>30</v>
      </c>
    </row>
    <row r="11" spans="1:9" s="46" customFormat="1" ht="20.100000000000001" customHeight="1">
      <c r="A11" s="52"/>
      <c r="B11" s="53" t="s">
        <v>37</v>
      </c>
      <c r="C11" s="59">
        <v>10000</v>
      </c>
      <c r="D11" s="55">
        <v>6</v>
      </c>
      <c r="E11" s="56">
        <f t="shared" si="0"/>
        <v>60000</v>
      </c>
      <c r="F11" s="45"/>
      <c r="G11" s="57">
        <f>G10/1000</f>
        <v>170.19230769230768</v>
      </c>
      <c r="H11" s="57"/>
      <c r="I11" s="57" t="s">
        <v>30</v>
      </c>
    </row>
    <row r="12" spans="1:9" s="46" customFormat="1" ht="20.100000000000001" customHeight="1">
      <c r="A12" s="52"/>
      <c r="B12" s="53" t="s">
        <v>38</v>
      </c>
      <c r="C12" s="54">
        <v>15000</v>
      </c>
      <c r="D12" s="55">
        <v>1</v>
      </c>
      <c r="E12" s="56">
        <f t="shared" si="0"/>
        <v>15000</v>
      </c>
      <c r="F12" s="45"/>
      <c r="G12" s="57"/>
      <c r="H12" s="57" t="s">
        <v>39</v>
      </c>
      <c r="I12" s="57" t="s">
        <v>34</v>
      </c>
    </row>
    <row r="13" spans="1:9" s="46" customFormat="1" ht="20.100000000000001" customHeight="1">
      <c r="A13" s="52"/>
      <c r="B13" s="53" t="s">
        <v>40</v>
      </c>
      <c r="C13" s="54">
        <v>10000</v>
      </c>
      <c r="D13" s="55">
        <v>3</v>
      </c>
      <c r="E13" s="56">
        <f t="shared" si="0"/>
        <v>30000</v>
      </c>
      <c r="F13" s="45"/>
      <c r="G13" s="57"/>
      <c r="H13" s="57"/>
      <c r="I13" s="57"/>
    </row>
    <row r="14" spans="1:9" s="46" customFormat="1" ht="20.100000000000001" customHeight="1">
      <c r="A14" s="52"/>
      <c r="B14" s="53" t="s">
        <v>41</v>
      </c>
      <c r="C14" s="54">
        <v>6500</v>
      </c>
      <c r="D14" s="55">
        <v>2</v>
      </c>
      <c r="E14" s="56">
        <f t="shared" si="0"/>
        <v>13000</v>
      </c>
      <c r="F14" s="45"/>
      <c r="G14" s="57"/>
      <c r="H14" s="57"/>
      <c r="I14" s="57"/>
    </row>
    <row r="15" spans="1:9" s="46" customFormat="1" ht="20.100000000000001" customHeight="1">
      <c r="A15" s="52"/>
      <c r="B15" s="53" t="s">
        <v>42</v>
      </c>
      <c r="C15" s="54">
        <v>3000</v>
      </c>
      <c r="D15" s="55">
        <v>1</v>
      </c>
      <c r="E15" s="56">
        <f t="shared" si="0"/>
        <v>3000</v>
      </c>
      <c r="F15" s="45"/>
      <c r="G15" s="57"/>
      <c r="H15" s="57"/>
      <c r="I15" s="57"/>
    </row>
    <row r="16" spans="1:9" s="46" customFormat="1" ht="20.100000000000001" customHeight="1">
      <c r="A16" s="52"/>
      <c r="B16" s="53" t="s">
        <v>43</v>
      </c>
      <c r="C16" s="54">
        <v>300</v>
      </c>
      <c r="D16" s="55">
        <v>10</v>
      </c>
      <c r="E16" s="56">
        <f t="shared" si="0"/>
        <v>3000</v>
      </c>
      <c r="F16" s="45"/>
      <c r="G16" s="57"/>
      <c r="H16" s="57"/>
      <c r="I16" s="57"/>
    </row>
    <row r="17" spans="1:9" s="46" customFormat="1" ht="20.100000000000001" customHeight="1" thickBot="1">
      <c r="A17" s="52"/>
      <c r="B17" s="53" t="s">
        <v>44</v>
      </c>
      <c r="C17" s="59">
        <v>120</v>
      </c>
      <c r="D17" s="55">
        <v>100</v>
      </c>
      <c r="E17" s="56">
        <f t="shared" si="0"/>
        <v>12000</v>
      </c>
      <c r="F17" s="45"/>
      <c r="G17" s="57"/>
      <c r="H17" s="57"/>
      <c r="I17" s="57" t="s">
        <v>30</v>
      </c>
    </row>
    <row r="18" spans="1:9" s="45" customFormat="1" ht="20.100000000000001" customHeight="1" thickBot="1">
      <c r="A18" s="60"/>
      <c r="B18" s="61"/>
      <c r="C18" s="62" t="s">
        <v>16</v>
      </c>
      <c r="D18" s="62"/>
      <c r="E18" s="63">
        <f>SUM(E6:E17)</f>
        <v>291000</v>
      </c>
    </row>
    <row r="19" spans="1:9" s="39" customFormat="1" ht="24.75" customHeight="1">
      <c r="B19" s="64"/>
      <c r="C19" s="65"/>
      <c r="D19" s="65"/>
      <c r="E19" s="66"/>
    </row>
    <row r="20" spans="1:9" s="67" customFormat="1" ht="24.95" customHeight="1">
      <c r="B20" s="416"/>
      <c r="C20" s="416"/>
      <c r="D20" s="416"/>
      <c r="E20" s="416"/>
      <c r="F20" s="416"/>
    </row>
    <row r="21" spans="1:9" s="67" customFormat="1" ht="24.95" customHeight="1">
      <c r="B21" s="416" t="s">
        <v>45</v>
      </c>
      <c r="C21" s="416"/>
      <c r="D21" s="416"/>
      <c r="E21" s="416"/>
      <c r="F21" s="416"/>
    </row>
    <row r="22" spans="1:9" s="39" customFormat="1" ht="15" customHeight="1" thickBot="1">
      <c r="B22" s="36"/>
      <c r="C22" s="37"/>
      <c r="D22" s="37"/>
      <c r="E22" s="38"/>
    </row>
    <row r="23" spans="1:9" s="45" customFormat="1" ht="20.100000000000001" customHeight="1" thickBot="1">
      <c r="A23" s="427" t="s">
        <v>46</v>
      </c>
      <c r="B23" s="428"/>
      <c r="C23" s="68"/>
      <c r="D23" s="68"/>
      <c r="E23" s="69" t="s">
        <v>47</v>
      </c>
    </row>
    <row r="24" spans="1:9" s="45" customFormat="1" ht="20.100000000000001" customHeight="1">
      <c r="A24" s="70">
        <v>1</v>
      </c>
      <c r="B24" s="71" t="s">
        <v>48</v>
      </c>
      <c r="C24" s="72"/>
      <c r="D24" s="72"/>
      <c r="E24" s="73">
        <v>5000</v>
      </c>
    </row>
    <row r="25" spans="1:9" s="45" customFormat="1" ht="20.100000000000001" customHeight="1">
      <c r="A25" s="74">
        <v>2</v>
      </c>
      <c r="B25" s="75" t="s">
        <v>49</v>
      </c>
      <c r="C25" s="76"/>
      <c r="D25" s="76"/>
      <c r="E25" s="77">
        <v>800</v>
      </c>
      <c r="F25" s="78"/>
    </row>
    <row r="26" spans="1:9" s="46" customFormat="1" ht="20.100000000000001" customHeight="1">
      <c r="A26" s="79">
        <v>3</v>
      </c>
      <c r="B26" s="75" t="s">
        <v>50</v>
      </c>
      <c r="C26" s="80"/>
      <c r="D26" s="80"/>
      <c r="E26" s="81">
        <f>0.1*E18</f>
        <v>29100</v>
      </c>
      <c r="F26" s="45"/>
    </row>
    <row r="27" spans="1:9" s="46" customFormat="1" ht="20.100000000000001" customHeight="1">
      <c r="A27" s="79">
        <v>4</v>
      </c>
      <c r="B27" s="75" t="s">
        <v>51</v>
      </c>
      <c r="C27" s="80"/>
      <c r="D27" s="80"/>
      <c r="E27" s="77">
        <v>5000</v>
      </c>
      <c r="F27" s="45"/>
    </row>
    <row r="28" spans="1:9" s="46" customFormat="1" ht="20.100000000000001" customHeight="1">
      <c r="A28" s="79">
        <v>5</v>
      </c>
      <c r="B28" s="75" t="s">
        <v>52</v>
      </c>
      <c r="C28" s="80"/>
      <c r="D28" s="80"/>
      <c r="E28" s="77">
        <v>1500</v>
      </c>
      <c r="F28" s="45"/>
    </row>
    <row r="29" spans="1:9" s="46" customFormat="1" ht="20.100000000000001" customHeight="1">
      <c r="A29" s="79">
        <v>6</v>
      </c>
      <c r="B29" s="75" t="s">
        <v>53</v>
      </c>
      <c r="C29" s="80"/>
      <c r="D29" s="80"/>
      <c r="E29" s="81">
        <f>0.05*E18</f>
        <v>14550</v>
      </c>
      <c r="F29" s="45"/>
    </row>
    <row r="30" spans="1:9" s="46" customFormat="1" ht="20.100000000000001" customHeight="1">
      <c r="A30" s="82">
        <v>7</v>
      </c>
      <c r="B30" s="83" t="s">
        <v>54</v>
      </c>
      <c r="C30" s="84"/>
      <c r="D30" s="84"/>
      <c r="E30" s="85">
        <v>500</v>
      </c>
      <c r="F30" s="45"/>
    </row>
    <row r="31" spans="1:9" s="46" customFormat="1" ht="20.100000000000001" customHeight="1" thickBot="1">
      <c r="A31" s="86">
        <v>8</v>
      </c>
      <c r="B31" s="87" t="s">
        <v>55</v>
      </c>
      <c r="C31" s="88"/>
      <c r="D31" s="88"/>
      <c r="E31" s="89">
        <v>200</v>
      </c>
      <c r="F31" s="45"/>
    </row>
    <row r="32" spans="1:9" s="46" customFormat="1" ht="20.100000000000001" customHeight="1" thickBot="1">
      <c r="A32" s="90"/>
      <c r="B32" s="91"/>
      <c r="C32" s="92"/>
      <c r="D32" s="92"/>
      <c r="E32" s="93"/>
      <c r="F32" s="45"/>
    </row>
    <row r="33" spans="1:6" s="46" customFormat="1" ht="20.100000000000001" customHeight="1" thickBot="1">
      <c r="A33" s="90"/>
      <c r="B33" s="94"/>
      <c r="C33" s="95" t="s">
        <v>16</v>
      </c>
      <c r="D33" s="95"/>
      <c r="E33" s="96">
        <f>SUM(E24:E31)</f>
        <v>56650</v>
      </c>
      <c r="F33" s="45"/>
    </row>
    <row r="34" spans="1:6" ht="20.100000000000001" customHeight="1">
      <c r="A34" s="97"/>
      <c r="B34" s="98" t="s">
        <v>56</v>
      </c>
      <c r="C34" s="99"/>
      <c r="D34" s="99"/>
      <c r="E34" s="100"/>
    </row>
    <row r="35" spans="1:6" ht="24.95" customHeight="1">
      <c r="A35" s="39"/>
      <c r="C35" s="65"/>
      <c r="D35" s="65"/>
      <c r="E35" s="66"/>
    </row>
    <row r="36" spans="1:6" ht="24.95" customHeight="1">
      <c r="A36" s="39"/>
      <c r="B36" s="39"/>
      <c r="C36" s="65"/>
      <c r="D36" s="65"/>
      <c r="E36" s="66"/>
    </row>
    <row r="37" spans="1:6" ht="24.95" customHeight="1">
      <c r="A37" s="39"/>
      <c r="B37" s="39"/>
      <c r="C37" s="65"/>
      <c r="D37" s="65"/>
      <c r="E37" s="66"/>
    </row>
    <row r="38" spans="1:6" ht="24.95" customHeight="1">
      <c r="A38" s="39"/>
      <c r="B38" s="39"/>
      <c r="C38" s="65"/>
      <c r="D38" s="65"/>
      <c r="E38" s="66"/>
    </row>
    <row r="39" spans="1:6" ht="24.95" customHeight="1">
      <c r="A39" s="39"/>
      <c r="B39" s="39"/>
      <c r="C39" s="65"/>
      <c r="D39" s="65"/>
      <c r="E39" s="66"/>
    </row>
    <row r="40" spans="1:6" ht="24.95" customHeight="1">
      <c r="A40" s="39"/>
      <c r="B40" s="39"/>
      <c r="C40" s="65"/>
      <c r="D40" s="65"/>
      <c r="E40" s="66"/>
    </row>
    <row r="41" spans="1:6" ht="24.95" customHeight="1">
      <c r="A41" s="39"/>
      <c r="B41" s="39"/>
      <c r="C41" s="65"/>
      <c r="D41" s="65"/>
      <c r="E41" s="66"/>
    </row>
    <row r="42" spans="1:6" ht="24.95" customHeight="1">
      <c r="A42" s="39"/>
      <c r="B42" s="39"/>
      <c r="C42" s="65"/>
      <c r="D42" s="65"/>
      <c r="E42" s="66"/>
    </row>
  </sheetData>
  <mergeCells count="5">
    <mergeCell ref="A1:E1"/>
    <mergeCell ref="A23:B23"/>
    <mergeCell ref="B20:F20"/>
    <mergeCell ref="B21:F21"/>
    <mergeCell ref="A2:E2"/>
  </mergeCells>
  <phoneticPr fontId="0" type="noConversion"/>
  <printOptions horizontalCentered="1" verticalCentered="1"/>
  <pageMargins left="1.5748031496062993" right="0.78740157480314965" top="1.1811023622047245" bottom="0.98425196850393704" header="0" footer="0"/>
  <pageSetup paperSize="9" scale="95" orientation="portrait" horizontalDpi="4294967293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46"/>
  </sheetPr>
  <dimension ref="A1:H31"/>
  <sheetViews>
    <sheetView topLeftCell="A34" workbookViewId="0">
      <selection activeCell="I29" sqref="I29"/>
    </sheetView>
  </sheetViews>
  <sheetFormatPr baseColWidth="10" defaultRowHeight="14.25"/>
  <cols>
    <col min="1" max="1" width="4" style="36" customWidth="1"/>
    <col min="2" max="2" width="36.5703125" style="36" customWidth="1"/>
    <col min="3" max="3" width="10" style="36" customWidth="1"/>
    <col min="4" max="4" width="8.7109375" style="36" customWidth="1"/>
    <col min="5" max="5" width="9.140625" style="36" customWidth="1"/>
    <col min="6" max="6" width="13.28515625" style="36" customWidth="1"/>
    <col min="7" max="7" width="14.28515625" style="36" customWidth="1"/>
    <col min="8" max="8" width="11.7109375" style="36" bestFit="1" customWidth="1"/>
    <col min="9" max="9" width="13.140625" style="36" bestFit="1" customWidth="1"/>
    <col min="10" max="16384" width="11.42578125" style="36"/>
  </cols>
  <sheetData>
    <row r="1" spans="2:8" s="35" customFormat="1" ht="18">
      <c r="B1" s="431" t="s">
        <v>95</v>
      </c>
      <c r="C1" s="431"/>
      <c r="D1" s="431"/>
      <c r="E1" s="431"/>
      <c r="F1" s="179"/>
      <c r="G1" s="179"/>
    </row>
    <row r="2" spans="2:8" s="35" customFormat="1" ht="18">
      <c r="B2" s="416" t="s">
        <v>96</v>
      </c>
      <c r="C2" s="416"/>
      <c r="D2" s="416"/>
      <c r="E2" s="416"/>
      <c r="F2" s="33"/>
      <c r="G2" s="33"/>
    </row>
    <row r="3" spans="2:8" ht="15" thickBot="1"/>
    <row r="4" spans="2:8" s="46" customFormat="1" ht="15.75" thickBot="1">
      <c r="B4" s="442" t="s">
        <v>97</v>
      </c>
      <c r="C4" s="444" t="s">
        <v>80</v>
      </c>
      <c r="D4" s="440" t="s">
        <v>98</v>
      </c>
      <c r="E4" s="447" t="s">
        <v>99</v>
      </c>
      <c r="F4" s="448"/>
      <c r="G4" s="440" t="s">
        <v>100</v>
      </c>
      <c r="H4" s="45"/>
    </row>
    <row r="5" spans="2:8" s="184" customFormat="1" ht="15.75" thickBot="1">
      <c r="B5" s="443"/>
      <c r="C5" s="445"/>
      <c r="D5" s="441"/>
      <c r="E5" s="181" t="s">
        <v>101</v>
      </c>
      <c r="F5" s="182" t="s">
        <v>82</v>
      </c>
      <c r="G5" s="441"/>
      <c r="H5" s="183"/>
    </row>
    <row r="6" spans="2:8" s="46" customFormat="1" ht="24.95" customHeight="1">
      <c r="B6" s="185" t="s">
        <v>102</v>
      </c>
      <c r="C6" s="186">
        <v>91000</v>
      </c>
      <c r="D6" s="187" t="s">
        <v>103</v>
      </c>
      <c r="E6" s="188">
        <v>0.23</v>
      </c>
      <c r="F6" s="189">
        <f>+C6*E6</f>
        <v>20930</v>
      </c>
      <c r="G6" s="190">
        <f>+F6*300</f>
        <v>6279000</v>
      </c>
      <c r="H6" s="191"/>
    </row>
    <row r="7" spans="2:8" s="46" customFormat="1" ht="24.95" customHeight="1">
      <c r="B7" s="185" t="s">
        <v>104</v>
      </c>
      <c r="C7" s="186">
        <v>9000</v>
      </c>
      <c r="D7" s="192" t="s">
        <v>103</v>
      </c>
      <c r="E7" s="193">
        <v>0.35</v>
      </c>
      <c r="F7" s="189">
        <f t="shared" ref="F7:F12" si="0">+C7*E7</f>
        <v>3150</v>
      </c>
      <c r="G7" s="194">
        <f t="shared" ref="G7:G12" si="1">+F7*300</f>
        <v>945000</v>
      </c>
      <c r="H7" s="191"/>
    </row>
    <row r="8" spans="2:8" s="46" customFormat="1" ht="24.95" customHeight="1">
      <c r="B8" s="195" t="s">
        <v>105</v>
      </c>
      <c r="C8" s="196">
        <v>920</v>
      </c>
      <c r="D8" s="192" t="s">
        <v>103</v>
      </c>
      <c r="E8" s="197">
        <v>0.5</v>
      </c>
      <c r="F8" s="189">
        <f t="shared" si="0"/>
        <v>460</v>
      </c>
      <c r="G8" s="194">
        <f t="shared" si="1"/>
        <v>138000</v>
      </c>
      <c r="H8" s="191"/>
    </row>
    <row r="9" spans="2:8" s="46" customFormat="1" ht="24.95" customHeight="1">
      <c r="B9" s="198" t="s">
        <v>106</v>
      </c>
      <c r="C9" s="196">
        <v>830</v>
      </c>
      <c r="D9" s="192" t="s">
        <v>103</v>
      </c>
      <c r="E9" s="197">
        <v>0.3</v>
      </c>
      <c r="F9" s="189">
        <f t="shared" si="0"/>
        <v>249</v>
      </c>
      <c r="G9" s="194">
        <f t="shared" si="1"/>
        <v>74700</v>
      </c>
      <c r="H9" s="191"/>
    </row>
    <row r="10" spans="2:8" s="46" customFormat="1" ht="24.95" customHeight="1">
      <c r="B10" s="198" t="s">
        <v>107</v>
      </c>
      <c r="C10" s="186">
        <v>1770</v>
      </c>
      <c r="D10" s="192" t="s">
        <v>108</v>
      </c>
      <c r="E10" s="197">
        <v>0.01</v>
      </c>
      <c r="F10" s="189">
        <f t="shared" si="0"/>
        <v>17.7</v>
      </c>
      <c r="G10" s="194">
        <f t="shared" si="1"/>
        <v>5310</v>
      </c>
      <c r="H10" s="191"/>
    </row>
    <row r="11" spans="2:8" s="46" customFormat="1" ht="24.95" customHeight="1">
      <c r="B11" s="198" t="s">
        <v>109</v>
      </c>
      <c r="C11" s="186">
        <v>31000</v>
      </c>
      <c r="D11" s="187" t="s">
        <v>103</v>
      </c>
      <c r="E11" s="199">
        <v>0.01</v>
      </c>
      <c r="F11" s="189">
        <f t="shared" si="0"/>
        <v>310</v>
      </c>
      <c r="G11" s="194">
        <f t="shared" si="1"/>
        <v>93000</v>
      </c>
      <c r="H11" s="191"/>
    </row>
    <row r="12" spans="2:8" s="46" customFormat="1" ht="24.95" customHeight="1" thickBot="1">
      <c r="B12" s="198" t="s">
        <v>110</v>
      </c>
      <c r="C12" s="186">
        <v>4425</v>
      </c>
      <c r="D12" s="200" t="s">
        <v>111</v>
      </c>
      <c r="E12" s="201">
        <v>0.04</v>
      </c>
      <c r="F12" s="189">
        <f t="shared" si="0"/>
        <v>177</v>
      </c>
      <c r="G12" s="194">
        <f t="shared" si="1"/>
        <v>53100</v>
      </c>
      <c r="H12" s="191"/>
    </row>
    <row r="13" spans="2:8" s="208" customFormat="1" ht="24.95" customHeight="1" thickBot="1">
      <c r="B13" s="202" t="s">
        <v>63</v>
      </c>
      <c r="C13" s="203">
        <f>SUM(C6:C12)</f>
        <v>138945</v>
      </c>
      <c r="D13" s="204"/>
      <c r="E13" s="205"/>
      <c r="F13" s="206">
        <f>SUM(F6:F12)</f>
        <v>25293.7</v>
      </c>
      <c r="G13" s="207">
        <f>SUM(G6:G12)</f>
        <v>7588110</v>
      </c>
    </row>
    <row r="14" spans="2:8">
      <c r="E14" s="113"/>
    </row>
    <row r="16" spans="2:8" ht="18">
      <c r="B16" s="431" t="s">
        <v>112</v>
      </c>
      <c r="C16" s="431"/>
      <c r="D16" s="431"/>
      <c r="E16" s="431"/>
    </row>
    <row r="17" spans="1:6" ht="18">
      <c r="B17" s="416" t="s">
        <v>113</v>
      </c>
      <c r="C17" s="416"/>
      <c r="D17" s="416"/>
      <c r="E17" s="416"/>
    </row>
    <row r="18" spans="1:6">
      <c r="B18" s="446" t="s">
        <v>114</v>
      </c>
      <c r="C18" s="446"/>
      <c r="D18" s="446"/>
      <c r="E18" s="446"/>
    </row>
    <row r="19" spans="1:6" ht="15" thickBot="1"/>
    <row r="20" spans="1:6" s="212" customFormat="1" ht="24.95" customHeight="1" thickBot="1">
      <c r="A20" s="432" t="s">
        <v>115</v>
      </c>
      <c r="B20" s="433"/>
      <c r="C20" s="209" t="s">
        <v>116</v>
      </c>
      <c r="D20" s="210" t="s">
        <v>117</v>
      </c>
      <c r="E20" s="211" t="s">
        <v>118</v>
      </c>
      <c r="F20" s="211" t="s">
        <v>119</v>
      </c>
    </row>
    <row r="21" spans="1:6" s="46" customFormat="1" ht="24.95" customHeight="1">
      <c r="A21" s="436" t="s">
        <v>120</v>
      </c>
      <c r="B21" s="437"/>
      <c r="C21" s="213">
        <v>1</v>
      </c>
      <c r="D21" s="214">
        <v>240</v>
      </c>
      <c r="E21" s="215">
        <f t="shared" ref="E21:E29" si="2">+D21*C21</f>
        <v>240</v>
      </c>
      <c r="F21" s="215">
        <f t="shared" ref="F21:F29" si="3">+E21*12</f>
        <v>2880</v>
      </c>
    </row>
    <row r="22" spans="1:6" s="46" customFormat="1" ht="24.95" customHeight="1">
      <c r="A22" s="434" t="s">
        <v>121</v>
      </c>
      <c r="B22" s="435"/>
      <c r="C22" s="216">
        <v>1</v>
      </c>
      <c r="D22" s="217">
        <v>240</v>
      </c>
      <c r="E22" s="218">
        <f t="shared" si="2"/>
        <v>240</v>
      </c>
      <c r="F22" s="215">
        <f t="shared" si="3"/>
        <v>2880</v>
      </c>
    </row>
    <row r="23" spans="1:6" s="46" customFormat="1" ht="24.95" customHeight="1">
      <c r="A23" s="434" t="s">
        <v>122</v>
      </c>
      <c r="B23" s="435"/>
      <c r="C23" s="216">
        <v>2</v>
      </c>
      <c r="D23" s="217">
        <v>300</v>
      </c>
      <c r="E23" s="218">
        <f t="shared" si="2"/>
        <v>600</v>
      </c>
      <c r="F23" s="215">
        <f t="shared" si="3"/>
        <v>7200</v>
      </c>
    </row>
    <row r="24" spans="1:6" s="46" customFormat="1" ht="24.95" customHeight="1">
      <c r="A24" s="438" t="s">
        <v>123</v>
      </c>
      <c r="B24" s="439"/>
      <c r="C24" s="216">
        <v>1</v>
      </c>
      <c r="D24" s="217">
        <v>300</v>
      </c>
      <c r="E24" s="218">
        <f t="shared" si="2"/>
        <v>300</v>
      </c>
      <c r="F24" s="215">
        <f t="shared" si="3"/>
        <v>3600</v>
      </c>
    </row>
    <row r="25" spans="1:6" s="46" customFormat="1" ht="24.95" customHeight="1">
      <c r="A25" s="434" t="s">
        <v>124</v>
      </c>
      <c r="B25" s="435"/>
      <c r="C25" s="216">
        <v>1</v>
      </c>
      <c r="D25" s="217">
        <v>300</v>
      </c>
      <c r="E25" s="218">
        <f t="shared" si="2"/>
        <v>300</v>
      </c>
      <c r="F25" s="215">
        <f t="shared" si="3"/>
        <v>3600</v>
      </c>
    </row>
    <row r="26" spans="1:6" s="46" customFormat="1" ht="24.95" customHeight="1">
      <c r="A26" s="438" t="s">
        <v>125</v>
      </c>
      <c r="B26" s="439"/>
      <c r="C26" s="219">
        <v>1</v>
      </c>
      <c r="D26" s="220">
        <v>240</v>
      </c>
      <c r="E26" s="221">
        <f t="shared" si="2"/>
        <v>240</v>
      </c>
      <c r="F26" s="222">
        <f t="shared" si="3"/>
        <v>2880</v>
      </c>
    </row>
    <row r="27" spans="1:6" s="46" customFormat="1" ht="24.95" customHeight="1">
      <c r="A27" s="223" t="s">
        <v>126</v>
      </c>
      <c r="B27" s="224"/>
      <c r="C27" s="219">
        <v>1</v>
      </c>
      <c r="D27" s="220">
        <v>240</v>
      </c>
      <c r="E27" s="221">
        <f t="shared" si="2"/>
        <v>240</v>
      </c>
      <c r="F27" s="222">
        <f t="shared" si="3"/>
        <v>2880</v>
      </c>
    </row>
    <row r="28" spans="1:6" s="46" customFormat="1" ht="24.95" customHeight="1">
      <c r="A28" s="434" t="s">
        <v>127</v>
      </c>
      <c r="B28" s="435"/>
      <c r="C28" s="225">
        <v>2</v>
      </c>
      <c r="D28" s="217">
        <v>240</v>
      </c>
      <c r="E28" s="218">
        <f t="shared" si="2"/>
        <v>480</v>
      </c>
      <c r="F28" s="215">
        <f t="shared" si="3"/>
        <v>5760</v>
      </c>
    </row>
    <row r="29" spans="1:6" s="46" customFormat="1" ht="24.95" customHeight="1" thickBot="1">
      <c r="A29" s="429" t="s">
        <v>128</v>
      </c>
      <c r="B29" s="430"/>
      <c r="C29" s="226">
        <v>1</v>
      </c>
      <c r="D29" s="227">
        <v>500</v>
      </c>
      <c r="E29" s="228">
        <f t="shared" si="2"/>
        <v>500</v>
      </c>
      <c r="F29" s="222">
        <f t="shared" si="3"/>
        <v>6000</v>
      </c>
    </row>
    <row r="30" spans="1:6" s="46" customFormat="1" ht="24.95" customHeight="1" thickBot="1">
      <c r="A30" s="229" t="s">
        <v>129</v>
      </c>
      <c r="B30" s="230"/>
      <c r="C30" s="231">
        <f>SUM(C21:C29)</f>
        <v>11</v>
      </c>
      <c r="D30" s="232"/>
      <c r="E30" s="233">
        <f>SUM(E21:E29)</f>
        <v>3140</v>
      </c>
      <c r="F30" s="234">
        <f>SUM(F21:F29)</f>
        <v>37680</v>
      </c>
    </row>
    <row r="31" spans="1:6" s="46" customFormat="1"/>
  </sheetData>
  <mergeCells count="19">
    <mergeCell ref="A24:B24"/>
    <mergeCell ref="A26:B26"/>
    <mergeCell ref="G4:G5"/>
    <mergeCell ref="B4:B5"/>
    <mergeCell ref="C4:C5"/>
    <mergeCell ref="B18:E18"/>
    <mergeCell ref="E4:F4"/>
    <mergeCell ref="B17:E17"/>
    <mergeCell ref="D4:D5"/>
    <mergeCell ref="A29:B29"/>
    <mergeCell ref="B2:E2"/>
    <mergeCell ref="B1:E1"/>
    <mergeCell ref="B16:E16"/>
    <mergeCell ref="A20:B20"/>
    <mergeCell ref="A28:B28"/>
    <mergeCell ref="A21:B21"/>
    <mergeCell ref="A22:B22"/>
    <mergeCell ref="A23:B23"/>
    <mergeCell ref="A25:B25"/>
  </mergeCells>
  <phoneticPr fontId="0" type="noConversion"/>
  <printOptions horizontalCentered="1" verticalCentered="1"/>
  <pageMargins left="1.5748031496062993" right="0.15748031496062992" top="1.1811023622047245" bottom="0.98425196850393704" header="0" footer="0"/>
  <pageSetup paperSize="9"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5</vt:i4>
      </vt:variant>
    </vt:vector>
  </HeadingPairs>
  <TitlesOfParts>
    <vt:vector size="15" baseType="lpstr">
      <vt:lpstr>ANEXO 2</vt:lpstr>
      <vt:lpstr>ANEXO 3</vt:lpstr>
      <vt:lpstr>ANEXO 4-5-6</vt:lpstr>
      <vt:lpstr>ANEXO 7</vt:lpstr>
      <vt:lpstr>ANEXO 8</vt:lpstr>
      <vt:lpstr>ANEXO 9</vt:lpstr>
      <vt:lpstr>ANEXO 10</vt:lpstr>
      <vt:lpstr>ANEXO 2A</vt:lpstr>
      <vt:lpstr>A-D1-D2</vt:lpstr>
      <vt:lpstr>ANEXO D3</vt:lpstr>
      <vt:lpstr>'ANEXO 2'!Área_de_impresión</vt:lpstr>
      <vt:lpstr>'ANEXO 2A'!Área_de_impresión</vt:lpstr>
      <vt:lpstr>'ANEXO 3'!Área_de_impresión</vt:lpstr>
      <vt:lpstr>'ANEXO 7'!Área_de_impresión</vt:lpstr>
      <vt:lpstr>'ANEXO 8'!Área_de_impresión</vt:lpstr>
    </vt:vector>
  </TitlesOfParts>
  <Company>The houze!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 CELLCOMP</dc:creator>
  <cp:lastModifiedBy>Gaby</cp:lastModifiedBy>
  <dcterms:created xsi:type="dcterms:W3CDTF">2010-02-25T15:41:14Z</dcterms:created>
  <dcterms:modified xsi:type="dcterms:W3CDTF">2010-02-26T00:56:49Z</dcterms:modified>
</cp:coreProperties>
</file>