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79A"/>
  <workbookPr/>
  <bookViews>
    <workbookView xWindow="240" yWindow="60" windowWidth="11595" windowHeight="7605" tabRatio="881" activeTab="0"/>
  </bookViews>
  <sheets>
    <sheet name="DEMANDA_INGRESO" sheetId="1" r:id="rId1"/>
    <sheet name="BRANDING" sheetId="2" r:id="rId2"/>
    <sheet name="COSTOS" sheetId="3" r:id="rId3"/>
    <sheet name="Nomina y sueldos" sheetId="4" r:id="rId4"/>
    <sheet name="Depreciaciones" sheetId="5" r:id="rId5"/>
    <sheet name="Estado PyG" sheetId="6" r:id="rId6"/>
    <sheet name="Flujo_caja" sheetId="7" r:id="rId7"/>
    <sheet name="Analisis_sensibilidad" sheetId="8" r:id="rId8"/>
  </sheets>
  <definedNames/>
  <calcPr fullCalcOnLoad="1"/>
</workbook>
</file>

<file path=xl/comments1.xml><?xml version="1.0" encoding="utf-8"?>
<comments xmlns="http://schemas.openxmlformats.org/spreadsheetml/2006/main">
  <authors>
    <author>Usuario Final</author>
  </authors>
  <commentList>
    <comment ref="C23" authorId="0">
      <text>
        <r>
          <rPr>
            <b/>
            <sz val="10"/>
            <rFont val="Tahoma"/>
            <family val="0"/>
          </rPr>
          <t>Usuario Final:</t>
        </r>
        <r>
          <rPr>
            <sz val="10"/>
            <rFont val="Tahoma"/>
            <family val="0"/>
          </rPr>
          <t xml:space="preserve">
En un contenedor de 20 pies entran 400 cajas de 24 botellas c/una.</t>
        </r>
      </text>
    </comment>
  </commentList>
</comments>
</file>

<file path=xl/comments3.xml><?xml version="1.0" encoding="utf-8"?>
<comments xmlns="http://schemas.openxmlformats.org/spreadsheetml/2006/main">
  <authors>
    <author>Usuario Final</author>
  </authors>
  <commentList>
    <comment ref="D30" authorId="0">
      <text>
        <r>
          <rPr>
            <b/>
            <sz val="10"/>
            <rFont val="Tahoma"/>
            <family val="0"/>
          </rPr>
          <t>Usuario Final:</t>
        </r>
        <r>
          <rPr>
            <sz val="10"/>
            <rFont val="Tahoma"/>
            <family val="0"/>
          </rPr>
          <t xml:space="preserve">
Gastos de Constitución ($1500) y cualquier otro gasto que se tenga que hacer en adecuacion de oficinas ($3500)</t>
        </r>
      </text>
    </comment>
  </commentList>
</comments>
</file>

<file path=xl/comments7.xml><?xml version="1.0" encoding="utf-8"?>
<comments xmlns="http://schemas.openxmlformats.org/spreadsheetml/2006/main">
  <authors>
    <author>Usuario Final</author>
    <author>Orlando Hernandez</author>
  </authors>
  <commentList>
    <comment ref="B32" authorId="0">
      <text>
        <r>
          <rPr>
            <b/>
            <sz val="10"/>
            <rFont val="Tahoma"/>
            <family val="0"/>
          </rPr>
          <t>Usuario Final:</t>
        </r>
        <r>
          <rPr>
            <sz val="10"/>
            <rFont val="Tahoma"/>
            <family val="0"/>
          </rPr>
          <t xml:space="preserve">
Beta de mercado de bebidas (mercado similar)</t>
        </r>
      </text>
    </comment>
    <comment ref="B11" authorId="1">
      <text>
        <r>
          <rPr>
            <b/>
            <sz val="8"/>
            <rFont val="Tahoma"/>
            <family val="0"/>
          </rPr>
          <t>Orlando Hernandez:</t>
        </r>
        <r>
          <rPr>
            <sz val="8"/>
            <rFont val="Tahoma"/>
            <family val="0"/>
          </rPr>
          <t xml:space="preserve">
Los gastos de publicidad aumentan 8% cada año
</t>
        </r>
      </text>
    </comment>
  </commentList>
</comments>
</file>

<file path=xl/comments8.xml><?xml version="1.0" encoding="utf-8"?>
<comments xmlns="http://schemas.openxmlformats.org/spreadsheetml/2006/main">
  <authors>
    <author>Usuario Final</author>
    <author>Orlando Hernandez</author>
  </authors>
  <commentList>
    <comment ref="D41" authorId="0">
      <text>
        <r>
          <rPr>
            <b/>
            <sz val="10"/>
            <rFont val="Tahoma"/>
            <family val="0"/>
          </rPr>
          <t>Usuario Final:</t>
        </r>
        <r>
          <rPr>
            <sz val="10"/>
            <rFont val="Tahoma"/>
            <family val="0"/>
          </rPr>
          <t xml:space="preserve">
Beta de mercado de bebidas (mercado similar)</t>
        </r>
      </text>
    </comment>
    <comment ref="B23" authorId="1">
      <text>
        <r>
          <rPr>
            <b/>
            <sz val="8"/>
            <rFont val="Tahoma"/>
            <family val="0"/>
          </rPr>
          <t>Orlando Hernandez:</t>
        </r>
        <r>
          <rPr>
            <sz val="8"/>
            <rFont val="Tahoma"/>
            <family val="0"/>
          </rPr>
          <t xml:space="preserve">
Los gastos de publicidad aumentan 8% cada año
</t>
        </r>
      </text>
    </comment>
    <comment ref="B63" authorId="1">
      <text>
        <r>
          <rPr>
            <b/>
            <sz val="8"/>
            <rFont val="Tahoma"/>
            <family val="0"/>
          </rPr>
          <t>Orlando Hernandez:</t>
        </r>
        <r>
          <rPr>
            <sz val="8"/>
            <rFont val="Tahoma"/>
            <family val="0"/>
          </rPr>
          <t xml:space="preserve">
Los gastos de publicidad aumentan 8% cada año
</t>
        </r>
      </text>
    </comment>
    <comment ref="B95" authorId="1">
      <text>
        <r>
          <rPr>
            <b/>
            <sz val="8"/>
            <rFont val="Tahoma"/>
            <family val="0"/>
          </rPr>
          <t>Orlando Hernandez:</t>
        </r>
        <r>
          <rPr>
            <sz val="8"/>
            <rFont val="Tahoma"/>
            <family val="0"/>
          </rPr>
          <t xml:space="preserve">
Los gastos de publicidad aumentan 8% cada año
</t>
        </r>
      </text>
    </comment>
  </commentList>
</comments>
</file>

<file path=xl/sharedStrings.xml><?xml version="1.0" encoding="utf-8"?>
<sst xmlns="http://schemas.openxmlformats.org/spreadsheetml/2006/main" count="394" uniqueCount="236">
  <si>
    <t>Intension de compra</t>
  </si>
  <si>
    <t>ANALISIS DE LA DEMANDA</t>
  </si>
  <si>
    <t>Cantidad</t>
  </si>
  <si>
    <t>Detalle</t>
  </si>
  <si>
    <t>Cto. Unitario</t>
  </si>
  <si>
    <t>Cto. Total</t>
  </si>
  <si>
    <t>PRESUPUESTO PARA BRANDING</t>
  </si>
  <si>
    <t>Suman</t>
  </si>
  <si>
    <t>Folletos</t>
  </si>
  <si>
    <t>Producto para desgustacion</t>
  </si>
  <si>
    <t>Banner para (4) islas</t>
  </si>
  <si>
    <t>Vallas publicitarias</t>
  </si>
  <si>
    <t xml:space="preserve">Banner para local </t>
  </si>
  <si>
    <t>Pagos lideres de opinion</t>
  </si>
  <si>
    <t>Obsequios: Gorras, llaveros, camisetas</t>
  </si>
  <si>
    <t>Auspicio de eventos</t>
  </si>
  <si>
    <t>Impulsadoras+vestimenta</t>
  </si>
  <si>
    <t>Stand playero (salinas+playas)</t>
  </si>
  <si>
    <t xml:space="preserve">Banner </t>
  </si>
  <si>
    <t>Pagos lideres de opinion (animadores)</t>
  </si>
  <si>
    <t>Total</t>
  </si>
  <si>
    <t>10 a 24 años</t>
  </si>
  <si>
    <t>25 a 34 años</t>
  </si>
  <si>
    <t>35 a 44 años</t>
  </si>
  <si>
    <t>45 a 54 años</t>
  </si>
  <si>
    <t>55 a 64 años</t>
  </si>
  <si>
    <t>poblacion x edad</t>
  </si>
  <si>
    <t>poblacion media alto</t>
  </si>
  <si>
    <t>poblacion alto</t>
  </si>
  <si>
    <t>Poblacion de 25 hasta 44</t>
  </si>
  <si>
    <t>Mercado potencial</t>
  </si>
  <si>
    <t>Gerente General</t>
  </si>
  <si>
    <t>GERENCIA</t>
  </si>
  <si>
    <t>Asistente de Gerencia</t>
  </si>
  <si>
    <t>VENTAS</t>
  </si>
  <si>
    <t>Gerente de Ventas</t>
  </si>
  <si>
    <t>Asistente de ventas</t>
  </si>
  <si>
    <t>Jefe de Bodega</t>
  </si>
  <si>
    <t>Choferes (2)</t>
  </si>
  <si>
    <t>Ayudante de choferes (2)</t>
  </si>
  <si>
    <t>Jefe de fuerza de ventas</t>
  </si>
  <si>
    <t>Jefe de mercadeo</t>
  </si>
  <si>
    <t>Promotor y creativo</t>
  </si>
  <si>
    <t>FINANCIERO</t>
  </si>
  <si>
    <t>Gerente financiero</t>
  </si>
  <si>
    <t>Asistente de financiero</t>
  </si>
  <si>
    <t>Jefe de compras locales e importaciones</t>
  </si>
  <si>
    <t>Contador</t>
  </si>
  <si>
    <t>Auxiliar contable</t>
  </si>
  <si>
    <t>Jefe de credito y cobranzas</t>
  </si>
  <si>
    <t>Jefe de sistemas</t>
  </si>
  <si>
    <t>Recepcionista</t>
  </si>
  <si>
    <t>Jefe de personal</t>
  </si>
  <si>
    <t>Asistente de recursos y nomina</t>
  </si>
  <si>
    <t>RECURSOS HUMANOS</t>
  </si>
  <si>
    <t xml:space="preserve">SUELDOS Y SALARIOS </t>
  </si>
  <si>
    <t>Vendedores (3x320)</t>
  </si>
  <si>
    <t>Personal de Islas (4x220)</t>
  </si>
  <si>
    <t>Nomina y tabla de sueldos Orbela S.A.</t>
  </si>
  <si>
    <t>Escritorios</t>
  </si>
  <si>
    <t>P. total</t>
  </si>
  <si>
    <t>Vehiculos</t>
  </si>
  <si>
    <t>Eq. Computacion</t>
  </si>
  <si>
    <t>Eq. Oficina</t>
  </si>
  <si>
    <t>P. Unit</t>
  </si>
  <si>
    <t>Meses</t>
  </si>
  <si>
    <t>Gto sueldos</t>
  </si>
  <si>
    <t>PRECIO</t>
  </si>
  <si>
    <t>Costo</t>
  </si>
  <si>
    <t>Precio Orbela S.A.</t>
  </si>
  <si>
    <t>Pvp</t>
  </si>
  <si>
    <t>Ganancia</t>
  </si>
  <si>
    <t>Ingreso neto</t>
  </si>
  <si>
    <t>Ingreso bruto</t>
  </si>
  <si>
    <t>INGRESO</t>
  </si>
  <si>
    <t>COSTO DE VENTAS</t>
  </si>
  <si>
    <t>Costo en ventas</t>
  </si>
  <si>
    <t>Demanda anual</t>
  </si>
  <si>
    <t>Costo por unidad</t>
  </si>
  <si>
    <t>Costos Indirectos de fabricación</t>
  </si>
  <si>
    <t xml:space="preserve">COSTO VARIABLE </t>
  </si>
  <si>
    <t>Agua</t>
  </si>
  <si>
    <t>Luz</t>
  </si>
  <si>
    <t>Teléfono</t>
  </si>
  <si>
    <t>CIF mensual</t>
  </si>
  <si>
    <t>CIF anual</t>
  </si>
  <si>
    <t>Vehículo</t>
  </si>
  <si>
    <t>Central de Aire acondicionado</t>
  </si>
  <si>
    <t>Equipo de Computación</t>
  </si>
  <si>
    <t xml:space="preserve">Equipo de Oficina </t>
  </si>
  <si>
    <t>TOTAL DE LA INVERSIÓN</t>
  </si>
  <si>
    <t>Escritorios completos</t>
  </si>
  <si>
    <t>Sofá recepcion</t>
  </si>
  <si>
    <t>COSTOS FIJOS</t>
  </si>
  <si>
    <t xml:space="preserve">Gastos de Internet </t>
  </si>
  <si>
    <t>Mantenimiento de Vehículo</t>
  </si>
  <si>
    <t>Publicidad</t>
  </si>
  <si>
    <t>Sueldos y salarios</t>
  </si>
  <si>
    <t>Capacitación a Vendedores</t>
  </si>
  <si>
    <t>Suman:</t>
  </si>
  <si>
    <t>Valor en libros</t>
  </si>
  <si>
    <t>Ventas</t>
  </si>
  <si>
    <t>Decoracion de carros repartidores</t>
  </si>
  <si>
    <t>Evento de lanzamiento</t>
  </si>
  <si>
    <t>Publicidad en medios</t>
  </si>
  <si>
    <t>P. Total</t>
  </si>
  <si>
    <t>INVERSION</t>
  </si>
  <si>
    <t>Mensual</t>
  </si>
  <si>
    <t>Anual</t>
  </si>
  <si>
    <t xml:space="preserve">Dk </t>
  </si>
  <si>
    <t>Depreciación  anual en el año k</t>
  </si>
  <si>
    <t xml:space="preserve">VRn </t>
  </si>
  <si>
    <t>Valor de recuperación estimado al final del año n</t>
  </si>
  <si>
    <t xml:space="preserve">N </t>
  </si>
  <si>
    <t xml:space="preserve">Vida de depreciación del activo en </t>
  </si>
  <si>
    <t>B</t>
  </si>
  <si>
    <t>Precio del activo</t>
  </si>
  <si>
    <t>Años</t>
  </si>
  <si>
    <t>Depreciación anual Dk</t>
  </si>
  <si>
    <t xml:space="preserve">                                   -   </t>
  </si>
  <si>
    <t>Eq. Oficinas</t>
  </si>
  <si>
    <t xml:space="preserve">Orbela S.A. </t>
  </si>
  <si>
    <t>ESTADO DE PERDIDAS Y GANANCIAS</t>
  </si>
  <si>
    <t>Utilidad bruta</t>
  </si>
  <si>
    <t>Gastos operacionales</t>
  </si>
  <si>
    <t>Gastos administrativos</t>
  </si>
  <si>
    <t>Gastos de publicidad y promocion</t>
  </si>
  <si>
    <t>Depreciacion</t>
  </si>
  <si>
    <t>Costos variables</t>
  </si>
  <si>
    <t>Utilidad operacional</t>
  </si>
  <si>
    <t>Utilidad antes de impuesto</t>
  </si>
  <si>
    <t>Impuesto a la renta</t>
  </si>
  <si>
    <t>UTILIDAD NETA</t>
  </si>
  <si>
    <t>Participacion del empleado (15%)</t>
  </si>
  <si>
    <t>A, Ingresos</t>
  </si>
  <si>
    <t>Año 0</t>
  </si>
  <si>
    <t>Año 1</t>
  </si>
  <si>
    <t>Año 2</t>
  </si>
  <si>
    <t>Año 3</t>
  </si>
  <si>
    <t>Año 4</t>
  </si>
  <si>
    <t>Año 5</t>
  </si>
  <si>
    <t>B, Costo en ventas</t>
  </si>
  <si>
    <t>C, Utilidad Bruta (A - B)</t>
  </si>
  <si>
    <t>D, Egresos operacionales</t>
  </si>
  <si>
    <t>Costo varible por unidad</t>
  </si>
  <si>
    <t>E, Utilidad operacional (C - D)</t>
  </si>
  <si>
    <t>F, Participacion de trabajadores 15%</t>
  </si>
  <si>
    <t>G, Utilidad operacional</t>
  </si>
  <si>
    <t>H, Impuesto a la renta 25%</t>
  </si>
  <si>
    <t>I, Utilidad neta</t>
  </si>
  <si>
    <t>Capital de trabajo</t>
  </si>
  <si>
    <t>J, Flujo de caja (I + depreciacion)</t>
  </si>
  <si>
    <t>TIR</t>
  </si>
  <si>
    <t>VAN</t>
  </si>
  <si>
    <t>Tasa de descuento (TMAR)</t>
  </si>
  <si>
    <t>Re</t>
  </si>
  <si>
    <t>Tasa libre de riesgo de los bonos de los Estados unidos</t>
  </si>
  <si>
    <t>Coeficiente de reaccion de rendimiento de un valor con relacion</t>
  </si>
  <si>
    <t>tasa rentabilidad del mercado</t>
  </si>
  <si>
    <t>Riesgo país</t>
  </si>
  <si>
    <t>Rf</t>
  </si>
  <si>
    <t>b</t>
  </si>
  <si>
    <t>Rm</t>
  </si>
  <si>
    <t>Sp</t>
  </si>
  <si>
    <t>Pm</t>
  </si>
  <si>
    <t>Prima del mercado</t>
  </si>
  <si>
    <t>Cajas x mes</t>
  </si>
  <si>
    <t>Contenedores x mes</t>
  </si>
  <si>
    <t>Advalorem</t>
  </si>
  <si>
    <t>Iva</t>
  </si>
  <si>
    <t>Fodinnfa</t>
  </si>
  <si>
    <t>Transporte de naviera</t>
  </si>
  <si>
    <t>Sambazon (Compra)</t>
  </si>
  <si>
    <t>Banners</t>
  </si>
  <si>
    <t>Impulsadores (hombre y mujer)</t>
  </si>
  <si>
    <t>Botellas del producto</t>
  </si>
  <si>
    <t>Local</t>
  </si>
  <si>
    <t>Juego de Luces</t>
  </si>
  <si>
    <t>Piqueos entre otros</t>
  </si>
  <si>
    <t>Presentador</t>
  </si>
  <si>
    <t>Modelos</t>
  </si>
  <si>
    <t>LANZAMIENTO DEL PRODUCTO</t>
  </si>
  <si>
    <t>BRANDING EN LA PLAYA</t>
  </si>
  <si>
    <t>BRANDING (GENERAL)</t>
  </si>
  <si>
    <t>Costo total (Compra)</t>
  </si>
  <si>
    <t>Neveras medianas con logo de la marca</t>
  </si>
  <si>
    <t>Neveras grandes con logo de la marca</t>
  </si>
  <si>
    <t>Otros (50%)</t>
  </si>
  <si>
    <t>INGRESO ANUAL</t>
  </si>
  <si>
    <t>65 en adelante</t>
  </si>
  <si>
    <t>Tiendas especializadas islas (50%)</t>
  </si>
  <si>
    <t>Islas (50% demanda)</t>
  </si>
  <si>
    <t>Otros (50% demanda)</t>
  </si>
  <si>
    <t>Ingreso total</t>
  </si>
  <si>
    <t>Costo total</t>
  </si>
  <si>
    <t>Ventas en islas</t>
  </si>
  <si>
    <t>Ventas a distribuidores</t>
  </si>
  <si>
    <t>Alquiler de local y bodegas</t>
  </si>
  <si>
    <t xml:space="preserve">Total Costos Fijos </t>
  </si>
  <si>
    <t>FLUJO DE CAJA</t>
  </si>
  <si>
    <t>ORBELA S.A.</t>
  </si>
  <si>
    <t>ANALISIS DE SENSIBILIDAD</t>
  </si>
  <si>
    <t>demanda</t>
  </si>
  <si>
    <t>PV (islas)</t>
  </si>
  <si>
    <t>PV otros</t>
  </si>
  <si>
    <t>NORMAL</t>
  </si>
  <si>
    <t>Costo Venta</t>
  </si>
  <si>
    <r>
      <t>ESCENARIO 1:</t>
    </r>
    <r>
      <rPr>
        <sz val="9"/>
        <rFont val="Arial"/>
        <family val="2"/>
      </rPr>
      <t xml:space="preserve"> ventas bajan un 20%</t>
    </r>
  </si>
  <si>
    <t>ESCENARIO 1: LAS VENTAS BAJAN UN 20%</t>
  </si>
  <si>
    <r>
      <t>ESCENARIO 3:</t>
    </r>
    <r>
      <rPr>
        <sz val="9"/>
        <rFont val="Arial"/>
        <family val="2"/>
      </rPr>
      <t xml:space="preserve"> tasa descuento aumenta 25%</t>
    </r>
  </si>
  <si>
    <t>ESCENARIO 3: TASA DE DESCUENTO AUMENTA 25%</t>
  </si>
  <si>
    <r>
      <t>ESCENARIO 2:</t>
    </r>
    <r>
      <rPr>
        <sz val="9"/>
        <rFont val="Arial"/>
        <family val="2"/>
      </rPr>
      <t xml:space="preserve"> precio de venta baja 5%</t>
    </r>
  </si>
  <si>
    <t>ESCENARIO 2: EL PRECIO DE VENTA BAJA UN 5%</t>
  </si>
  <si>
    <t>TMAR</t>
  </si>
  <si>
    <t>DECISIÓN</t>
  </si>
  <si>
    <t>Se acepta</t>
  </si>
  <si>
    <t>Se rechaza</t>
  </si>
  <si>
    <t>Alquiler</t>
  </si>
  <si>
    <t>Oficina</t>
  </si>
  <si>
    <t>Bodegas</t>
  </si>
  <si>
    <t>Islas</t>
  </si>
  <si>
    <t>Inversion en branding</t>
  </si>
  <si>
    <t>DEMANDA MENSUAL</t>
  </si>
  <si>
    <t>INGRESO MENSUAL</t>
  </si>
  <si>
    <t>46% de la demanda destinada a tiendas especializadas (nuestras islas)</t>
  </si>
  <si>
    <t>Remodelación+constitución</t>
  </si>
  <si>
    <t>Rubros</t>
  </si>
  <si>
    <t>Valor</t>
  </si>
  <si>
    <t>Constitución de compañía anónima</t>
  </si>
  <si>
    <t>Patente Municipal</t>
  </si>
  <si>
    <t>Permiso de Funcionamiento</t>
  </si>
  <si>
    <t>Registro de marca</t>
  </si>
  <si>
    <t>Tasa de inscripción</t>
  </si>
  <si>
    <t>Registro Sanitario</t>
  </si>
  <si>
    <t>Constitución</t>
  </si>
  <si>
    <t>anual</t>
  </si>
</sst>
</file>

<file path=xl/styles.xml><?xml version="1.0" encoding="utf-8"?>
<styleSheet xmlns="http://schemas.openxmlformats.org/spreadsheetml/2006/main">
  <numFmts count="6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  <numFmt numFmtId="175" formatCode="#,##0.0000"/>
    <numFmt numFmtId="176" formatCode="0.0%"/>
    <numFmt numFmtId="177" formatCode="[$-300A]dddd\,\ dd&quot; de &quot;mmmm&quot; de &quot;yyyy"/>
    <numFmt numFmtId="178" formatCode="&quot;$&quot;\ #,##0.0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0_ ;\-0.00\ "/>
    <numFmt numFmtId="194" formatCode="0.000"/>
    <numFmt numFmtId="195" formatCode="0.000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000"/>
    <numFmt numFmtId="201" formatCode="0.000000000"/>
    <numFmt numFmtId="202" formatCode="0.00000000"/>
    <numFmt numFmtId="203" formatCode="0.0000000"/>
    <numFmt numFmtId="204" formatCode="0.000000"/>
    <numFmt numFmtId="205" formatCode="0.00000"/>
    <numFmt numFmtId="206" formatCode="_ &quot;$&quot;\ * #,##0.000_ ;_ &quot;$&quot;\ * \-#,##0.000_ ;_ &quot;$&quot;\ * &quot;-&quot;???_ ;_ @_ "/>
    <numFmt numFmtId="207" formatCode="_ &quot;$&quot;\ * #,##0.0_ ;_ &quot;$&quot;\ * \-#,##0.0_ ;_ &quot;$&quot;\ * &quot;-&quot;??_ ;_ @_ "/>
    <numFmt numFmtId="208" formatCode="_ &quot;$&quot;\ * #,##0_ ;_ &quot;$&quot;\ * \-#,##0_ ;_ &quot;$&quot;\ * &quot;-&quot;??_ ;_ @_ "/>
    <numFmt numFmtId="209" formatCode="_ &quot;$&quot;\ * #,##0.000_ ;_ &quot;$&quot;\ * \-#,##0.000_ ;_ &quot;$&quot;\ * &quot;-&quot;??_ ;_ @_ "/>
    <numFmt numFmtId="210" formatCode="_ &quot;$&quot;\ * #,##0.0000_ ;_ &quot;$&quot;\ * \-#,##0.0000_ ;_ &quot;$&quot;\ * &quot;-&quot;??_ ;_ @_ "/>
    <numFmt numFmtId="211" formatCode="_ &quot;$&quot;\ * #,##0.00000_ ;_ &quot;$&quot;\ * \-#,##0.00000_ ;_ &quot;$&quot;\ * &quot;-&quot;??_ ;_ @_ "/>
    <numFmt numFmtId="212" formatCode="0.000%"/>
    <numFmt numFmtId="213" formatCode="0.0000%"/>
    <numFmt numFmtId="214" formatCode="_ * #,##0.0_ ;_ * \-#,##0.0_ ;_ * &quot;-&quot;??_ ;_ @_ "/>
    <numFmt numFmtId="215" formatCode="_ * #,##0_ ;_ * \-#,##0_ ;_ * &quot;-&quot;??_ ;_ @_ 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0"/>
    </font>
    <font>
      <b/>
      <sz val="10"/>
      <name val="Tahoma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75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10" fontId="0" fillId="0" borderId="0" xfId="54" applyNumberFormat="1" applyFont="1" applyBorder="1" applyAlignment="1">
      <alignment/>
    </xf>
    <xf numFmtId="10" fontId="0" fillId="0" borderId="0" xfId="54" applyNumberFormat="1" applyFont="1" applyFill="1" applyBorder="1" applyAlignment="1">
      <alignment/>
    </xf>
    <xf numFmtId="10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/>
    </xf>
    <xf numFmtId="3" fontId="0" fillId="24" borderId="10" xfId="0" applyNumberFormat="1" applyFont="1" applyFill="1" applyBorder="1" applyAlignment="1">
      <alignment horizontal="right"/>
    </xf>
    <xf numFmtId="3" fontId="0" fillId="24" borderId="10" xfId="0" applyNumberFormat="1" applyFill="1" applyBorder="1" applyAlignment="1">
      <alignment/>
    </xf>
    <xf numFmtId="44" fontId="0" fillId="0" borderId="0" xfId="50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0" fontId="0" fillId="0" borderId="10" xfId="54" applyNumberFormat="1" applyFont="1" applyBorder="1" applyAlignment="1">
      <alignment horizontal="right"/>
    </xf>
    <xf numFmtId="44" fontId="0" fillId="0" borderId="0" xfId="50" applyFont="1" applyAlignment="1">
      <alignment/>
    </xf>
    <xf numFmtId="44" fontId="0" fillId="0" borderId="11" xfId="50" applyFont="1" applyBorder="1" applyAlignment="1">
      <alignment/>
    </xf>
    <xf numFmtId="0" fontId="0" fillId="0" borderId="12" xfId="0" applyFont="1" applyBorder="1" applyAlignment="1">
      <alignment/>
    </xf>
    <xf numFmtId="44" fontId="0" fillId="0" borderId="0" xfId="5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2" xfId="0" applyFont="1" applyBorder="1" applyAlignment="1">
      <alignment horizontal="right"/>
    </xf>
    <xf numFmtId="44" fontId="2" fillId="0" borderId="0" xfId="50" applyFont="1" applyBorder="1" applyAlignment="1">
      <alignment horizontal="right"/>
    </xf>
    <xf numFmtId="44" fontId="2" fillId="0" borderId="13" xfId="0" applyNumberFormat="1" applyFont="1" applyBorder="1" applyAlignment="1">
      <alignment horizontal="right"/>
    </xf>
    <xf numFmtId="44" fontId="2" fillId="0" borderId="0" xfId="50" applyFont="1" applyBorder="1" applyAlignment="1">
      <alignment/>
    </xf>
    <xf numFmtId="44" fontId="2" fillId="0" borderId="13" xfId="0" applyNumberFormat="1" applyFont="1" applyBorder="1" applyAlignment="1">
      <alignment/>
    </xf>
    <xf numFmtId="4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44" fontId="0" fillId="0" borderId="16" xfId="50" applyFont="1" applyBorder="1" applyAlignment="1">
      <alignment/>
    </xf>
    <xf numFmtId="170" fontId="2" fillId="0" borderId="17" xfId="0" applyNumberFormat="1" applyFont="1" applyBorder="1" applyAlignment="1">
      <alignment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/>
    </xf>
    <xf numFmtId="0" fontId="0" fillId="1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4" fontId="0" fillId="0" borderId="10" xfId="50" applyFont="1" applyFill="1" applyBorder="1" applyAlignment="1">
      <alignment horizontal="center" vertical="center"/>
    </xf>
    <xf numFmtId="44" fontId="0" fillId="0" borderId="18" xfId="5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44" fontId="0" fillId="0" borderId="10" xfId="50" applyFont="1" applyFill="1" applyBorder="1" applyAlignment="1">
      <alignment horizontal="center"/>
    </xf>
    <xf numFmtId="0" fontId="2" fillId="16" borderId="19" xfId="0" applyFont="1" applyFill="1" applyBorder="1" applyAlignment="1">
      <alignment/>
    </xf>
    <xf numFmtId="44" fontId="2" fillId="16" borderId="20" xfId="50" applyFont="1" applyFill="1" applyBorder="1" applyAlignment="1">
      <alignment/>
    </xf>
    <xf numFmtId="0" fontId="2" fillId="16" borderId="21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44" fontId="2" fillId="16" borderId="0" xfId="50" applyFont="1" applyFill="1" applyBorder="1" applyAlignment="1">
      <alignment/>
    </xf>
    <xf numFmtId="0" fontId="2" fillId="16" borderId="13" xfId="0" applyFont="1" applyFill="1" applyBorder="1" applyAlignment="1">
      <alignment/>
    </xf>
    <xf numFmtId="0" fontId="0" fillId="16" borderId="10" xfId="0" applyFont="1" applyFill="1" applyBorder="1" applyAlignment="1">
      <alignment vertical="center"/>
    </xf>
    <xf numFmtId="0" fontId="2" fillId="16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/>
    </xf>
    <xf numFmtId="44" fontId="2" fillId="16" borderId="10" xfId="50" applyFont="1" applyFill="1" applyBorder="1" applyAlignment="1">
      <alignment horizontal="center"/>
    </xf>
    <xf numFmtId="44" fontId="2" fillId="0" borderId="0" xfId="50" applyFont="1" applyAlignment="1">
      <alignment/>
    </xf>
    <xf numFmtId="44" fontId="3" fillId="16" borderId="10" xfId="50" applyFont="1" applyFill="1" applyBorder="1" applyAlignment="1">
      <alignment/>
    </xf>
    <xf numFmtId="0" fontId="3" fillId="16" borderId="10" xfId="0" applyFont="1" applyFill="1" applyBorder="1" applyAlignment="1">
      <alignment/>
    </xf>
    <xf numFmtId="43" fontId="3" fillId="16" borderId="10" xfId="0" applyNumberFormat="1" applyFont="1" applyFill="1" applyBorder="1" applyAlignment="1">
      <alignment/>
    </xf>
    <xf numFmtId="0" fontId="2" fillId="16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16" borderId="10" xfId="0" applyFill="1" applyBorder="1" applyAlignment="1">
      <alignment/>
    </xf>
    <xf numFmtId="44" fontId="0" fillId="0" borderId="0" xfId="0" applyNumberFormat="1" applyAlignment="1">
      <alignment/>
    </xf>
    <xf numFmtId="44" fontId="0" fillId="0" borderId="10" xfId="50" applyBorder="1" applyAlignment="1">
      <alignment/>
    </xf>
    <xf numFmtId="44" fontId="2" fillId="0" borderId="10" xfId="50" applyFont="1" applyBorder="1" applyAlignment="1">
      <alignment/>
    </xf>
    <xf numFmtId="43" fontId="0" fillId="0" borderId="0" xfId="48" applyFont="1" applyAlignment="1">
      <alignment/>
    </xf>
    <xf numFmtId="43" fontId="0" fillId="0" borderId="0" xfId="0" applyNumberFormat="1" applyFont="1" applyAlignment="1">
      <alignment/>
    </xf>
    <xf numFmtId="43" fontId="0" fillId="0" borderId="10" xfId="48" applyFont="1" applyBorder="1" applyAlignment="1">
      <alignment/>
    </xf>
    <xf numFmtId="0" fontId="2" fillId="16" borderId="10" xfId="0" applyFont="1" applyFill="1" applyBorder="1" applyAlignment="1">
      <alignment/>
    </xf>
    <xf numFmtId="43" fontId="2" fillId="16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44" fontId="2" fillId="16" borderId="10" xfId="5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0" xfId="0" applyFont="1" applyFill="1" applyBorder="1" applyAlignment="1">
      <alignment horizontal="left"/>
    </xf>
    <xf numFmtId="44" fontId="0" fillId="0" borderId="10" xfId="50" applyFont="1" applyBorder="1" applyAlignment="1">
      <alignment horizontal="right"/>
    </xf>
    <xf numFmtId="44" fontId="0" fillId="0" borderId="10" xfId="50" applyFont="1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 horizontal="justify"/>
    </xf>
    <xf numFmtId="44" fontId="0" fillId="0" borderId="0" xfId="50" applyAlignment="1">
      <alignment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/>
    </xf>
    <xf numFmtId="4" fontId="27" fillId="0" borderId="25" xfId="0" applyNumberFormat="1" applyFont="1" applyBorder="1" applyAlignment="1">
      <alignment horizontal="right"/>
    </xf>
    <xf numFmtId="4" fontId="27" fillId="0" borderId="25" xfId="0" applyNumberFormat="1" applyFont="1" applyBorder="1" applyAlignment="1">
      <alignment horizontal="center"/>
    </xf>
    <xf numFmtId="0" fontId="0" fillId="0" borderId="0" xfId="0" applyFont="1" applyAlignment="1">
      <alignment/>
    </xf>
    <xf numFmtId="44" fontId="2" fillId="0" borderId="0" xfId="0" applyNumberFormat="1" applyFont="1" applyAlignment="1">
      <alignment/>
    </xf>
    <xf numFmtId="43" fontId="0" fillId="0" borderId="0" xfId="48" applyBorder="1" applyAlignment="1">
      <alignment/>
    </xf>
    <xf numFmtId="44" fontId="0" fillId="0" borderId="0" xfId="50" applyBorder="1" applyAlignment="1">
      <alignment/>
    </xf>
    <xf numFmtId="3" fontId="0" fillId="0" borderId="0" xfId="0" applyNumberFormat="1" applyFont="1" applyAlignment="1">
      <alignment/>
    </xf>
    <xf numFmtId="211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4" fontId="2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Font="1" applyFill="1" applyAlignment="1">
      <alignment/>
    </xf>
    <xf numFmtId="44" fontId="0" fillId="0" borderId="10" xfId="50" applyFont="1" applyFill="1" applyBorder="1" applyAlignment="1">
      <alignment horizontal="center"/>
    </xf>
    <xf numFmtId="0" fontId="2" fillId="0" borderId="22" xfId="0" applyFont="1" applyBorder="1" applyAlignment="1">
      <alignment/>
    </xf>
    <xf numFmtId="44" fontId="0" fillId="0" borderId="22" xfId="50" applyBorder="1" applyAlignment="1">
      <alignment/>
    </xf>
    <xf numFmtId="0" fontId="2" fillId="0" borderId="12" xfId="0" applyFont="1" applyBorder="1" applyAlignment="1">
      <alignment/>
    </xf>
    <xf numFmtId="44" fontId="0" fillId="0" borderId="12" xfId="50" applyBorder="1" applyAlignment="1">
      <alignment/>
    </xf>
    <xf numFmtId="44" fontId="2" fillId="0" borderId="12" xfId="0" applyNumberFormat="1" applyFont="1" applyBorder="1" applyAlignment="1">
      <alignment/>
    </xf>
    <xf numFmtId="44" fontId="0" fillId="0" borderId="12" xfId="0" applyNumberFormat="1" applyBorder="1" applyAlignment="1">
      <alignment/>
    </xf>
    <xf numFmtId="44" fontId="0" fillId="0" borderId="12" xfId="50" applyFont="1" applyFill="1" applyBorder="1" applyAlignment="1">
      <alignment/>
    </xf>
    <xf numFmtId="44" fontId="0" fillId="0" borderId="22" xfId="0" applyNumberFormat="1" applyBorder="1" applyAlignment="1">
      <alignment/>
    </xf>
    <xf numFmtId="44" fontId="2" fillId="0" borderId="22" xfId="0" applyNumberFormat="1" applyFont="1" applyBorder="1" applyAlignment="1">
      <alignment/>
    </xf>
    <xf numFmtId="44" fontId="0" fillId="0" borderId="22" xfId="50" applyFont="1" applyFill="1" applyBorder="1" applyAlignment="1">
      <alignment/>
    </xf>
    <xf numFmtId="0" fontId="0" fillId="0" borderId="22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0" xfId="0" applyAlignment="1">
      <alignment horizontal="right"/>
    </xf>
    <xf numFmtId="213" fontId="0" fillId="24" borderId="0" xfId="54" applyNumberFormat="1" applyFill="1" applyAlignment="1">
      <alignment/>
    </xf>
    <xf numFmtId="0" fontId="2" fillId="0" borderId="10" xfId="0" applyFont="1" applyFill="1" applyBorder="1" applyAlignment="1">
      <alignment/>
    </xf>
    <xf numFmtId="9" fontId="0" fillId="0" borderId="0" xfId="54" applyFont="1" applyBorder="1" applyAlignment="1">
      <alignment/>
    </xf>
    <xf numFmtId="9" fontId="0" fillId="0" borderId="10" xfId="54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4" fontId="2" fillId="0" borderId="10" xfId="50" applyFont="1" applyFill="1" applyBorder="1" applyAlignment="1">
      <alignment/>
    </xf>
    <xf numFmtId="44" fontId="0" fillId="0" borderId="23" xfId="50" applyFont="1" applyBorder="1" applyAlignment="1">
      <alignment/>
    </xf>
    <xf numFmtId="44" fontId="6" fillId="20" borderId="10" xfId="50" applyFont="1" applyFill="1" applyBorder="1" applyAlignment="1">
      <alignment/>
    </xf>
    <xf numFmtId="0" fontId="6" fillId="20" borderId="0" xfId="0" applyFont="1" applyFill="1" applyAlignment="1">
      <alignment horizontal="center"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2" fillId="16" borderId="10" xfId="0" applyFont="1" applyFill="1" applyBorder="1" applyAlignment="1">
      <alignment horizontal="center" wrapText="1"/>
    </xf>
    <xf numFmtId="0" fontId="2" fillId="16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0" fontId="2" fillId="10" borderId="10" xfId="0" applyFont="1" applyFill="1" applyBorder="1" applyAlignment="1">
      <alignment/>
    </xf>
    <xf numFmtId="4" fontId="2" fillId="1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44" fontId="0" fillId="0" borderId="26" xfId="50" applyBorder="1" applyAlignment="1">
      <alignment/>
    </xf>
    <xf numFmtId="44" fontId="0" fillId="0" borderId="10" xfId="0" applyNumberFormat="1" applyBorder="1" applyAlignment="1">
      <alignment/>
    </xf>
    <xf numFmtId="0" fontId="2" fillId="16" borderId="10" xfId="0" applyFont="1" applyFill="1" applyBorder="1" applyAlignment="1">
      <alignment/>
    </xf>
    <xf numFmtId="3" fontId="2" fillId="16" borderId="10" xfId="0" applyNumberFormat="1" applyFont="1" applyFill="1" applyBorder="1" applyAlignment="1">
      <alignment/>
    </xf>
    <xf numFmtId="43" fontId="0" fillId="0" borderId="10" xfId="48" applyBorder="1" applyAlignment="1">
      <alignment horizontal="center"/>
    </xf>
    <xf numFmtId="43" fontId="0" fillId="0" borderId="0" xfId="0" applyNumberFormat="1" applyAlignment="1">
      <alignment/>
    </xf>
    <xf numFmtId="0" fontId="2" fillId="16" borderId="10" xfId="0" applyFont="1" applyFill="1" applyBorder="1" applyAlignment="1">
      <alignment horizontal="right"/>
    </xf>
    <xf numFmtId="43" fontId="2" fillId="16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4" fontId="0" fillId="16" borderId="10" xfId="50" applyFont="1" applyFill="1" applyBorder="1" applyAlignment="1">
      <alignment/>
    </xf>
    <xf numFmtId="0" fontId="2" fillId="16" borderId="27" xfId="0" applyFont="1" applyFill="1" applyBorder="1" applyAlignment="1">
      <alignment horizontal="center" vertical="center"/>
    </xf>
    <xf numFmtId="0" fontId="2" fillId="16" borderId="28" xfId="0" applyFont="1" applyFill="1" applyBorder="1" applyAlignment="1">
      <alignment horizontal="center" wrapText="1"/>
    </xf>
    <xf numFmtId="44" fontId="0" fillId="0" borderId="11" xfId="50" applyBorder="1" applyAlignment="1">
      <alignment/>
    </xf>
    <xf numFmtId="44" fontId="0" fillId="0" borderId="11" xfId="0" applyNumberFormat="1" applyBorder="1" applyAlignment="1">
      <alignment/>
    </xf>
    <xf numFmtId="44" fontId="0" fillId="0" borderId="0" xfId="0" applyNumberFormat="1" applyFont="1" applyBorder="1" applyAlignment="1">
      <alignment/>
    </xf>
    <xf numFmtId="0" fontId="2" fillId="0" borderId="23" xfId="0" applyFont="1" applyBorder="1" applyAlignment="1">
      <alignment/>
    </xf>
    <xf numFmtId="44" fontId="2" fillId="0" borderId="15" xfId="50" applyFont="1" applyBorder="1" applyAlignment="1">
      <alignment/>
    </xf>
    <xf numFmtId="44" fontId="2" fillId="0" borderId="23" xfId="50" applyFont="1" applyBorder="1" applyAlignment="1">
      <alignment/>
    </xf>
    <xf numFmtId="0" fontId="0" fillId="0" borderId="26" xfId="0" applyBorder="1" applyAlignment="1">
      <alignment/>
    </xf>
    <xf numFmtId="10" fontId="0" fillId="0" borderId="26" xfId="0" applyNumberFormat="1" applyBorder="1" applyAlignment="1">
      <alignment/>
    </xf>
    <xf numFmtId="8" fontId="0" fillId="0" borderId="22" xfId="0" applyNumberFormat="1" applyBorder="1" applyAlignment="1">
      <alignment/>
    </xf>
    <xf numFmtId="10" fontId="0" fillId="0" borderId="23" xfId="0" applyNumberFormat="1" applyFill="1" applyBorder="1" applyAlignment="1">
      <alignment/>
    </xf>
    <xf numFmtId="44" fontId="0" fillId="0" borderId="12" xfId="50" applyBorder="1" applyAlignment="1">
      <alignment/>
    </xf>
    <xf numFmtId="44" fontId="0" fillId="0" borderId="22" xfId="50" applyBorder="1" applyAlignment="1">
      <alignment/>
    </xf>
    <xf numFmtId="44" fontId="0" fillId="0" borderId="12" xfId="50" applyFont="1" applyFill="1" applyBorder="1" applyAlignment="1">
      <alignment/>
    </xf>
    <xf numFmtId="44" fontId="0" fillId="0" borderId="22" xfId="50" applyFont="1" applyFill="1" applyBorder="1" applyAlignment="1">
      <alignment/>
    </xf>
    <xf numFmtId="44" fontId="0" fillId="0" borderId="0" xfId="50" applyBorder="1" applyAlignment="1">
      <alignment/>
    </xf>
    <xf numFmtId="213" fontId="2" fillId="24" borderId="0" xfId="54" applyNumberFormat="1" applyFont="1" applyFill="1" applyAlignment="1">
      <alignment/>
    </xf>
    <xf numFmtId="0" fontId="33" fillId="0" borderId="0" xfId="0" applyFont="1" applyAlignment="1">
      <alignment/>
    </xf>
    <xf numFmtId="215" fontId="0" fillId="4" borderId="10" xfId="48" applyNumberFormat="1" applyFill="1" applyBorder="1" applyAlignment="1">
      <alignment/>
    </xf>
    <xf numFmtId="44" fontId="0" fillId="4" borderId="10" xfId="0" applyNumberForma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25" borderId="0" xfId="0" applyFont="1" applyFill="1" applyAlignment="1">
      <alignment/>
    </xf>
    <xf numFmtId="0" fontId="0" fillId="25" borderId="0" xfId="0" applyFill="1" applyAlignment="1">
      <alignment/>
    </xf>
    <xf numFmtId="44" fontId="0" fillId="25" borderId="0" xfId="50" applyFill="1" applyBorder="1" applyAlignment="1">
      <alignment/>
    </xf>
    <xf numFmtId="4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44" fontId="0" fillId="25" borderId="0" xfId="0" applyNumberFormat="1" applyFill="1" applyBorder="1" applyAlignment="1">
      <alignment/>
    </xf>
    <xf numFmtId="44" fontId="0" fillId="25" borderId="0" xfId="0" applyNumberFormat="1" applyFill="1" applyAlignment="1">
      <alignment/>
    </xf>
    <xf numFmtId="0" fontId="33" fillId="0" borderId="10" xfId="0" applyFont="1" applyBorder="1" applyAlignment="1">
      <alignment/>
    </xf>
    <xf numFmtId="8" fontId="0" fillId="0" borderId="10" xfId="0" applyNumberFormat="1" applyFont="1" applyBorder="1" applyAlignment="1">
      <alignment/>
    </xf>
    <xf numFmtId="10" fontId="0" fillId="0" borderId="10" xfId="0" applyNumberFormat="1" applyFont="1" applyFill="1" applyBorder="1" applyAlignment="1">
      <alignment/>
    </xf>
    <xf numFmtId="10" fontId="0" fillId="0" borderId="10" xfId="0" applyNumberFormat="1" applyFont="1" applyBorder="1" applyAlignment="1">
      <alignment/>
    </xf>
    <xf numFmtId="0" fontId="0" fillId="26" borderId="0" xfId="0" applyFill="1" applyAlignment="1">
      <alignment/>
    </xf>
    <xf numFmtId="178" fontId="0" fillId="0" borderId="12" xfId="5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22" xfId="0" applyNumberFormat="1" applyBorder="1" applyAlignment="1">
      <alignment/>
    </xf>
    <xf numFmtId="10" fontId="2" fillId="0" borderId="0" xfId="54" applyNumberFormat="1" applyFont="1" applyFill="1" applyBorder="1" applyAlignment="1">
      <alignment/>
    </xf>
    <xf numFmtId="178" fontId="2" fillId="0" borderId="12" xfId="0" applyNumberFormat="1" applyFont="1" applyBorder="1" applyAlignment="1">
      <alignment/>
    </xf>
    <xf numFmtId="178" fontId="2" fillId="0" borderId="22" xfId="0" applyNumberFormat="1" applyFont="1" applyBorder="1" applyAlignment="1">
      <alignment/>
    </xf>
    <xf numFmtId="178" fontId="0" fillId="0" borderId="22" xfId="50" applyNumberFormat="1" applyBorder="1" applyAlignment="1">
      <alignment/>
    </xf>
    <xf numFmtId="178" fontId="0" fillId="0" borderId="12" xfId="50" applyNumberFormat="1" applyFont="1" applyFill="1" applyBorder="1" applyAlignment="1">
      <alignment/>
    </xf>
    <xf numFmtId="178" fontId="0" fillId="0" borderId="22" xfId="50" applyNumberFormat="1" applyFont="1" applyFill="1" applyBorder="1" applyAlignment="1">
      <alignment/>
    </xf>
    <xf numFmtId="178" fontId="2" fillId="0" borderId="15" xfId="50" applyNumberFormat="1" applyFont="1" applyBorder="1" applyAlignment="1">
      <alignment/>
    </xf>
    <xf numFmtId="178" fontId="2" fillId="0" borderId="23" xfId="50" applyNumberFormat="1" applyFont="1" applyBorder="1" applyAlignment="1">
      <alignment/>
    </xf>
    <xf numFmtId="0" fontId="2" fillId="1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44" fontId="2" fillId="0" borderId="0" xfId="50" applyFont="1" applyFill="1" applyBorder="1" applyAlignment="1">
      <alignment/>
    </xf>
    <xf numFmtId="0" fontId="0" fillId="0" borderId="0" xfId="0" applyFill="1" applyAlignment="1">
      <alignment/>
    </xf>
    <xf numFmtId="10" fontId="5" fillId="0" borderId="26" xfId="0" applyNumberFormat="1" applyFont="1" applyBorder="1" applyAlignment="1">
      <alignment/>
    </xf>
    <xf numFmtId="0" fontId="0" fillId="27" borderId="29" xfId="0" applyFill="1" applyBorder="1" applyAlignment="1">
      <alignment/>
    </xf>
    <xf numFmtId="0" fontId="0" fillId="27" borderId="0" xfId="0" applyFill="1" applyBorder="1" applyAlignment="1">
      <alignment/>
    </xf>
    <xf numFmtId="4" fontId="0" fillId="27" borderId="30" xfId="0" applyNumberFormat="1" applyFill="1" applyBorder="1" applyAlignment="1">
      <alignment/>
    </xf>
    <xf numFmtId="0" fontId="2" fillId="16" borderId="31" xfId="0" applyFont="1" applyFill="1" applyBorder="1" applyAlignment="1">
      <alignment/>
    </xf>
    <xf numFmtId="0" fontId="2" fillId="16" borderId="32" xfId="0" applyFont="1" applyFill="1" applyBorder="1" applyAlignment="1">
      <alignment/>
    </xf>
    <xf numFmtId="4" fontId="2" fillId="16" borderId="33" xfId="0" applyNumberFormat="1" applyFont="1" applyFill="1" applyBorder="1" applyAlignment="1">
      <alignment/>
    </xf>
    <xf numFmtId="0" fontId="24" fillId="16" borderId="19" xfId="0" applyFont="1" applyFill="1" applyBorder="1" applyAlignment="1">
      <alignment horizontal="center" vertical="center"/>
    </xf>
    <xf numFmtId="3" fontId="0" fillId="28" borderId="10" xfId="0" applyNumberFormat="1" applyFont="1" applyFill="1" applyBorder="1" applyAlignment="1">
      <alignment horizontal="right"/>
    </xf>
    <xf numFmtId="0" fontId="2" fillId="16" borderId="10" xfId="0" applyFont="1" applyFill="1" applyBorder="1" applyAlignment="1">
      <alignment horizontal="center"/>
    </xf>
    <xf numFmtId="44" fontId="2" fillId="10" borderId="34" xfId="50" applyFont="1" applyFill="1" applyBorder="1" applyAlignment="1">
      <alignment/>
    </xf>
    <xf numFmtId="44" fontId="2" fillId="10" borderId="18" xfId="5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20" borderId="16" xfId="0" applyFont="1" applyFill="1" applyBorder="1" applyAlignment="1">
      <alignment horizontal="center"/>
    </xf>
    <xf numFmtId="0" fontId="2" fillId="16" borderId="34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0" fontId="2" fillId="16" borderId="35" xfId="0" applyFont="1" applyFill="1" applyBorder="1" applyAlignment="1">
      <alignment horizontal="center" vertical="center"/>
    </xf>
    <xf numFmtId="0" fontId="2" fillId="16" borderId="36" xfId="0" applyFont="1" applyFill="1" applyBorder="1" applyAlignment="1">
      <alignment horizontal="center" vertical="center"/>
    </xf>
    <xf numFmtId="0" fontId="2" fillId="16" borderId="37" xfId="0" applyFont="1" applyFill="1" applyBorder="1" applyAlignment="1">
      <alignment horizontal="center" vertical="center"/>
    </xf>
    <xf numFmtId="0" fontId="2" fillId="16" borderId="38" xfId="0" applyFont="1" applyFill="1" applyBorder="1" applyAlignment="1">
      <alignment horizontal="center" vertical="center"/>
    </xf>
    <xf numFmtId="0" fontId="2" fillId="16" borderId="39" xfId="0" applyFont="1" applyFill="1" applyBorder="1" applyAlignment="1">
      <alignment horizontal="center" vertical="center"/>
    </xf>
    <xf numFmtId="0" fontId="2" fillId="16" borderId="40" xfId="0" applyFont="1" applyFill="1" applyBorder="1" applyAlignment="1">
      <alignment horizontal="center" vertical="center"/>
    </xf>
    <xf numFmtId="44" fontId="0" fillId="0" borderId="26" xfId="50" applyBorder="1" applyAlignment="1">
      <alignment horizontal="center" vertical="center"/>
    </xf>
    <xf numFmtId="44" fontId="0" fillId="0" borderId="23" xfId="50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4" fillId="16" borderId="20" xfId="0" applyFont="1" applyFill="1" applyBorder="1" applyAlignment="1">
      <alignment horizontal="center" vertical="center"/>
    </xf>
    <xf numFmtId="0" fontId="24" fillId="16" borderId="21" xfId="0" applyFont="1" applyFill="1" applyBorder="1" applyAlignment="1">
      <alignment horizontal="center" vertical="center"/>
    </xf>
    <xf numFmtId="0" fontId="24" fillId="16" borderId="15" xfId="0" applyFont="1" applyFill="1" applyBorder="1" applyAlignment="1">
      <alignment horizontal="center" vertical="center"/>
    </xf>
    <xf numFmtId="0" fontId="24" fillId="16" borderId="16" xfId="0" applyFont="1" applyFill="1" applyBorder="1" applyAlignment="1">
      <alignment horizontal="center" vertical="center"/>
    </xf>
    <xf numFmtId="0" fontId="24" fillId="16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oleObject" Target="../embeddings/oleObject_6_0.bin" /><Relationship Id="rId3" Type="http://schemas.openxmlformats.org/officeDocument/2006/relationships/oleObject" Target="../embeddings/oleObject_6_1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B2:H50"/>
  <sheetViews>
    <sheetView tabSelected="1" zoomScalePageLayoutView="0" workbookViewId="0" topLeftCell="A1">
      <selection activeCell="C21" sqref="C21"/>
    </sheetView>
  </sheetViews>
  <sheetFormatPr defaultColWidth="11.421875" defaultRowHeight="12.75"/>
  <cols>
    <col min="1" max="1" width="5.7109375" style="0" customWidth="1"/>
    <col min="2" max="2" width="22.421875" style="0" customWidth="1"/>
    <col min="3" max="6" width="14.7109375" style="0" customWidth="1"/>
    <col min="7" max="7" width="5.28125" style="0" customWidth="1"/>
    <col min="8" max="8" width="13.7109375" style="0" customWidth="1"/>
  </cols>
  <sheetData>
    <row r="2" spans="2:4" ht="12.75">
      <c r="B2" s="213" t="s">
        <v>1</v>
      </c>
      <c r="C2" s="213"/>
      <c r="D2" s="213"/>
    </row>
    <row r="3" spans="2:4" ht="12.75">
      <c r="B3" s="11"/>
      <c r="C3" s="11"/>
      <c r="D3" s="11"/>
    </row>
    <row r="4" spans="2:4" ht="12.75">
      <c r="B4" s="11"/>
      <c r="C4" s="11"/>
      <c r="D4" s="11"/>
    </row>
    <row r="5" spans="2:6" ht="25.5">
      <c r="B5" s="20"/>
      <c r="C5" s="133" t="s">
        <v>26</v>
      </c>
      <c r="D5" s="133" t="s">
        <v>27</v>
      </c>
      <c r="E5" s="133" t="s">
        <v>28</v>
      </c>
      <c r="F5" s="25" t="s">
        <v>20</v>
      </c>
    </row>
    <row r="6" spans="2:6" ht="12.75">
      <c r="B6" s="20" t="s">
        <v>21</v>
      </c>
      <c r="C6" s="22">
        <v>107176</v>
      </c>
      <c r="D6" s="22">
        <v>17569</v>
      </c>
      <c r="E6" s="22">
        <v>8410</v>
      </c>
      <c r="F6" s="3">
        <f>SUM(D6:E6)</f>
        <v>25979</v>
      </c>
    </row>
    <row r="7" spans="2:7" ht="12.75">
      <c r="B7" s="26" t="s">
        <v>22</v>
      </c>
      <c r="C7" s="27">
        <v>519660</v>
      </c>
      <c r="D7" s="27">
        <v>67013</v>
      </c>
      <c r="E7" s="209">
        <v>54240</v>
      </c>
      <c r="F7" s="28">
        <f aca="true" t="shared" si="0" ref="F7:F12">SUM(D7:E7)</f>
        <v>121253</v>
      </c>
      <c r="G7" s="24"/>
    </row>
    <row r="8" spans="2:6" ht="12.75">
      <c r="B8" s="26" t="s">
        <v>23</v>
      </c>
      <c r="C8" s="27">
        <v>629620</v>
      </c>
      <c r="D8" s="27">
        <v>99220</v>
      </c>
      <c r="E8" s="209">
        <v>84873</v>
      </c>
      <c r="F8" s="28">
        <f t="shared" si="0"/>
        <v>184093</v>
      </c>
    </row>
    <row r="9" spans="2:6" ht="12.75">
      <c r="B9" s="20" t="s">
        <v>24</v>
      </c>
      <c r="C9" s="22">
        <v>469623</v>
      </c>
      <c r="D9" s="22">
        <v>93258</v>
      </c>
      <c r="E9" s="22">
        <v>63690</v>
      </c>
      <c r="F9" s="3">
        <f t="shared" si="0"/>
        <v>156948</v>
      </c>
    </row>
    <row r="10" spans="2:6" ht="12.75">
      <c r="B10" s="20" t="s">
        <v>25</v>
      </c>
      <c r="C10" s="22">
        <v>227239</v>
      </c>
      <c r="D10" s="22">
        <v>51665</v>
      </c>
      <c r="E10" s="22">
        <v>45338</v>
      </c>
      <c r="F10" s="3">
        <f t="shared" si="0"/>
        <v>97003</v>
      </c>
    </row>
    <row r="11" spans="2:6" ht="12.75">
      <c r="B11" s="20" t="s">
        <v>189</v>
      </c>
      <c r="C11" s="22">
        <v>130533</v>
      </c>
      <c r="D11" s="22">
        <v>24312</v>
      </c>
      <c r="E11" s="22">
        <v>33999</v>
      </c>
      <c r="F11" s="3">
        <f t="shared" si="0"/>
        <v>58311</v>
      </c>
    </row>
    <row r="12" spans="2:6" ht="12.75">
      <c r="B12" s="11"/>
      <c r="C12" s="23">
        <f>SUM(C6:C11)</f>
        <v>2083851</v>
      </c>
      <c r="D12" s="23">
        <f>SUM(D6:D11)</f>
        <v>353037</v>
      </c>
      <c r="E12" s="23">
        <f>SUM(E6:E11)</f>
        <v>290550</v>
      </c>
      <c r="F12" s="139">
        <f t="shared" si="0"/>
        <v>643587</v>
      </c>
    </row>
    <row r="13" spans="2:4" ht="12.75">
      <c r="B13" s="11"/>
      <c r="C13" s="11"/>
      <c r="D13" s="11"/>
    </row>
    <row r="15" s="1" customFormat="1" ht="12.75">
      <c r="C15" s="4"/>
    </row>
    <row r="16" spans="2:3" s="1" customFormat="1" ht="12.75">
      <c r="B16" s="214" t="s">
        <v>222</v>
      </c>
      <c r="C16" s="214"/>
    </row>
    <row r="17" spans="2:4" s="1" customFormat="1" ht="12.75">
      <c r="B17" s="18" t="s">
        <v>29</v>
      </c>
      <c r="C17" s="136">
        <f>E7+E8</f>
        <v>139113</v>
      </c>
      <c r="D17" s="97"/>
    </row>
    <row r="18" spans="2:6" s="1" customFormat="1" ht="12.75">
      <c r="B18" s="18" t="s">
        <v>0</v>
      </c>
      <c r="C18" s="32">
        <v>0.711</v>
      </c>
      <c r="D18" s="8"/>
      <c r="E18" s="7"/>
      <c r="F18" s="7"/>
    </row>
    <row r="19" spans="2:5" s="1" customFormat="1" ht="12.75">
      <c r="B19" s="142" t="s">
        <v>30</v>
      </c>
      <c r="C19" s="143">
        <f>C17*C18</f>
        <v>98909.343</v>
      </c>
      <c r="D19" s="187"/>
      <c r="E19" s="7"/>
    </row>
    <row r="20" s="1" customFormat="1" ht="12.75">
      <c r="D20" s="9"/>
    </row>
    <row r="21" spans="2:5" s="1" customFormat="1" ht="12.75">
      <c r="B21" s="195" t="s">
        <v>77</v>
      </c>
      <c r="C21" s="4">
        <f>C19*12</f>
        <v>1186912.116</v>
      </c>
      <c r="D21" s="10"/>
      <c r="E21" s="7"/>
    </row>
    <row r="22" spans="3:5" s="1" customFormat="1" ht="12.75" customHeight="1">
      <c r="C22" s="4"/>
      <c r="E22" s="97"/>
    </row>
    <row r="23" spans="2:5" s="1" customFormat="1" ht="9.75" customHeight="1" hidden="1">
      <c r="B23" s="137" t="s">
        <v>166</v>
      </c>
      <c r="C23" s="138">
        <f>C19/24</f>
        <v>4121.222624999999</v>
      </c>
      <c r="E23" s="97"/>
    </row>
    <row r="24" spans="2:5" s="1" customFormat="1" ht="6.75" customHeight="1" hidden="1">
      <c r="B24" s="137" t="s">
        <v>167</v>
      </c>
      <c r="C24" s="138">
        <f>C23/400</f>
        <v>10.303056562499998</v>
      </c>
      <c r="E24" s="97"/>
    </row>
    <row r="25" s="1" customFormat="1" ht="12.75">
      <c r="C25" s="4"/>
    </row>
    <row r="26" spans="2:5" s="1" customFormat="1" ht="12.75">
      <c r="B26" s="5"/>
      <c r="C26" s="6"/>
      <c r="D26" s="5"/>
      <c r="E26" s="5"/>
    </row>
    <row r="27" spans="2:5" s="1" customFormat="1" ht="12.75">
      <c r="B27" s="210" t="s">
        <v>67</v>
      </c>
      <c r="C27" s="210"/>
      <c r="D27" s="71" t="s">
        <v>71</v>
      </c>
      <c r="E27" s="29"/>
    </row>
    <row r="28" spans="2:5" s="1" customFormat="1" ht="12.75">
      <c r="B28" s="120" t="s">
        <v>172</v>
      </c>
      <c r="C28" s="126">
        <v>2</v>
      </c>
      <c r="D28" s="215"/>
      <c r="E28" s="30"/>
    </row>
    <row r="29" spans="2:5" s="1" customFormat="1" ht="12.75">
      <c r="B29" s="72" t="s">
        <v>168</v>
      </c>
      <c r="C29" s="121">
        <v>0.2</v>
      </c>
      <c r="D29" s="215"/>
      <c r="E29" s="30"/>
    </row>
    <row r="30" spans="2:6" s="1" customFormat="1" ht="12.75">
      <c r="B30" s="72" t="s">
        <v>169</v>
      </c>
      <c r="C30" s="122">
        <v>0.12</v>
      </c>
      <c r="D30" s="215"/>
      <c r="E30" s="30"/>
      <c r="F30" s="7"/>
    </row>
    <row r="31" spans="2:5" s="1" customFormat="1" ht="12.75">
      <c r="B31" s="72" t="s">
        <v>170</v>
      </c>
      <c r="C31" s="122">
        <v>0.05</v>
      </c>
      <c r="D31" s="215"/>
      <c r="E31" s="30"/>
    </row>
    <row r="32" spans="2:5" s="1" customFormat="1" ht="12.75">
      <c r="B32" s="72" t="s">
        <v>171</v>
      </c>
      <c r="C32" s="122">
        <v>0.1</v>
      </c>
      <c r="D32" s="215"/>
      <c r="E32" s="30"/>
    </row>
    <row r="33" spans="2:5" s="1" customFormat="1" ht="12.75">
      <c r="B33" s="73" t="s">
        <v>184</v>
      </c>
      <c r="C33" s="149">
        <f>C28*(1+(C29+C30+C31+C32))</f>
        <v>2.94</v>
      </c>
      <c r="D33" s="215"/>
      <c r="E33" s="31"/>
    </row>
    <row r="34" spans="2:5" s="1" customFormat="1" ht="12.75">
      <c r="B34" s="120" t="s">
        <v>69</v>
      </c>
      <c r="C34" s="126">
        <v>3.25</v>
      </c>
      <c r="D34" s="126">
        <f>C34-C33</f>
        <v>0.31000000000000005</v>
      </c>
      <c r="E34" s="5"/>
    </row>
    <row r="35" spans="2:5" s="101" customFormat="1" ht="12.75">
      <c r="B35" s="120" t="s">
        <v>70</v>
      </c>
      <c r="C35" s="126">
        <v>3.5</v>
      </c>
      <c r="D35" s="126">
        <f>C35-C33</f>
        <v>0.56</v>
      </c>
      <c r="E35" s="196"/>
    </row>
    <row r="38" spans="2:8" ht="12.75">
      <c r="B38" s="12" t="s">
        <v>223</v>
      </c>
      <c r="G38" s="130"/>
      <c r="H38" s="130"/>
    </row>
    <row r="39" spans="2:7" ht="12.75">
      <c r="B39" s="71"/>
      <c r="C39" s="71" t="s">
        <v>193</v>
      </c>
      <c r="D39" s="71" t="s">
        <v>194</v>
      </c>
      <c r="E39" s="71" t="s">
        <v>73</v>
      </c>
      <c r="F39" s="130"/>
      <c r="G39" s="130"/>
    </row>
    <row r="40" spans="2:5" ht="12.75">
      <c r="B40" s="148" t="s">
        <v>191</v>
      </c>
      <c r="C40" s="144">
        <f>C19*E48*C35</f>
        <v>173091.35025</v>
      </c>
      <c r="D40" s="144">
        <f>C19*0.5*C33</f>
        <v>145396.73421</v>
      </c>
      <c r="E40" s="144">
        <f>C40-D40</f>
        <v>27694.616039999994</v>
      </c>
    </row>
    <row r="41" spans="2:5" ht="12.75">
      <c r="B41" s="148" t="s">
        <v>192</v>
      </c>
      <c r="C41" s="144">
        <f>C19*0.5*C34</f>
        <v>160727.68237499997</v>
      </c>
      <c r="D41" s="144">
        <f>D40</f>
        <v>145396.73421</v>
      </c>
      <c r="E41" s="144">
        <f>C41-D41</f>
        <v>15330.94816499998</v>
      </c>
    </row>
    <row r="42" spans="4:5" ht="12.75">
      <c r="D42" s="146" t="s">
        <v>99</v>
      </c>
      <c r="E42" s="147">
        <f>E40+E41</f>
        <v>43025.56420499997</v>
      </c>
    </row>
    <row r="43" ht="12.75">
      <c r="E43" s="145"/>
    </row>
    <row r="45" ht="12.75">
      <c r="B45" s="12" t="s">
        <v>188</v>
      </c>
    </row>
    <row r="46" spans="2:4" ht="12.75">
      <c r="B46" s="210" t="s">
        <v>74</v>
      </c>
      <c r="C46" s="210"/>
      <c r="D46" s="210"/>
    </row>
    <row r="47" spans="2:4" ht="38.25">
      <c r="B47" s="71"/>
      <c r="C47" s="134" t="s">
        <v>190</v>
      </c>
      <c r="D47" s="135" t="s">
        <v>187</v>
      </c>
    </row>
    <row r="48" spans="2:6" ht="12.75">
      <c r="B48" s="2" t="s">
        <v>73</v>
      </c>
      <c r="C48" s="75">
        <f>C35*E48*C21</f>
        <v>2077096.2029999997</v>
      </c>
      <c r="D48" s="141">
        <f>C21*E49*C34</f>
        <v>1928732.1885</v>
      </c>
      <c r="E48" s="131">
        <v>0.5</v>
      </c>
      <c r="F48" s="130" t="s">
        <v>224</v>
      </c>
    </row>
    <row r="49" spans="2:6" ht="12.75">
      <c r="B49" s="2" t="s">
        <v>68</v>
      </c>
      <c r="C49" s="140">
        <f>C21*E48*C33</f>
        <v>1744760.8105199998</v>
      </c>
      <c r="D49" s="141">
        <f>C21*E49*C33</f>
        <v>1744760.8105199998</v>
      </c>
      <c r="E49" s="132">
        <f>1-E48</f>
        <v>0.5</v>
      </c>
      <c r="F49" s="130"/>
    </row>
    <row r="50" spans="2:4" ht="12.75">
      <c r="B50" s="13" t="s">
        <v>72</v>
      </c>
      <c r="C50" s="211">
        <f>(C48+D48)-(C49+D49)</f>
        <v>516306.77046000026</v>
      </c>
      <c r="D50" s="212"/>
    </row>
  </sheetData>
  <sheetProtection/>
  <mergeCells count="6">
    <mergeCell ref="B46:D46"/>
    <mergeCell ref="C50:D50"/>
    <mergeCell ref="B2:D2"/>
    <mergeCell ref="B16:C16"/>
    <mergeCell ref="B27:C27"/>
    <mergeCell ref="D28:D33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B3:E49"/>
  <sheetViews>
    <sheetView zoomScalePageLayoutView="0" workbookViewId="0" topLeftCell="A25">
      <selection activeCell="C62" sqref="C62"/>
    </sheetView>
  </sheetViews>
  <sheetFormatPr defaultColWidth="11.421875" defaultRowHeight="12.75"/>
  <cols>
    <col min="2" max="2" width="11.421875" style="125" customWidth="1"/>
    <col min="3" max="3" width="33.8515625" style="0" customWidth="1"/>
    <col min="4" max="4" width="12.140625" style="15" customWidth="1"/>
    <col min="5" max="5" width="12.421875" style="15" bestFit="1" customWidth="1"/>
  </cols>
  <sheetData>
    <row r="3" spans="2:5" s="12" customFormat="1" ht="12.75">
      <c r="B3" s="11" t="s">
        <v>6</v>
      </c>
      <c r="D3" s="14"/>
      <c r="E3" s="14"/>
    </row>
    <row r="4" spans="2:5" s="12" customFormat="1" ht="12.75">
      <c r="B4" s="11"/>
      <c r="D4" s="14"/>
      <c r="E4" s="14"/>
    </row>
    <row r="5" spans="2:5" s="12" customFormat="1" ht="12.75">
      <c r="B5" s="216" t="s">
        <v>181</v>
      </c>
      <c r="C5" s="216"/>
      <c r="D5" s="216"/>
      <c r="E5" s="216"/>
    </row>
    <row r="6" spans="2:5" s="12" customFormat="1" ht="12.75">
      <c r="B6" s="20" t="s">
        <v>2</v>
      </c>
      <c r="C6" s="13" t="s">
        <v>3</v>
      </c>
      <c r="D6" s="13" t="s">
        <v>4</v>
      </c>
      <c r="E6" s="13" t="s">
        <v>5</v>
      </c>
    </row>
    <row r="7" spans="2:5" s="12" customFormat="1" ht="12.75">
      <c r="B7" s="123">
        <v>2</v>
      </c>
      <c r="C7" s="18" t="s">
        <v>173</v>
      </c>
      <c r="D7" s="87">
        <v>60</v>
      </c>
      <c r="E7" s="87">
        <f>B7*D7</f>
        <v>120</v>
      </c>
    </row>
    <row r="8" spans="2:5" s="12" customFormat="1" ht="12.75">
      <c r="B8" s="123">
        <v>2</v>
      </c>
      <c r="C8" s="18" t="s">
        <v>174</v>
      </c>
      <c r="D8" s="87">
        <v>180</v>
      </c>
      <c r="E8" s="87">
        <f aca="true" t="shared" si="0" ref="E8:E14">B8*D8</f>
        <v>360</v>
      </c>
    </row>
    <row r="9" spans="2:5" s="12" customFormat="1" ht="12.75">
      <c r="B9" s="123">
        <v>100</v>
      </c>
      <c r="C9" s="18" t="s">
        <v>175</v>
      </c>
      <c r="D9" s="87">
        <v>2.94</v>
      </c>
      <c r="E9" s="87">
        <f t="shared" si="0"/>
        <v>294</v>
      </c>
    </row>
    <row r="10" spans="2:5" s="12" customFormat="1" ht="12.75">
      <c r="B10" s="123">
        <v>1</v>
      </c>
      <c r="C10" s="18" t="s">
        <v>176</v>
      </c>
      <c r="D10" s="87">
        <v>1000</v>
      </c>
      <c r="E10" s="87">
        <f t="shared" si="0"/>
        <v>1000</v>
      </c>
    </row>
    <row r="11" spans="2:5" s="12" customFormat="1" ht="12.75">
      <c r="B11" s="123">
        <v>1</v>
      </c>
      <c r="C11" s="18" t="s">
        <v>177</v>
      </c>
      <c r="D11" s="87">
        <v>200</v>
      </c>
      <c r="E11" s="87">
        <f t="shared" si="0"/>
        <v>200</v>
      </c>
    </row>
    <row r="12" spans="2:5" s="12" customFormat="1" ht="12.75">
      <c r="B12" s="123">
        <v>1</v>
      </c>
      <c r="C12" s="18" t="s">
        <v>178</v>
      </c>
      <c r="D12" s="87">
        <v>400</v>
      </c>
      <c r="E12" s="87">
        <f t="shared" si="0"/>
        <v>400</v>
      </c>
    </row>
    <row r="13" spans="2:5" s="12" customFormat="1" ht="12.75">
      <c r="B13" s="123">
        <v>1</v>
      </c>
      <c r="C13" s="18" t="s">
        <v>179</v>
      </c>
      <c r="D13" s="87">
        <v>1200</v>
      </c>
      <c r="E13" s="87">
        <f t="shared" si="0"/>
        <v>1200</v>
      </c>
    </row>
    <row r="14" spans="2:5" s="12" customFormat="1" ht="12.75">
      <c r="B14" s="123">
        <v>3</v>
      </c>
      <c r="C14" s="18" t="s">
        <v>180</v>
      </c>
      <c r="D14" s="87">
        <v>120</v>
      </c>
      <c r="E14" s="87">
        <f t="shared" si="0"/>
        <v>360</v>
      </c>
    </row>
    <row r="15" spans="2:5" s="12" customFormat="1" ht="12.75">
      <c r="B15" s="11"/>
      <c r="D15" s="129" t="s">
        <v>7</v>
      </c>
      <c r="E15" s="128">
        <f>SUM(E7:E14)</f>
        <v>3934</v>
      </c>
    </row>
    <row r="16" spans="2:5" s="12" customFormat="1" ht="12.75">
      <c r="B16" s="11"/>
      <c r="D16" s="14"/>
      <c r="E16" s="14"/>
    </row>
    <row r="17" spans="2:5" s="12" customFormat="1" ht="12.75">
      <c r="B17" s="11"/>
      <c r="D17" s="14"/>
      <c r="E17" s="14"/>
    </row>
    <row r="18" spans="2:5" ht="12.75">
      <c r="B18" s="216" t="s">
        <v>183</v>
      </c>
      <c r="C18" s="216"/>
      <c r="D18" s="216"/>
      <c r="E18" s="216"/>
    </row>
    <row r="19" spans="2:5" s="12" customFormat="1" ht="12.75">
      <c r="B19" s="20" t="s">
        <v>2</v>
      </c>
      <c r="C19" s="13" t="s">
        <v>3</v>
      </c>
      <c r="D19" s="13" t="s">
        <v>4</v>
      </c>
      <c r="E19" s="13" t="s">
        <v>5</v>
      </c>
    </row>
    <row r="20" spans="2:5" s="19" customFormat="1" ht="12.75">
      <c r="B20" s="123">
        <v>1</v>
      </c>
      <c r="C20" s="18" t="s">
        <v>104</v>
      </c>
      <c r="D20" s="87">
        <v>2500</v>
      </c>
      <c r="E20" s="87">
        <f>D20*B20</f>
        <v>2500</v>
      </c>
    </row>
    <row r="21" spans="2:5" s="19" customFormat="1" ht="12.75">
      <c r="B21" s="123">
        <v>1</v>
      </c>
      <c r="C21" s="18" t="s">
        <v>103</v>
      </c>
      <c r="D21" s="87">
        <v>2500</v>
      </c>
      <c r="E21" s="87">
        <f>D21*B21</f>
        <v>2500</v>
      </c>
    </row>
    <row r="22" spans="2:5" ht="12.75">
      <c r="B22" s="124">
        <v>10000</v>
      </c>
      <c r="C22" s="2" t="s">
        <v>8</v>
      </c>
      <c r="D22" s="87">
        <v>0.03</v>
      </c>
      <c r="E22" s="87">
        <f>D22*B22</f>
        <v>300</v>
      </c>
    </row>
    <row r="23" spans="2:5" ht="12.75">
      <c r="B23" s="124">
        <v>480</v>
      </c>
      <c r="C23" s="2" t="s">
        <v>9</v>
      </c>
      <c r="D23" s="87">
        <v>2.94</v>
      </c>
      <c r="E23" s="87">
        <f aca="true" t="shared" si="1" ref="E23:E33">D23*B23</f>
        <v>1411.2</v>
      </c>
    </row>
    <row r="24" spans="2:5" ht="12.75">
      <c r="B24" s="124">
        <v>8</v>
      </c>
      <c r="C24" s="2" t="s">
        <v>10</v>
      </c>
      <c r="D24" s="87">
        <v>60</v>
      </c>
      <c r="E24" s="87">
        <f t="shared" si="1"/>
        <v>480</v>
      </c>
    </row>
    <row r="25" spans="2:5" ht="12.75">
      <c r="B25" s="124">
        <v>6</v>
      </c>
      <c r="C25" s="2" t="s">
        <v>12</v>
      </c>
      <c r="D25" s="87">
        <v>60</v>
      </c>
      <c r="E25" s="87">
        <f t="shared" si="1"/>
        <v>360</v>
      </c>
    </row>
    <row r="26" spans="2:5" ht="12.75">
      <c r="B26" s="124">
        <v>2</v>
      </c>
      <c r="C26" s="2" t="s">
        <v>11</v>
      </c>
      <c r="D26" s="87">
        <v>2500</v>
      </c>
      <c r="E26" s="87">
        <f t="shared" si="1"/>
        <v>5000</v>
      </c>
    </row>
    <row r="27" spans="2:5" ht="12.75">
      <c r="B27" s="124">
        <v>2</v>
      </c>
      <c r="C27" s="2" t="s">
        <v>102</v>
      </c>
      <c r="D27" s="87">
        <v>64</v>
      </c>
      <c r="E27" s="87">
        <f t="shared" si="1"/>
        <v>128</v>
      </c>
    </row>
    <row r="28" spans="2:5" ht="12.75">
      <c r="B28" s="124">
        <v>4</v>
      </c>
      <c r="C28" s="2" t="s">
        <v>13</v>
      </c>
      <c r="D28" s="87">
        <v>7500</v>
      </c>
      <c r="E28" s="87">
        <f t="shared" si="1"/>
        <v>30000</v>
      </c>
    </row>
    <row r="29" spans="2:5" ht="12.75">
      <c r="B29" s="124">
        <v>1</v>
      </c>
      <c r="C29" s="16" t="s">
        <v>14</v>
      </c>
      <c r="D29" s="87">
        <v>1800</v>
      </c>
      <c r="E29" s="87">
        <f t="shared" si="1"/>
        <v>1800</v>
      </c>
    </row>
    <row r="30" spans="2:5" ht="12.75">
      <c r="B30" s="124">
        <v>1</v>
      </c>
      <c r="C30" s="2" t="s">
        <v>15</v>
      </c>
      <c r="D30" s="87">
        <v>2000</v>
      </c>
      <c r="E30" s="87">
        <f t="shared" si="1"/>
        <v>2000</v>
      </c>
    </row>
    <row r="31" spans="2:5" ht="12.75">
      <c r="B31" s="124">
        <v>5</v>
      </c>
      <c r="C31" s="2" t="s">
        <v>16</v>
      </c>
      <c r="D31" s="87">
        <v>400</v>
      </c>
      <c r="E31" s="87">
        <f t="shared" si="1"/>
        <v>2000</v>
      </c>
    </row>
    <row r="32" spans="2:5" ht="12.75">
      <c r="B32" s="124">
        <v>3</v>
      </c>
      <c r="C32" s="2" t="s">
        <v>185</v>
      </c>
      <c r="D32" s="87">
        <v>180</v>
      </c>
      <c r="E32" s="87">
        <f t="shared" si="1"/>
        <v>540</v>
      </c>
    </row>
    <row r="33" spans="2:5" ht="12.75">
      <c r="B33" s="124">
        <v>3</v>
      </c>
      <c r="C33" s="2" t="s">
        <v>186</v>
      </c>
      <c r="D33" s="87">
        <v>320</v>
      </c>
      <c r="E33" s="127">
        <f t="shared" si="1"/>
        <v>960</v>
      </c>
    </row>
    <row r="34" spans="2:5" s="12" customFormat="1" ht="12.75">
      <c r="B34" s="11"/>
      <c r="D34" s="129" t="s">
        <v>7</v>
      </c>
      <c r="E34" s="128">
        <f>SUM(E20:E33)</f>
        <v>49979.2</v>
      </c>
    </row>
    <row r="37" spans="2:5" ht="12.75">
      <c r="B37" s="216" t="s">
        <v>182</v>
      </c>
      <c r="C37" s="216"/>
      <c r="D37" s="216"/>
      <c r="E37" s="216"/>
    </row>
    <row r="38" spans="2:5" ht="12.75">
      <c r="B38" s="20" t="s">
        <v>2</v>
      </c>
      <c r="C38" s="13" t="s">
        <v>3</v>
      </c>
      <c r="D38" s="13" t="s">
        <v>4</v>
      </c>
      <c r="E38" s="13" t="s">
        <v>5</v>
      </c>
    </row>
    <row r="39" spans="2:5" ht="12.75">
      <c r="B39" s="123">
        <v>2</v>
      </c>
      <c r="C39" s="18" t="s">
        <v>17</v>
      </c>
      <c r="D39" s="87">
        <v>1500</v>
      </c>
      <c r="E39" s="87">
        <f>D39*B39</f>
        <v>3000</v>
      </c>
    </row>
    <row r="40" spans="2:5" ht="12.75">
      <c r="B40" s="124">
        <v>3000</v>
      </c>
      <c r="C40" s="2" t="s">
        <v>8</v>
      </c>
      <c r="D40" s="87">
        <v>0.03</v>
      </c>
      <c r="E40" s="87">
        <f>D40*B40</f>
        <v>90</v>
      </c>
    </row>
    <row r="41" spans="2:5" ht="12.75">
      <c r="B41" s="124">
        <v>250</v>
      </c>
      <c r="C41" s="2" t="s">
        <v>9</v>
      </c>
      <c r="D41" s="87">
        <v>2.94</v>
      </c>
      <c r="E41" s="87">
        <f aca="true" t="shared" si="2" ref="E41:E46">D41*B41</f>
        <v>735</v>
      </c>
    </row>
    <row r="42" spans="2:5" ht="12.75">
      <c r="B42" s="124">
        <v>8</v>
      </c>
      <c r="C42" s="2" t="s">
        <v>18</v>
      </c>
      <c r="D42" s="87">
        <v>60</v>
      </c>
      <c r="E42" s="87">
        <f t="shared" si="2"/>
        <v>480</v>
      </c>
    </row>
    <row r="43" spans="2:5" ht="12.75">
      <c r="B43" s="124">
        <v>2</v>
      </c>
      <c r="C43" s="2" t="s">
        <v>11</v>
      </c>
      <c r="D43" s="87">
        <v>2500</v>
      </c>
      <c r="E43" s="87">
        <f t="shared" si="2"/>
        <v>5000</v>
      </c>
    </row>
    <row r="44" spans="2:5" ht="12.75">
      <c r="B44" s="124">
        <v>2</v>
      </c>
      <c r="C44" s="2" t="s">
        <v>19</v>
      </c>
      <c r="D44" s="87">
        <v>1500</v>
      </c>
      <c r="E44" s="87">
        <f t="shared" si="2"/>
        <v>3000</v>
      </c>
    </row>
    <row r="45" spans="2:5" ht="12.75">
      <c r="B45" s="124">
        <v>1</v>
      </c>
      <c r="C45" s="16" t="s">
        <v>14</v>
      </c>
      <c r="D45" s="87">
        <v>1000</v>
      </c>
      <c r="E45" s="87">
        <f t="shared" si="2"/>
        <v>1000</v>
      </c>
    </row>
    <row r="46" spans="2:5" ht="12.75">
      <c r="B46" s="124">
        <v>4</v>
      </c>
      <c r="C46" s="2" t="s">
        <v>16</v>
      </c>
      <c r="D46" s="87">
        <v>400</v>
      </c>
      <c r="E46" s="87">
        <f t="shared" si="2"/>
        <v>1600</v>
      </c>
    </row>
    <row r="47" spans="2:5" ht="12.75">
      <c r="B47" s="11"/>
      <c r="D47" s="129" t="s">
        <v>7</v>
      </c>
      <c r="E47" s="128">
        <f>SUM(E40:E46)</f>
        <v>11905</v>
      </c>
    </row>
    <row r="49" spans="4:5" ht="12.75">
      <c r="D49" s="129" t="s">
        <v>20</v>
      </c>
      <c r="E49" s="128">
        <f>E15+E34+E47</f>
        <v>65818.2</v>
      </c>
    </row>
  </sheetData>
  <sheetProtection/>
  <mergeCells count="3">
    <mergeCell ref="B18:E18"/>
    <mergeCell ref="B37:E37"/>
    <mergeCell ref="B5:E5"/>
  </mergeCell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2:K50"/>
  <sheetViews>
    <sheetView workbookViewId="0" topLeftCell="A31">
      <selection activeCell="D36" sqref="D36"/>
    </sheetView>
  </sheetViews>
  <sheetFormatPr defaultColWidth="11.421875" defaultRowHeight="12.75"/>
  <cols>
    <col min="1" max="1" width="6.421875" style="0" customWidth="1"/>
    <col min="2" max="2" width="26.57421875" style="0" customWidth="1"/>
    <col min="3" max="3" width="13.28125" style="0" customWidth="1"/>
    <col min="4" max="4" width="12.57421875" style="0" customWidth="1"/>
    <col min="5" max="5" width="21.421875" style="0" bestFit="1" customWidth="1"/>
    <col min="6" max="6" width="11.8515625" style="0" bestFit="1" customWidth="1"/>
    <col min="7" max="7" width="13.140625" style="0" customWidth="1"/>
    <col min="8" max="8" width="17.00390625" style="0" customWidth="1"/>
    <col min="9" max="9" width="14.140625" style="0" customWidth="1"/>
    <col min="10" max="10" width="12.421875" style="0" customWidth="1"/>
  </cols>
  <sheetData>
    <row r="2" spans="2:9" s="104" customFormat="1" ht="12.75">
      <c r="B2" s="196"/>
      <c r="C2" s="197"/>
      <c r="G2" s="198"/>
      <c r="H2" s="198"/>
      <c r="I2" s="198"/>
    </row>
    <row r="3" spans="3:9" s="19" customFormat="1" ht="12.75">
      <c r="C3" s="33"/>
      <c r="G3" s="47"/>
      <c r="H3" s="47"/>
      <c r="I3" s="47"/>
    </row>
    <row r="4" spans="2:9" s="12" customFormat="1" ht="12.75">
      <c r="B4" s="210" t="s">
        <v>75</v>
      </c>
      <c r="C4" s="210"/>
      <c r="G4" s="11"/>
      <c r="H4" s="11"/>
      <c r="I4" s="11"/>
    </row>
    <row r="5" spans="2:9" s="19" customFormat="1" ht="12.75">
      <c r="B5" s="18" t="s">
        <v>77</v>
      </c>
      <c r="C5" s="79">
        <f>DEMANDA_INGRESO!C21</f>
        <v>1186912.116</v>
      </c>
      <c r="D5" s="77"/>
      <c r="G5" s="47"/>
      <c r="H5" s="47"/>
      <c r="I5" s="47"/>
    </row>
    <row r="6" spans="2:9" s="19" customFormat="1" ht="12.75">
      <c r="B6" s="18" t="s">
        <v>78</v>
      </c>
      <c r="C6" s="21">
        <f>DEMANDA_INGRESO!C33</f>
        <v>2.94</v>
      </c>
      <c r="G6" s="47"/>
      <c r="H6" s="47"/>
      <c r="I6" s="47"/>
    </row>
    <row r="7" spans="2:9" s="19" customFormat="1" ht="12.75">
      <c r="B7" s="80" t="s">
        <v>76</v>
      </c>
      <c r="C7" s="81">
        <f>C5*C6</f>
        <v>3489521.6210399996</v>
      </c>
      <c r="D7" s="78"/>
      <c r="G7" s="47"/>
      <c r="H7" s="47"/>
      <c r="I7" s="47"/>
    </row>
    <row r="8" spans="3:9" s="19" customFormat="1" ht="12.75">
      <c r="C8" s="33"/>
      <c r="G8" s="47"/>
      <c r="H8" s="47"/>
      <c r="I8" s="47"/>
    </row>
    <row r="9" spans="3:9" s="19" customFormat="1" ht="12.75">
      <c r="C9" s="33"/>
      <c r="G9" s="47"/>
      <c r="H9" s="47"/>
      <c r="I9" s="47"/>
    </row>
    <row r="10" spans="3:9" s="19" customFormat="1" ht="12.75">
      <c r="C10" s="33"/>
      <c r="G10" s="47"/>
      <c r="H10" s="47"/>
      <c r="I10" s="47"/>
    </row>
    <row r="11" spans="2:9" s="19" customFormat="1" ht="12.75">
      <c r="B11" s="217" t="s">
        <v>79</v>
      </c>
      <c r="C11" s="218"/>
      <c r="G11" s="47"/>
      <c r="H11" s="47"/>
      <c r="I11" s="47"/>
    </row>
    <row r="12" spans="2:10" s="19" customFormat="1" ht="12.75">
      <c r="B12" s="13" t="s">
        <v>80</v>
      </c>
      <c r="C12" s="13"/>
      <c r="E12" s="19" t="s">
        <v>77</v>
      </c>
      <c r="F12" s="99">
        <f>DEMANDA_INGRESO!C21</f>
        <v>1186912.116</v>
      </c>
      <c r="G12" s="47">
        <f>F12*(1+(2/100))</f>
        <v>1210650.3583199999</v>
      </c>
      <c r="H12" s="47">
        <f>G12*(1+(2/100))</f>
        <v>1234863.3654864</v>
      </c>
      <c r="I12" s="47">
        <f>H12*(1+(2/100))</f>
        <v>1259560.632796128</v>
      </c>
      <c r="J12" s="47">
        <f>I12*(1+(2/100))</f>
        <v>1284751.8454520507</v>
      </c>
    </row>
    <row r="13" spans="2:9" s="19" customFormat="1" ht="12.75">
      <c r="B13" s="2" t="s">
        <v>81</v>
      </c>
      <c r="C13" s="75">
        <v>60</v>
      </c>
      <c r="G13" s="47"/>
      <c r="H13" s="47"/>
      <c r="I13" s="47"/>
    </row>
    <row r="14" spans="2:9" s="19" customFormat="1" ht="12.75">
      <c r="B14" s="2" t="s">
        <v>82</v>
      </c>
      <c r="C14" s="75">
        <v>220</v>
      </c>
      <c r="E14" s="19" t="s">
        <v>144</v>
      </c>
      <c r="F14" s="100">
        <f>C18/F12</f>
        <v>0.004347415390273091</v>
      </c>
      <c r="G14" s="47"/>
      <c r="H14" s="47"/>
      <c r="I14" s="47"/>
    </row>
    <row r="15" spans="2:9" s="19" customFormat="1" ht="12.75">
      <c r="B15" s="2" t="s">
        <v>83</v>
      </c>
      <c r="C15" s="75">
        <v>150</v>
      </c>
      <c r="G15" s="47"/>
      <c r="H15" s="47"/>
      <c r="I15" s="47"/>
    </row>
    <row r="16" spans="2:9" s="12" customFormat="1" ht="12.75">
      <c r="B16" s="80" t="s">
        <v>84</v>
      </c>
      <c r="C16" s="83">
        <f>SUM(C13:C15)</f>
        <v>430</v>
      </c>
      <c r="G16" s="11"/>
      <c r="H16" s="11"/>
      <c r="I16" s="11"/>
    </row>
    <row r="17" spans="2:3" ht="12.75">
      <c r="B17" s="2" t="s">
        <v>65</v>
      </c>
      <c r="C17" s="2">
        <v>12</v>
      </c>
    </row>
    <row r="18" spans="2:3" s="12" customFormat="1" ht="12.75">
      <c r="B18" s="80" t="s">
        <v>85</v>
      </c>
      <c r="C18" s="83">
        <f>C16*C17</f>
        <v>5160</v>
      </c>
    </row>
    <row r="21" ht="13.5" thickBot="1"/>
    <row r="22" spans="2:9" ht="12.75">
      <c r="B22" s="210" t="s">
        <v>106</v>
      </c>
      <c r="C22" s="210"/>
      <c r="D22" s="210"/>
      <c r="E22" s="210"/>
      <c r="G22" s="219" t="s">
        <v>226</v>
      </c>
      <c r="H22" s="220"/>
      <c r="I22" s="223" t="s">
        <v>227</v>
      </c>
    </row>
    <row r="23" spans="2:9" ht="13.5" thickBot="1">
      <c r="B23" s="73"/>
      <c r="C23" s="64" t="s">
        <v>2</v>
      </c>
      <c r="D23" s="64" t="s">
        <v>64</v>
      </c>
      <c r="E23" s="71" t="s">
        <v>105</v>
      </c>
      <c r="G23" s="221"/>
      <c r="H23" s="222"/>
      <c r="I23" s="224"/>
    </row>
    <row r="24" spans="2:9" s="104" customFormat="1" ht="12.75">
      <c r="B24" s="2" t="s">
        <v>86</v>
      </c>
      <c r="C24" s="124">
        <v>2</v>
      </c>
      <c r="D24" s="75">
        <v>40000</v>
      </c>
      <c r="E24" s="105">
        <f aca="true" t="shared" si="0" ref="E24:E30">C24*D24</f>
        <v>80000</v>
      </c>
      <c r="G24" s="202" t="s">
        <v>228</v>
      </c>
      <c r="H24" s="203"/>
      <c r="I24" s="204">
        <v>260</v>
      </c>
    </row>
    <row r="25" spans="2:9" ht="12.75">
      <c r="B25" s="2" t="s">
        <v>87</v>
      </c>
      <c r="C25" s="124">
        <v>1</v>
      </c>
      <c r="D25" s="75">
        <v>5000</v>
      </c>
      <c r="E25" s="105">
        <f t="shared" si="0"/>
        <v>5000</v>
      </c>
      <c r="G25" s="202" t="s">
        <v>229</v>
      </c>
      <c r="H25" s="203"/>
      <c r="I25" s="204">
        <v>450</v>
      </c>
    </row>
    <row r="26" spans="2:9" ht="12.75">
      <c r="B26" s="2" t="s">
        <v>88</v>
      </c>
      <c r="C26" s="124">
        <v>21</v>
      </c>
      <c r="D26" s="75">
        <v>650</v>
      </c>
      <c r="E26" s="105">
        <f t="shared" si="0"/>
        <v>13650</v>
      </c>
      <c r="G26" s="202" t="s">
        <v>230</v>
      </c>
      <c r="H26" s="203"/>
      <c r="I26" s="204">
        <v>164</v>
      </c>
    </row>
    <row r="27" spans="2:9" ht="12.75">
      <c r="B27" s="2" t="s">
        <v>91</v>
      </c>
      <c r="C27" s="124">
        <v>21</v>
      </c>
      <c r="D27" s="75">
        <v>120</v>
      </c>
      <c r="E27" s="105">
        <f t="shared" si="0"/>
        <v>2520</v>
      </c>
      <c r="G27" s="202" t="s">
        <v>231</v>
      </c>
      <c r="H27" s="203"/>
      <c r="I27" s="204">
        <v>90</v>
      </c>
    </row>
    <row r="28" spans="2:9" ht="12.75">
      <c r="B28" s="2" t="s">
        <v>92</v>
      </c>
      <c r="C28" s="124">
        <v>1</v>
      </c>
      <c r="D28" s="75">
        <v>400</v>
      </c>
      <c r="E28" s="105">
        <f t="shared" si="0"/>
        <v>400</v>
      </c>
      <c r="G28" s="202" t="s">
        <v>232</v>
      </c>
      <c r="H28" s="203"/>
      <c r="I28" s="204">
        <v>75</v>
      </c>
    </row>
    <row r="29" spans="2:9" ht="13.5" thickBot="1">
      <c r="B29" s="2" t="s">
        <v>89</v>
      </c>
      <c r="C29" s="124">
        <v>12</v>
      </c>
      <c r="D29" s="75">
        <v>220</v>
      </c>
      <c r="E29" s="105">
        <f t="shared" si="0"/>
        <v>2640</v>
      </c>
      <c r="G29" s="202" t="s">
        <v>233</v>
      </c>
      <c r="H29" s="203"/>
      <c r="I29" s="204">
        <v>461</v>
      </c>
    </row>
    <row r="30" spans="2:9" ht="13.5" thickBot="1">
      <c r="B30" s="2" t="s">
        <v>225</v>
      </c>
      <c r="C30" s="124">
        <v>1</v>
      </c>
      <c r="D30" s="75">
        <v>5000</v>
      </c>
      <c r="E30" s="105">
        <f t="shared" si="0"/>
        <v>5000</v>
      </c>
      <c r="G30" s="205" t="s">
        <v>234</v>
      </c>
      <c r="H30" s="206"/>
      <c r="I30" s="207">
        <f>SUM(I24:I29)</f>
        <v>1500</v>
      </c>
    </row>
    <row r="31" spans="2:5" ht="12.75">
      <c r="B31" s="227" t="s">
        <v>90</v>
      </c>
      <c r="C31" s="228"/>
      <c r="D31" s="229"/>
      <c r="E31" s="76">
        <f>SUM(E24:E30)</f>
        <v>109210</v>
      </c>
    </row>
    <row r="35" spans="2:4" ht="12.75">
      <c r="B35" s="71" t="s">
        <v>93</v>
      </c>
      <c r="C35" s="71" t="s">
        <v>107</v>
      </c>
      <c r="D35" s="71" t="s">
        <v>108</v>
      </c>
    </row>
    <row r="36" spans="2:6" ht="12.75">
      <c r="B36" s="85" t="s">
        <v>97</v>
      </c>
      <c r="C36" s="86">
        <f>'Nomina y sueldos'!E36</f>
        <v>11340</v>
      </c>
      <c r="D36" s="86">
        <f aca="true" t="shared" si="1" ref="D36:D41">C36*12</f>
        <v>136080</v>
      </c>
      <c r="F36" s="74"/>
    </row>
    <row r="37" spans="2:4" ht="12.75">
      <c r="B37" s="18" t="s">
        <v>98</v>
      </c>
      <c r="C37" s="87">
        <v>250</v>
      </c>
      <c r="D37" s="87">
        <f t="shared" si="1"/>
        <v>3000</v>
      </c>
    </row>
    <row r="38" spans="2:7" ht="12.75">
      <c r="B38" s="18" t="s">
        <v>94</v>
      </c>
      <c r="C38" s="87">
        <v>100</v>
      </c>
      <c r="D38" s="87">
        <f t="shared" si="1"/>
        <v>1200</v>
      </c>
      <c r="G38" s="67"/>
    </row>
    <row r="39" spans="2:4" ht="12.75">
      <c r="B39" s="18" t="s">
        <v>95</v>
      </c>
      <c r="C39" s="87">
        <v>300</v>
      </c>
      <c r="D39" s="87">
        <f t="shared" si="1"/>
        <v>3600</v>
      </c>
    </row>
    <row r="40" spans="2:4" ht="12.75">
      <c r="B40" s="18" t="s">
        <v>197</v>
      </c>
      <c r="C40" s="87">
        <v>7200</v>
      </c>
      <c r="D40" s="87">
        <f t="shared" si="1"/>
        <v>86400</v>
      </c>
    </row>
    <row r="41" spans="2:9" ht="12.75">
      <c r="B41" s="18" t="s">
        <v>96</v>
      </c>
      <c r="C41" s="87">
        <v>5000</v>
      </c>
      <c r="D41" s="75">
        <f t="shared" si="1"/>
        <v>60000</v>
      </c>
      <c r="G41" s="200"/>
      <c r="H41" s="200"/>
      <c r="I41" s="200"/>
    </row>
    <row r="42" spans="2:11" ht="12.75">
      <c r="B42" s="80" t="s">
        <v>198</v>
      </c>
      <c r="C42" s="83">
        <f>SUM(C38:C41)</f>
        <v>12600</v>
      </c>
      <c r="D42" s="83">
        <f>SUM(D36:D41)</f>
        <v>290280</v>
      </c>
      <c r="J42" s="200"/>
      <c r="K42" s="200"/>
    </row>
    <row r="43" spans="2:11" s="200" customFormat="1" ht="12.75">
      <c r="B43" s="196"/>
      <c r="C43" s="199"/>
      <c r="D43" s="199"/>
      <c r="G43"/>
      <c r="H43"/>
      <c r="I43"/>
      <c r="J43"/>
      <c r="K43"/>
    </row>
    <row r="46" spans="2:5" ht="12.75">
      <c r="B46" s="210" t="s">
        <v>217</v>
      </c>
      <c r="C46" s="210"/>
      <c r="E46" s="12"/>
    </row>
    <row r="47" spans="2:3" ht="12.75">
      <c r="B47" s="2" t="s">
        <v>218</v>
      </c>
      <c r="C47" s="225">
        <v>4500</v>
      </c>
    </row>
    <row r="48" spans="2:3" ht="12.75">
      <c r="B48" s="2" t="s">
        <v>219</v>
      </c>
      <c r="C48" s="226"/>
    </row>
    <row r="49" spans="2:3" ht="12.75">
      <c r="B49" s="2" t="s">
        <v>220</v>
      </c>
      <c r="C49" s="75">
        <v>2700</v>
      </c>
    </row>
    <row r="50" spans="2:3" ht="12.75">
      <c r="B50" s="80" t="s">
        <v>99</v>
      </c>
      <c r="C50" s="83">
        <f>C47+C49</f>
        <v>7200</v>
      </c>
    </row>
  </sheetData>
  <mergeCells count="8">
    <mergeCell ref="I22:I23"/>
    <mergeCell ref="C47:C48"/>
    <mergeCell ref="B46:C46"/>
    <mergeCell ref="B31:D31"/>
    <mergeCell ref="B4:C4"/>
    <mergeCell ref="B11:C11"/>
    <mergeCell ref="B22:E22"/>
    <mergeCell ref="G22:H23"/>
  </mergeCells>
  <printOptions/>
  <pageMargins left="0.75" right="0.75" top="1" bottom="1" header="0" footer="0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B4:J40"/>
  <sheetViews>
    <sheetView zoomScale="90" zoomScaleNormal="90" zoomScalePageLayoutView="0" workbookViewId="0" topLeftCell="A4">
      <selection activeCell="H37" sqref="H37"/>
    </sheetView>
  </sheetViews>
  <sheetFormatPr defaultColWidth="11.421875" defaultRowHeight="12.75"/>
  <cols>
    <col min="1" max="1" width="3.421875" style="19" customWidth="1"/>
    <col min="2" max="2" width="7.28125" style="19" customWidth="1"/>
    <col min="3" max="3" width="36.28125" style="19" customWidth="1"/>
    <col min="4" max="4" width="12.8515625" style="33" customWidth="1"/>
    <col min="5" max="5" width="12.57421875" style="19" customWidth="1"/>
    <col min="6" max="6" width="11.421875" style="19" customWidth="1"/>
    <col min="7" max="7" width="16.421875" style="19" customWidth="1"/>
    <col min="8" max="8" width="11.421875" style="47" customWidth="1"/>
    <col min="9" max="10" width="12.421875" style="47" bestFit="1" customWidth="1"/>
    <col min="11" max="11" width="11.421875" style="19" customWidth="1"/>
    <col min="12" max="12" width="13.8515625" style="19" bestFit="1" customWidth="1"/>
    <col min="13" max="16384" width="11.421875" style="19" customWidth="1"/>
  </cols>
  <sheetData>
    <row r="4" spans="3:5" ht="12.75">
      <c r="C4" s="208" t="s">
        <v>58</v>
      </c>
      <c r="D4" s="230"/>
      <c r="E4" s="231"/>
    </row>
    <row r="5" spans="3:10" ht="12.75">
      <c r="C5" s="232"/>
      <c r="D5" s="233"/>
      <c r="E5" s="234"/>
      <c r="G5" s="63"/>
      <c r="H5" s="64" t="s">
        <v>2</v>
      </c>
      <c r="I5" s="64" t="s">
        <v>64</v>
      </c>
      <c r="J5" s="64" t="s">
        <v>60</v>
      </c>
    </row>
    <row r="6" spans="3:10" s="12" customFormat="1" ht="12.75">
      <c r="C6" s="57" t="s">
        <v>32</v>
      </c>
      <c r="D6" s="58"/>
      <c r="E6" s="59"/>
      <c r="G6" s="50" t="s">
        <v>59</v>
      </c>
      <c r="H6" s="51">
        <v>21</v>
      </c>
      <c r="I6" s="52">
        <v>120</v>
      </c>
      <c r="J6" s="53">
        <f>H6*I6</f>
        <v>2520</v>
      </c>
    </row>
    <row r="7" spans="2:10" ht="12.75">
      <c r="B7" s="19">
        <v>1</v>
      </c>
      <c r="C7" s="35" t="s">
        <v>31</v>
      </c>
      <c r="D7" s="36">
        <v>1500</v>
      </c>
      <c r="E7" s="37"/>
      <c r="G7" s="50" t="s">
        <v>62</v>
      </c>
      <c r="H7" s="51">
        <v>21</v>
      </c>
      <c r="I7" s="52">
        <v>650</v>
      </c>
      <c r="J7" s="53">
        <f>H7*I7</f>
        <v>13650</v>
      </c>
    </row>
    <row r="8" spans="2:10" ht="13.5" thickBot="1">
      <c r="B8" s="19">
        <v>1</v>
      </c>
      <c r="C8" s="35" t="s">
        <v>33</v>
      </c>
      <c r="D8" s="34">
        <v>250</v>
      </c>
      <c r="E8" s="37"/>
      <c r="G8" s="50" t="s">
        <v>61</v>
      </c>
      <c r="H8" s="51">
        <v>2</v>
      </c>
      <c r="I8" s="52">
        <v>40000</v>
      </c>
      <c r="J8" s="53">
        <f>H8*I8</f>
        <v>80000</v>
      </c>
    </row>
    <row r="9" spans="3:10" s="17" customFormat="1" ht="13.5" thickTop="1">
      <c r="C9" s="38" t="s">
        <v>20</v>
      </c>
      <c r="D9" s="39"/>
      <c r="E9" s="40">
        <f>SUM(D7:D8)</f>
        <v>1750</v>
      </c>
      <c r="G9" s="54" t="s">
        <v>63</v>
      </c>
      <c r="H9" s="55">
        <v>12</v>
      </c>
      <c r="I9" s="56">
        <v>220</v>
      </c>
      <c r="J9" s="53">
        <f>H9*I9</f>
        <v>2640</v>
      </c>
    </row>
    <row r="10" spans="3:10" s="12" customFormat="1" ht="12.75">
      <c r="C10" s="60" t="s">
        <v>34</v>
      </c>
      <c r="D10" s="61"/>
      <c r="E10" s="62"/>
      <c r="H10" s="11"/>
      <c r="I10" s="65" t="s">
        <v>20</v>
      </c>
      <c r="J10" s="66">
        <f>SUM(J6:J9)</f>
        <v>98810</v>
      </c>
    </row>
    <row r="11" spans="2:5" ht="12.75">
      <c r="B11" s="19">
        <v>1</v>
      </c>
      <c r="C11" s="35" t="s">
        <v>35</v>
      </c>
      <c r="D11" s="36">
        <v>1000</v>
      </c>
      <c r="E11" s="37"/>
    </row>
    <row r="12" spans="2:5" ht="12.75">
      <c r="B12" s="19">
        <v>1</v>
      </c>
      <c r="C12" s="35" t="s">
        <v>36</v>
      </c>
      <c r="D12" s="36">
        <v>250</v>
      </c>
      <c r="E12" s="37"/>
    </row>
    <row r="13" spans="2:5" ht="12.75">
      <c r="B13" s="19">
        <v>1</v>
      </c>
      <c r="C13" s="35" t="s">
        <v>37</v>
      </c>
      <c r="D13" s="36">
        <v>350</v>
      </c>
      <c r="E13" s="37"/>
    </row>
    <row r="14" spans="2:5" ht="12.75">
      <c r="B14" s="49">
        <v>2</v>
      </c>
      <c r="C14" s="35" t="s">
        <v>38</v>
      </c>
      <c r="D14" s="36">
        <v>300</v>
      </c>
      <c r="E14" s="37"/>
    </row>
    <row r="15" spans="2:5" ht="12.75">
      <c r="B15" s="49">
        <v>2</v>
      </c>
      <c r="C15" s="35" t="s">
        <v>39</v>
      </c>
      <c r="D15" s="36">
        <v>230</v>
      </c>
      <c r="E15" s="37"/>
    </row>
    <row r="16" spans="2:5" ht="12.75">
      <c r="B16" s="19">
        <v>1</v>
      </c>
      <c r="C16" s="35" t="s">
        <v>40</v>
      </c>
      <c r="D16" s="36">
        <v>450</v>
      </c>
      <c r="E16" s="37"/>
    </row>
    <row r="17" spans="2:5" ht="12.75">
      <c r="B17" s="19">
        <v>3</v>
      </c>
      <c r="C17" s="35" t="s">
        <v>56</v>
      </c>
      <c r="D17" s="36">
        <v>960</v>
      </c>
      <c r="E17" s="37"/>
    </row>
    <row r="18" spans="2:5" ht="12.75">
      <c r="B18" s="49">
        <v>4</v>
      </c>
      <c r="C18" s="35" t="s">
        <v>57</v>
      </c>
      <c r="D18" s="36">
        <v>880</v>
      </c>
      <c r="E18" s="37"/>
    </row>
    <row r="19" spans="2:5" ht="12.75">
      <c r="B19" s="19">
        <v>1</v>
      </c>
      <c r="C19" s="35" t="s">
        <v>41</v>
      </c>
      <c r="D19" s="36">
        <v>450</v>
      </c>
      <c r="E19" s="37"/>
    </row>
    <row r="20" spans="2:5" ht="13.5" thickBot="1">
      <c r="B20" s="19">
        <v>1</v>
      </c>
      <c r="C20" s="35" t="s">
        <v>42</v>
      </c>
      <c r="D20" s="34">
        <v>350</v>
      </c>
      <c r="E20" s="37"/>
    </row>
    <row r="21" spans="3:10" s="17" customFormat="1" ht="13.5" thickTop="1">
      <c r="C21" s="38" t="s">
        <v>20</v>
      </c>
      <c r="D21" s="39"/>
      <c r="E21" s="40">
        <f>SUM(D11:D20)</f>
        <v>5220</v>
      </c>
      <c r="H21" s="11"/>
      <c r="I21" s="11"/>
      <c r="J21" s="11"/>
    </row>
    <row r="22" spans="3:10" s="12" customFormat="1" ht="12.75">
      <c r="C22" s="60" t="s">
        <v>43</v>
      </c>
      <c r="D22" s="61"/>
      <c r="E22" s="62"/>
      <c r="H22" s="11"/>
      <c r="I22" s="11"/>
      <c r="J22" s="11"/>
    </row>
    <row r="23" spans="2:5" ht="12.75">
      <c r="B23" s="19">
        <v>1</v>
      </c>
      <c r="C23" s="35" t="s">
        <v>44</v>
      </c>
      <c r="D23" s="36">
        <v>800</v>
      </c>
      <c r="E23" s="37"/>
    </row>
    <row r="24" spans="2:5" ht="12.75">
      <c r="B24" s="19">
        <v>1</v>
      </c>
      <c r="C24" s="35" t="s">
        <v>45</v>
      </c>
      <c r="D24" s="36">
        <v>300</v>
      </c>
      <c r="E24" s="37"/>
    </row>
    <row r="25" spans="2:5" ht="12.75">
      <c r="B25" s="19">
        <v>1</v>
      </c>
      <c r="C25" s="35" t="s">
        <v>46</v>
      </c>
      <c r="D25" s="36">
        <v>450</v>
      </c>
      <c r="E25" s="37"/>
    </row>
    <row r="26" spans="2:5" ht="12.75">
      <c r="B26" s="19">
        <v>1</v>
      </c>
      <c r="C26" s="35" t="s">
        <v>47</v>
      </c>
      <c r="D26" s="36">
        <v>500</v>
      </c>
      <c r="E26" s="37"/>
    </row>
    <row r="27" spans="2:5" ht="12.75">
      <c r="B27" s="19">
        <v>1</v>
      </c>
      <c r="C27" s="35" t="s">
        <v>48</v>
      </c>
      <c r="D27" s="36">
        <v>320</v>
      </c>
      <c r="E27" s="37"/>
    </row>
    <row r="28" spans="2:5" ht="12.75">
      <c r="B28" s="19">
        <v>1</v>
      </c>
      <c r="C28" s="35" t="s">
        <v>49</v>
      </c>
      <c r="D28" s="36">
        <v>450</v>
      </c>
      <c r="E28" s="37"/>
    </row>
    <row r="29" spans="2:5" ht="12.75">
      <c r="B29" s="19">
        <v>1</v>
      </c>
      <c r="C29" s="35" t="s">
        <v>50</v>
      </c>
      <c r="D29" s="36">
        <v>380</v>
      </c>
      <c r="E29" s="37"/>
    </row>
    <row r="30" spans="2:5" ht="13.5" thickBot="1">
      <c r="B30" s="19">
        <v>1</v>
      </c>
      <c r="C30" s="35" t="s">
        <v>51</v>
      </c>
      <c r="D30" s="34">
        <v>220</v>
      </c>
      <c r="E30" s="37"/>
    </row>
    <row r="31" spans="3:10" s="12" customFormat="1" ht="13.5" thickTop="1">
      <c r="C31" s="38" t="s">
        <v>20</v>
      </c>
      <c r="D31" s="41"/>
      <c r="E31" s="42">
        <f>SUM(D22:D30)</f>
        <v>3420</v>
      </c>
      <c r="H31" s="11"/>
      <c r="I31" s="11"/>
      <c r="J31" s="11"/>
    </row>
    <row r="32" spans="3:10" s="12" customFormat="1" ht="12.75">
      <c r="C32" s="60" t="s">
        <v>54</v>
      </c>
      <c r="D32" s="61"/>
      <c r="E32" s="62"/>
      <c r="H32" s="11"/>
      <c r="I32" s="11"/>
      <c r="J32" s="11"/>
    </row>
    <row r="33" spans="2:5" ht="12.75">
      <c r="B33" s="19">
        <v>1</v>
      </c>
      <c r="C33" s="35" t="s">
        <v>52</v>
      </c>
      <c r="D33" s="36">
        <v>650</v>
      </c>
      <c r="E33" s="37"/>
    </row>
    <row r="34" spans="2:5" ht="13.5" thickBot="1">
      <c r="B34" s="19">
        <v>1</v>
      </c>
      <c r="C34" s="35" t="s">
        <v>53</v>
      </c>
      <c r="D34" s="34">
        <v>300</v>
      </c>
      <c r="E34" s="37"/>
    </row>
    <row r="35" spans="3:5" ht="14.25" thickBot="1" thickTop="1">
      <c r="C35" s="38" t="s">
        <v>20</v>
      </c>
      <c r="D35" s="36"/>
      <c r="E35" s="43">
        <f>SUM(D33:D34)</f>
        <v>950</v>
      </c>
    </row>
    <row r="36" spans="2:8" ht="13.5" thickTop="1">
      <c r="B36" s="19">
        <f>SUM(B6:B35)</f>
        <v>29</v>
      </c>
      <c r="C36" s="44" t="s">
        <v>55</v>
      </c>
      <c r="D36" s="45"/>
      <c r="E36" s="46">
        <f>SUM(E9+E21+E31+E35)</f>
        <v>11340</v>
      </c>
      <c r="G36" s="48">
        <f>E36*12</f>
        <v>136080</v>
      </c>
      <c r="H36" s="47" t="s">
        <v>235</v>
      </c>
    </row>
    <row r="39" spans="4:5" ht="12.75">
      <c r="D39" s="68" t="s">
        <v>65</v>
      </c>
      <c r="E39" s="69">
        <v>12</v>
      </c>
    </row>
    <row r="40" spans="4:5" ht="12.75">
      <c r="D40" s="68" t="s">
        <v>66</v>
      </c>
      <c r="E40" s="70">
        <f>E36*E39</f>
        <v>136080</v>
      </c>
    </row>
  </sheetData>
  <sheetProtection/>
  <mergeCells count="1">
    <mergeCell ref="C4:E5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6"/>
  </sheetPr>
  <dimension ref="B4:L30"/>
  <sheetViews>
    <sheetView workbookViewId="0" topLeftCell="A16">
      <selection activeCell="G31" sqref="G31"/>
    </sheetView>
  </sheetViews>
  <sheetFormatPr defaultColWidth="11.421875" defaultRowHeight="12.75"/>
  <cols>
    <col min="1" max="1" width="4.7109375" style="0" customWidth="1"/>
    <col min="2" max="2" width="7.421875" style="0" customWidth="1"/>
    <col min="3" max="3" width="12.8515625" style="0" customWidth="1"/>
    <col min="7" max="7" width="13.140625" style="0" customWidth="1"/>
  </cols>
  <sheetData>
    <row r="4" spans="2:6" s="12" customFormat="1" ht="12.75">
      <c r="B4" s="89" t="s">
        <v>109</v>
      </c>
      <c r="C4" s="235" t="s">
        <v>110</v>
      </c>
      <c r="D4" s="235"/>
      <c r="E4" s="235"/>
      <c r="F4" s="235"/>
    </row>
    <row r="5" spans="2:7" s="12" customFormat="1" ht="12.75">
      <c r="B5" s="89" t="s">
        <v>111</v>
      </c>
      <c r="C5" s="235" t="s">
        <v>112</v>
      </c>
      <c r="D5" s="236"/>
      <c r="E5" s="236"/>
      <c r="F5" s="236"/>
      <c r="G5" s="236"/>
    </row>
    <row r="6" spans="2:6" s="12" customFormat="1" ht="12.75">
      <c r="B6" s="12" t="s">
        <v>113</v>
      </c>
      <c r="C6" s="235" t="s">
        <v>114</v>
      </c>
      <c r="D6" s="235"/>
      <c r="E6" s="235"/>
      <c r="F6" s="235"/>
    </row>
    <row r="7" spans="2:6" s="12" customFormat="1" ht="12.75">
      <c r="B7" s="12" t="s">
        <v>115</v>
      </c>
      <c r="C7" s="235" t="s">
        <v>116</v>
      </c>
      <c r="D7" s="235"/>
      <c r="E7" s="235"/>
      <c r="F7" s="235"/>
    </row>
    <row r="11" spans="2:12" s="12" customFormat="1" ht="12.75">
      <c r="B11" s="213" t="s">
        <v>61</v>
      </c>
      <c r="C11" s="213"/>
      <c r="D11" s="213"/>
      <c r="F11" s="213" t="s">
        <v>62</v>
      </c>
      <c r="G11" s="213"/>
      <c r="H11" s="213"/>
      <c r="J11" s="213" t="s">
        <v>120</v>
      </c>
      <c r="K11" s="213"/>
      <c r="L11" s="213"/>
    </row>
    <row r="13" spans="2:11" ht="12.75">
      <c r="B13" s="89" t="s">
        <v>111</v>
      </c>
      <c r="C13" s="74">
        <f>C15*0.2</f>
        <v>16000</v>
      </c>
      <c r="F13" s="89" t="s">
        <v>111</v>
      </c>
      <c r="G13" s="74">
        <f>G15*0.1</f>
        <v>1365</v>
      </c>
      <c r="J13" s="89" t="s">
        <v>111</v>
      </c>
      <c r="K13" s="74">
        <f>K15*0.1</f>
        <v>516</v>
      </c>
    </row>
    <row r="14" spans="2:11" ht="12.75">
      <c r="B14" s="12" t="s">
        <v>113</v>
      </c>
      <c r="C14">
        <v>5</v>
      </c>
      <c r="F14" s="12" t="s">
        <v>113</v>
      </c>
      <c r="G14">
        <v>3</v>
      </c>
      <c r="J14" s="12" t="s">
        <v>113</v>
      </c>
      <c r="K14">
        <v>10</v>
      </c>
    </row>
    <row r="15" spans="2:11" ht="12.75">
      <c r="B15" s="12" t="s">
        <v>115</v>
      </c>
      <c r="C15" s="90">
        <v>80000</v>
      </c>
      <c r="F15" s="12" t="s">
        <v>115</v>
      </c>
      <c r="G15" s="90">
        <v>13650</v>
      </c>
      <c r="J15" s="12" t="s">
        <v>115</v>
      </c>
      <c r="K15" s="90">
        <f>2640+2520</f>
        <v>5160</v>
      </c>
    </row>
    <row r="16" spans="2:11" ht="12.75">
      <c r="B16" s="89" t="s">
        <v>109</v>
      </c>
      <c r="C16" s="90">
        <f>(C15-C13)/C14</f>
        <v>12800</v>
      </c>
      <c r="F16" s="89" t="s">
        <v>109</v>
      </c>
      <c r="G16" s="90">
        <f>(G15-G13)/G14</f>
        <v>4095</v>
      </c>
      <c r="J16" s="89" t="s">
        <v>109</v>
      </c>
      <c r="K16" s="90">
        <f>(K15-K13)/K14</f>
        <v>464.4</v>
      </c>
    </row>
    <row r="18" ht="13.5" thickBot="1"/>
    <row r="19" spans="2:12" s="95" customFormat="1" ht="39.75" thickBot="1" thickTop="1">
      <c r="B19" s="150" t="s">
        <v>117</v>
      </c>
      <c r="C19" s="151" t="s">
        <v>118</v>
      </c>
      <c r="D19" s="151" t="s">
        <v>100</v>
      </c>
      <c r="F19" s="150" t="s">
        <v>117</v>
      </c>
      <c r="G19" s="151" t="s">
        <v>118</v>
      </c>
      <c r="H19" s="151" t="s">
        <v>100</v>
      </c>
      <c r="J19" s="150" t="s">
        <v>117</v>
      </c>
      <c r="K19" s="151" t="s">
        <v>118</v>
      </c>
      <c r="L19" s="151" t="s">
        <v>100</v>
      </c>
    </row>
    <row r="20" spans="2:12" ht="16.5" thickBot="1" thickTop="1">
      <c r="B20" s="91">
        <v>0</v>
      </c>
      <c r="C20" s="92" t="s">
        <v>119</v>
      </c>
      <c r="D20" s="93">
        <f>C15</f>
        <v>80000</v>
      </c>
      <c r="F20" s="91">
        <v>0</v>
      </c>
      <c r="G20" s="92" t="s">
        <v>119</v>
      </c>
      <c r="H20" s="93">
        <f>G15</f>
        <v>13650</v>
      </c>
      <c r="J20" s="91">
        <v>0</v>
      </c>
      <c r="K20" s="92" t="s">
        <v>119</v>
      </c>
      <c r="L20" s="93">
        <f>K15</f>
        <v>5160</v>
      </c>
    </row>
    <row r="21" spans="2:12" ht="16.5" thickBot="1" thickTop="1">
      <c r="B21" s="91">
        <v>1</v>
      </c>
      <c r="C21" s="94">
        <f>C16</f>
        <v>12800</v>
      </c>
      <c r="D21" s="93">
        <f>D20-C21</f>
        <v>67200</v>
      </c>
      <c r="F21" s="91">
        <v>1</v>
      </c>
      <c r="G21" s="94">
        <f>G16</f>
        <v>4095</v>
      </c>
      <c r="H21" s="93">
        <f>H20-G21</f>
        <v>9555</v>
      </c>
      <c r="J21" s="91">
        <v>1</v>
      </c>
      <c r="K21" s="94">
        <f>K16</f>
        <v>464.4</v>
      </c>
      <c r="L21" s="93">
        <f>L20-K21</f>
        <v>4695.6</v>
      </c>
    </row>
    <row r="22" spans="2:12" ht="16.5" thickBot="1" thickTop="1">
      <c r="B22" s="91">
        <v>2</v>
      </c>
      <c r="C22" s="94">
        <f>C16</f>
        <v>12800</v>
      </c>
      <c r="D22" s="93">
        <f>D21-C22</f>
        <v>54400</v>
      </c>
      <c r="F22" s="91">
        <v>2</v>
      </c>
      <c r="G22" s="94">
        <f>G16</f>
        <v>4095</v>
      </c>
      <c r="H22" s="93">
        <f>H21-G22</f>
        <v>5460</v>
      </c>
      <c r="J22" s="91">
        <v>2</v>
      </c>
      <c r="K22" s="94">
        <f>K16</f>
        <v>464.4</v>
      </c>
      <c r="L22" s="93">
        <f aca="true" t="shared" si="0" ref="L22:L30">L21-K22</f>
        <v>4231.200000000001</v>
      </c>
    </row>
    <row r="23" spans="2:12" ht="16.5" thickBot="1" thickTop="1">
      <c r="B23" s="91">
        <v>3</v>
      </c>
      <c r="C23" s="94">
        <f>C16</f>
        <v>12800</v>
      </c>
      <c r="D23" s="93">
        <f>D22-C23</f>
        <v>41600</v>
      </c>
      <c r="F23" s="91">
        <v>3</v>
      </c>
      <c r="G23" s="94">
        <f>G16</f>
        <v>4095</v>
      </c>
      <c r="H23" s="93">
        <f>H22-G23</f>
        <v>1365</v>
      </c>
      <c r="J23" s="91">
        <v>3</v>
      </c>
      <c r="K23" s="94">
        <f>K16</f>
        <v>464.4</v>
      </c>
      <c r="L23" s="93">
        <f t="shared" si="0"/>
        <v>3766.8000000000006</v>
      </c>
    </row>
    <row r="24" spans="2:12" ht="16.5" thickBot="1" thickTop="1">
      <c r="B24" s="91">
        <v>4</v>
      </c>
      <c r="C24" s="94">
        <f>C16</f>
        <v>12800</v>
      </c>
      <c r="D24" s="93">
        <f>D23-C24</f>
        <v>28800</v>
      </c>
      <c r="J24" s="91">
        <v>4</v>
      </c>
      <c r="K24" s="94">
        <f>K16</f>
        <v>464.4</v>
      </c>
      <c r="L24" s="93">
        <f t="shared" si="0"/>
        <v>3302.4000000000005</v>
      </c>
    </row>
    <row r="25" spans="2:12" ht="16.5" thickBot="1" thickTop="1">
      <c r="B25" s="91">
        <v>5</v>
      </c>
      <c r="C25" s="94">
        <f>C16</f>
        <v>12800</v>
      </c>
      <c r="D25" s="93">
        <f>D24-C25</f>
        <v>16000</v>
      </c>
      <c r="J25" s="91">
        <v>5</v>
      </c>
      <c r="K25" s="94">
        <f>K16</f>
        <v>464.4</v>
      </c>
      <c r="L25" s="93">
        <f t="shared" si="0"/>
        <v>2838.0000000000005</v>
      </c>
    </row>
    <row r="26" spans="10:12" ht="16.5" thickBot="1" thickTop="1">
      <c r="J26" s="91">
        <v>6</v>
      </c>
      <c r="K26" s="94">
        <f>K16</f>
        <v>464.4</v>
      </c>
      <c r="L26" s="93">
        <f t="shared" si="0"/>
        <v>2373.6000000000004</v>
      </c>
    </row>
    <row r="27" spans="10:12" ht="16.5" thickBot="1" thickTop="1">
      <c r="J27" s="91">
        <v>7</v>
      </c>
      <c r="K27" s="94">
        <f>K16</f>
        <v>464.4</v>
      </c>
      <c r="L27" s="93">
        <f t="shared" si="0"/>
        <v>1909.2000000000003</v>
      </c>
    </row>
    <row r="28" spans="10:12" ht="16.5" thickBot="1" thickTop="1">
      <c r="J28" s="91">
        <v>8</v>
      </c>
      <c r="K28" s="94">
        <f>K16</f>
        <v>464.4</v>
      </c>
      <c r="L28" s="93">
        <f t="shared" si="0"/>
        <v>1444.8000000000002</v>
      </c>
    </row>
    <row r="29" spans="10:12" ht="16.5" thickBot="1" thickTop="1">
      <c r="J29" s="91">
        <v>9</v>
      </c>
      <c r="K29" s="94">
        <f>K16</f>
        <v>464.4</v>
      </c>
      <c r="L29" s="93">
        <f t="shared" si="0"/>
        <v>980.4000000000002</v>
      </c>
    </row>
    <row r="30" spans="10:12" ht="16.5" thickBot="1" thickTop="1">
      <c r="J30" s="91">
        <v>10</v>
      </c>
      <c r="K30" s="94">
        <f>K16</f>
        <v>464.4</v>
      </c>
      <c r="L30" s="93">
        <f t="shared" si="0"/>
        <v>516.0000000000002</v>
      </c>
    </row>
    <row r="31" ht="13.5" thickTop="1"/>
  </sheetData>
  <mergeCells count="7">
    <mergeCell ref="B11:D11"/>
    <mergeCell ref="F11:H11"/>
    <mergeCell ref="J11:L11"/>
    <mergeCell ref="C4:F4"/>
    <mergeCell ref="C6:F6"/>
    <mergeCell ref="C7:F7"/>
    <mergeCell ref="C5:G5"/>
  </mergeCells>
  <printOptions/>
  <pageMargins left="0.75" right="0.75" top="1" bottom="1" header="0" footer="0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B3:F21"/>
  <sheetViews>
    <sheetView workbookViewId="0" topLeftCell="A1">
      <selection activeCell="F13" sqref="F13"/>
    </sheetView>
  </sheetViews>
  <sheetFormatPr defaultColWidth="11.421875" defaultRowHeight="12.75"/>
  <cols>
    <col min="1" max="1" width="6.7109375" style="0" customWidth="1"/>
    <col min="2" max="2" width="31.421875" style="0" customWidth="1"/>
    <col min="3" max="3" width="15.421875" style="90" bestFit="1" customWidth="1"/>
    <col min="4" max="4" width="15.140625" style="0" customWidth="1"/>
    <col min="5" max="6" width="11.8515625" style="0" bestFit="1" customWidth="1"/>
  </cols>
  <sheetData>
    <row r="3" spans="2:4" ht="15.75">
      <c r="B3" s="237" t="s">
        <v>122</v>
      </c>
      <c r="C3" s="237"/>
      <c r="D3" s="237"/>
    </row>
    <row r="4" spans="2:4" ht="15.75">
      <c r="B4" s="237" t="s">
        <v>121</v>
      </c>
      <c r="C4" s="237"/>
      <c r="D4" s="237"/>
    </row>
    <row r="6" spans="2:4" s="12" customFormat="1" ht="12.75">
      <c r="B6" s="12" t="s">
        <v>101</v>
      </c>
      <c r="C6" s="67"/>
      <c r="D6" s="33">
        <f>C7+C8</f>
        <v>4005828.3915</v>
      </c>
    </row>
    <row r="7" spans="2:3" ht="12.75">
      <c r="B7" t="s">
        <v>195</v>
      </c>
      <c r="C7" s="98">
        <f>DEMANDA_INGRESO!C48</f>
        <v>2077096.2029999997</v>
      </c>
    </row>
    <row r="8" spans="2:3" ht="13.5" thickBot="1">
      <c r="B8" t="s">
        <v>196</v>
      </c>
      <c r="C8" s="152">
        <f>DEMANDA_INGRESO!D48</f>
        <v>1928732.1885</v>
      </c>
    </row>
    <row r="9" spans="2:4" s="12" customFormat="1" ht="14.25" thickBot="1" thickTop="1">
      <c r="B9" s="12" t="s">
        <v>76</v>
      </c>
      <c r="C9" s="67"/>
      <c r="D9" s="34">
        <f>DEMANDA_INGRESO!C49+DEMANDA_INGRESO!D49</f>
        <v>3489521.6210399996</v>
      </c>
    </row>
    <row r="10" spans="2:4" ht="13.5" thickTop="1">
      <c r="B10" s="12" t="s">
        <v>123</v>
      </c>
      <c r="D10" s="67">
        <f>D6-D9</f>
        <v>516306.77046000026</v>
      </c>
    </row>
    <row r="12" spans="2:4" ht="12.75">
      <c r="B12" s="12" t="s">
        <v>124</v>
      </c>
      <c r="D12" s="154">
        <f>SUM(C13:C16)</f>
        <v>312799.4</v>
      </c>
    </row>
    <row r="13" spans="2:3" ht="12.75">
      <c r="B13" t="s">
        <v>125</v>
      </c>
      <c r="C13" s="90">
        <f>COSTOS!D42-COSTOS!D41</f>
        <v>230280</v>
      </c>
    </row>
    <row r="14" spans="2:3" ht="12.75">
      <c r="B14" t="s">
        <v>126</v>
      </c>
      <c r="C14" s="90">
        <f>COSTOS!D41</f>
        <v>60000</v>
      </c>
    </row>
    <row r="15" spans="2:3" ht="12.75">
      <c r="B15" t="s">
        <v>128</v>
      </c>
      <c r="C15" s="90">
        <f>COSTOS!C18</f>
        <v>5160</v>
      </c>
    </row>
    <row r="16" spans="2:3" ht="13.5" thickBot="1">
      <c r="B16" t="s">
        <v>127</v>
      </c>
      <c r="C16" s="152">
        <f>Depreciaciones!C16+Depreciaciones!G16+Depreciaciones!K16</f>
        <v>17359.4</v>
      </c>
    </row>
    <row r="17" spans="2:4" ht="13.5" thickTop="1">
      <c r="B17" s="12" t="s">
        <v>129</v>
      </c>
      <c r="D17" s="96">
        <f>D10-D12</f>
        <v>203507.37046000024</v>
      </c>
    </row>
    <row r="18" spans="2:6" ht="13.5" thickBot="1">
      <c r="B18" t="s">
        <v>133</v>
      </c>
      <c r="D18" s="153">
        <f>D17*0.15</f>
        <v>30526.105569000036</v>
      </c>
      <c r="E18" s="74"/>
      <c r="F18" s="74"/>
    </row>
    <row r="19" spans="2:4" s="12" customFormat="1" ht="13.5" thickTop="1">
      <c r="B19" s="12" t="s">
        <v>130</v>
      </c>
      <c r="C19" s="67"/>
      <c r="D19" s="96">
        <f>D17-D18</f>
        <v>172981.2648910002</v>
      </c>
    </row>
    <row r="20" spans="2:4" ht="13.5" thickBot="1">
      <c r="B20" t="s">
        <v>131</v>
      </c>
      <c r="D20" s="153">
        <f>D19*0.25</f>
        <v>43245.31622275005</v>
      </c>
    </row>
    <row r="21" spans="2:4" s="12" customFormat="1" ht="13.5" thickTop="1">
      <c r="B21" s="12" t="s">
        <v>132</v>
      </c>
      <c r="C21" s="67"/>
      <c r="D21" s="96">
        <f>D19-D20</f>
        <v>129735.94866825014</v>
      </c>
    </row>
  </sheetData>
  <mergeCells count="2">
    <mergeCell ref="B3:D3"/>
    <mergeCell ref="B4:D4"/>
  </mergeCells>
  <printOptions/>
  <pageMargins left="0.75" right="0.75" top="1" bottom="1" header="0" footer="0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2:H44"/>
  <sheetViews>
    <sheetView workbookViewId="0" topLeftCell="A16">
      <selection activeCell="B20" sqref="B20"/>
    </sheetView>
  </sheetViews>
  <sheetFormatPr defaultColWidth="11.421875" defaultRowHeight="12.75"/>
  <cols>
    <col min="1" max="1" width="4.28125" style="0" customWidth="1"/>
    <col min="2" max="2" width="32.7109375" style="0" customWidth="1"/>
    <col min="3" max="3" width="13.7109375" style="0" customWidth="1"/>
    <col min="4" max="8" width="15.8515625" style="0" customWidth="1"/>
  </cols>
  <sheetData>
    <row r="2" spans="2:8" ht="12.75">
      <c r="B2" s="213" t="s">
        <v>199</v>
      </c>
      <c r="C2" s="213"/>
      <c r="D2" s="213"/>
      <c r="E2" s="213"/>
      <c r="F2" s="213"/>
      <c r="G2" s="213"/>
      <c r="H2" s="213"/>
    </row>
    <row r="3" spans="2:8" ht="12.75">
      <c r="B3" s="213" t="s">
        <v>200</v>
      </c>
      <c r="C3" s="213"/>
      <c r="D3" s="213"/>
      <c r="E3" s="213"/>
      <c r="F3" s="213"/>
      <c r="G3" s="213"/>
      <c r="H3" s="213"/>
    </row>
    <row r="5" spans="2:8" s="12" customFormat="1" ht="12.75">
      <c r="B5" s="117"/>
      <c r="C5" s="20" t="s">
        <v>135</v>
      </c>
      <c r="D5" s="20" t="s">
        <v>136</v>
      </c>
      <c r="E5" s="20" t="s">
        <v>137</v>
      </c>
      <c r="F5" s="20" t="s">
        <v>138</v>
      </c>
      <c r="G5" s="20" t="s">
        <v>139</v>
      </c>
      <c r="H5" s="20" t="s">
        <v>140</v>
      </c>
    </row>
    <row r="6" spans="2:8" ht="12.75">
      <c r="B6" s="84" t="s">
        <v>134</v>
      </c>
      <c r="C6" s="82"/>
      <c r="D6" s="109">
        <f>'Estado PyG'!D6</f>
        <v>4005828.3915</v>
      </c>
      <c r="E6" s="111">
        <f aca="true" t="shared" si="0" ref="E6:H7">D6*(1+(2/100))</f>
        <v>4085944.95933</v>
      </c>
      <c r="F6" s="111">
        <f t="shared" si="0"/>
        <v>4167663.8585166</v>
      </c>
      <c r="G6" s="111">
        <f t="shared" si="0"/>
        <v>4251017.135686932</v>
      </c>
      <c r="H6" s="113">
        <f t="shared" si="0"/>
        <v>4336037.478400671</v>
      </c>
    </row>
    <row r="7" spans="2:8" ht="12.75">
      <c r="B7" s="84" t="s">
        <v>141</v>
      </c>
      <c r="C7" s="82"/>
      <c r="D7" s="109">
        <f>COSTOS!C7</f>
        <v>3489521.6210399996</v>
      </c>
      <c r="E7" s="111">
        <f t="shared" si="0"/>
        <v>3559312.0534607996</v>
      </c>
      <c r="F7" s="111">
        <f t="shared" si="0"/>
        <v>3630498.294530016</v>
      </c>
      <c r="G7" s="111">
        <f t="shared" si="0"/>
        <v>3703108.2604206163</v>
      </c>
      <c r="H7" s="113">
        <f t="shared" si="0"/>
        <v>3777170.4256290286</v>
      </c>
    </row>
    <row r="8" spans="2:8" s="12" customFormat="1" ht="12.75">
      <c r="B8" s="106" t="s">
        <v>142</v>
      </c>
      <c r="C8" s="108"/>
      <c r="D8" s="110">
        <f>D6-D7</f>
        <v>516306.77046000026</v>
      </c>
      <c r="E8" s="110">
        <f>E6-E7</f>
        <v>526632.9058692004</v>
      </c>
      <c r="F8" s="110">
        <f>F6-F7</f>
        <v>537165.5639865841</v>
      </c>
      <c r="G8" s="110">
        <f>G6-G7</f>
        <v>547908.8752663159</v>
      </c>
      <c r="H8" s="114">
        <f>H6-H7</f>
        <v>558867.0527716423</v>
      </c>
    </row>
    <row r="9" spans="2:8" ht="12.75">
      <c r="B9" s="84" t="s">
        <v>143</v>
      </c>
      <c r="C9" s="82"/>
      <c r="D9" s="82"/>
      <c r="E9" s="82"/>
      <c r="F9" s="82"/>
      <c r="G9" s="82"/>
      <c r="H9" s="84"/>
    </row>
    <row r="10" spans="2:8" ht="12.75">
      <c r="B10" s="84" t="s">
        <v>125</v>
      </c>
      <c r="C10" s="82"/>
      <c r="D10" s="109">
        <f>'Estado PyG'!C13</f>
        <v>230280</v>
      </c>
      <c r="E10" s="109">
        <f>$D$10</f>
        <v>230280</v>
      </c>
      <c r="F10" s="109">
        <f>$D$10</f>
        <v>230280</v>
      </c>
      <c r="G10" s="109">
        <f>$D$10</f>
        <v>230280</v>
      </c>
      <c r="H10" s="107">
        <f>$D$10</f>
        <v>230280</v>
      </c>
    </row>
    <row r="11" spans="2:8" ht="12.75">
      <c r="B11" s="84" t="s">
        <v>126</v>
      </c>
      <c r="C11" s="82"/>
      <c r="D11" s="109">
        <f>COSTOS!D41</f>
        <v>60000</v>
      </c>
      <c r="E11" s="109">
        <f>D11*1.08</f>
        <v>64800.00000000001</v>
      </c>
      <c r="F11" s="109">
        <f>E11*1.08</f>
        <v>69984.00000000001</v>
      </c>
      <c r="G11" s="109">
        <f>F11*1.08</f>
        <v>75582.72000000002</v>
      </c>
      <c r="H11" s="107">
        <f>G11*1.08</f>
        <v>81629.33760000003</v>
      </c>
    </row>
    <row r="12" spans="2:8" ht="12.75">
      <c r="B12" s="84" t="s">
        <v>128</v>
      </c>
      <c r="C12" s="82"/>
      <c r="D12" s="109">
        <f>COSTOS!F14*COSTOS!F12</f>
        <v>5160</v>
      </c>
      <c r="E12" s="109">
        <f>COSTOS!G12*COSTOS!$F$14</f>
        <v>5263.2</v>
      </c>
      <c r="F12" s="109">
        <f>COSTOS!H12*COSTOS!$F$14</f>
        <v>5368.464</v>
      </c>
      <c r="G12" s="109">
        <f>COSTOS!I12*COSTOS!$F$14</f>
        <v>5475.833280000001</v>
      </c>
      <c r="H12" s="107">
        <f>COSTOS!J12*COSTOS!$F$14</f>
        <v>5585.349945600001</v>
      </c>
    </row>
    <row r="13" spans="2:8" ht="12.75">
      <c r="B13" s="84" t="s">
        <v>127</v>
      </c>
      <c r="C13" s="82"/>
      <c r="D13" s="109">
        <f>Depreciaciones!C16+Depreciaciones!G16+Depreciaciones!K16</f>
        <v>17359.4</v>
      </c>
      <c r="E13" s="109">
        <f>D13</f>
        <v>17359.4</v>
      </c>
      <c r="F13" s="109">
        <f>E13</f>
        <v>17359.4</v>
      </c>
      <c r="G13" s="112">
        <f>Depreciaciones!C16+Depreciaciones!K16</f>
        <v>13264.4</v>
      </c>
      <c r="H13" s="115">
        <f>G13</f>
        <v>13264.4</v>
      </c>
    </row>
    <row r="14" spans="2:8" s="12" customFormat="1" ht="12.75">
      <c r="B14" s="106" t="s">
        <v>145</v>
      </c>
      <c r="C14" s="108"/>
      <c r="D14" s="110">
        <f>D8-(D10+D11+D12+D13)</f>
        <v>203507.37046000024</v>
      </c>
      <c r="E14" s="110">
        <f>E8-(E10+E11+E12+E13)</f>
        <v>208930.30586920033</v>
      </c>
      <c r="F14" s="110">
        <f>F8-(F10+F11+F12+F13)</f>
        <v>214173.69998658408</v>
      </c>
      <c r="G14" s="110">
        <f>G8-(G10+G11+G12+G13)</f>
        <v>223305.9219863158</v>
      </c>
      <c r="H14" s="114">
        <f>H8-(H10+H11+H12+H13)</f>
        <v>228107.96522604226</v>
      </c>
    </row>
    <row r="15" spans="2:8" ht="12.75">
      <c r="B15" s="84" t="s">
        <v>146</v>
      </c>
      <c r="C15" s="82"/>
      <c r="D15" s="111">
        <f>D14*0.15</f>
        <v>30526.105569000036</v>
      </c>
      <c r="E15" s="111">
        <f>E14*0.15</f>
        <v>31339.545880380047</v>
      </c>
      <c r="F15" s="111">
        <f>F14*0.15</f>
        <v>32126.05499798761</v>
      </c>
      <c r="G15" s="111">
        <f>G14*0.15</f>
        <v>33495.88829794737</v>
      </c>
      <c r="H15" s="113">
        <f>H14*0.15</f>
        <v>34216.194783906336</v>
      </c>
    </row>
    <row r="16" spans="2:8" s="12" customFormat="1" ht="12.75">
      <c r="B16" s="106" t="s">
        <v>147</v>
      </c>
      <c r="C16" s="108"/>
      <c r="D16" s="110">
        <f>D14-D15</f>
        <v>172981.2648910002</v>
      </c>
      <c r="E16" s="110">
        <f>E14-E15</f>
        <v>177590.75998882027</v>
      </c>
      <c r="F16" s="110">
        <f>F14-F15</f>
        <v>182047.64498859647</v>
      </c>
      <c r="G16" s="110">
        <f>G14-G15</f>
        <v>189810.03368836845</v>
      </c>
      <c r="H16" s="114">
        <f>H14-H15</f>
        <v>193891.77044213592</v>
      </c>
    </row>
    <row r="17" spans="2:8" ht="12.75">
      <c r="B17" s="84" t="s">
        <v>148</v>
      </c>
      <c r="C17" s="82"/>
      <c r="D17" s="111">
        <f>D16*0.25</f>
        <v>43245.31622275005</v>
      </c>
      <c r="E17" s="111">
        <f>E16*0.25</f>
        <v>44397.68999720507</v>
      </c>
      <c r="F17" s="111">
        <f>F16*0.25</f>
        <v>45511.91124714912</v>
      </c>
      <c r="G17" s="111">
        <f>G16*0.25</f>
        <v>47452.50842209211</v>
      </c>
      <c r="H17" s="113">
        <f>H16*0.25</f>
        <v>48472.94261053398</v>
      </c>
    </row>
    <row r="18" spans="2:8" s="12" customFormat="1" ht="12.75">
      <c r="B18" s="106" t="s">
        <v>149</v>
      </c>
      <c r="C18" s="108"/>
      <c r="D18" s="110">
        <f>D16-D17</f>
        <v>129735.94866825014</v>
      </c>
      <c r="E18" s="110">
        <f>E16-E17</f>
        <v>133193.0699916152</v>
      </c>
      <c r="F18" s="110">
        <f>F16-F17</f>
        <v>136535.73374144736</v>
      </c>
      <c r="G18" s="110">
        <f>G16-G17</f>
        <v>142357.52526627632</v>
      </c>
      <c r="H18" s="114">
        <f>H16-H17</f>
        <v>145418.82783160196</v>
      </c>
    </row>
    <row r="19" spans="2:8" ht="12.75">
      <c r="B19" s="84" t="s">
        <v>127</v>
      </c>
      <c r="C19" s="82"/>
      <c r="D19" s="111">
        <f>D13</f>
        <v>17359.4</v>
      </c>
      <c r="E19" s="111">
        <f>E13</f>
        <v>17359.4</v>
      </c>
      <c r="F19" s="111">
        <f>F13</f>
        <v>17359.4</v>
      </c>
      <c r="G19" s="111">
        <f>G13</f>
        <v>13264.4</v>
      </c>
      <c r="H19" s="113">
        <f>H13</f>
        <v>13264.4</v>
      </c>
    </row>
    <row r="20" spans="2:8" ht="12.75">
      <c r="B20" s="116" t="s">
        <v>221</v>
      </c>
      <c r="C20" s="109">
        <f>-BRANDING!E49</f>
        <v>-65818.2</v>
      </c>
      <c r="D20" s="82"/>
      <c r="E20" s="82"/>
      <c r="F20" s="82"/>
      <c r="G20" s="82"/>
      <c r="H20" s="84"/>
    </row>
    <row r="21" spans="2:8" ht="12.75">
      <c r="B21" s="84" t="s">
        <v>150</v>
      </c>
      <c r="C21" s="109">
        <f>-COSTOS!E31</f>
        <v>-109210</v>
      </c>
      <c r="D21" s="82"/>
      <c r="E21" s="82"/>
      <c r="F21" s="82"/>
      <c r="G21" s="82"/>
      <c r="H21" s="84"/>
    </row>
    <row r="22" spans="2:8" s="12" customFormat="1" ht="12.75">
      <c r="B22" s="155" t="s">
        <v>151</v>
      </c>
      <c r="C22" s="156">
        <f aca="true" t="shared" si="1" ref="C22:H22">SUM(C18:C21)</f>
        <v>-175028.2</v>
      </c>
      <c r="D22" s="156">
        <f t="shared" si="1"/>
        <v>147095.34866825014</v>
      </c>
      <c r="E22" s="156">
        <f t="shared" si="1"/>
        <v>150552.4699916152</v>
      </c>
      <c r="F22" s="156">
        <f t="shared" si="1"/>
        <v>153895.13374144735</v>
      </c>
      <c r="G22" s="156">
        <f t="shared" si="1"/>
        <v>155621.92526627632</v>
      </c>
      <c r="H22" s="157">
        <f t="shared" si="1"/>
        <v>158683.22783160195</v>
      </c>
    </row>
    <row r="23" spans="2:8" ht="12.75">
      <c r="B23" s="158" t="s">
        <v>152</v>
      </c>
      <c r="C23" s="159">
        <f>IRR(C22:H22)</f>
        <v>0.8142388200225322</v>
      </c>
      <c r="D23" s="1"/>
      <c r="E23" s="1"/>
      <c r="F23" s="1"/>
      <c r="G23" s="1"/>
      <c r="H23" s="1"/>
    </row>
    <row r="24" spans="2:8" ht="12.75">
      <c r="B24" s="84" t="s">
        <v>153</v>
      </c>
      <c r="C24" s="160">
        <f>NPV(C25,C22:H22)</f>
        <v>226859.55084028337</v>
      </c>
      <c r="D24" s="1"/>
      <c r="E24" s="1"/>
      <c r="F24" s="1"/>
      <c r="G24" s="1"/>
      <c r="H24" s="1"/>
    </row>
    <row r="25" spans="2:8" ht="12.75">
      <c r="B25" s="88" t="s">
        <v>154</v>
      </c>
      <c r="C25" s="161">
        <f>D37</f>
        <v>0.20629999999999998</v>
      </c>
      <c r="D25" s="1"/>
      <c r="E25" s="1"/>
      <c r="F25" s="1"/>
      <c r="G25" s="1"/>
      <c r="H25" s="1"/>
    </row>
    <row r="26" spans="5:6" ht="12.75">
      <c r="E26" s="1"/>
      <c r="F26" s="1"/>
    </row>
    <row r="28" spans="5:7" ht="12.75">
      <c r="E28" s="98"/>
      <c r="F28" s="1"/>
      <c r="G28" s="1"/>
    </row>
    <row r="29" spans="5:7" ht="12.75">
      <c r="E29" s="98"/>
      <c r="F29" s="1"/>
      <c r="G29" s="1"/>
    </row>
    <row r="30" spans="2:7" ht="12.75">
      <c r="B30" s="12"/>
      <c r="E30" s="98"/>
      <c r="F30" s="41"/>
      <c r="G30" s="1"/>
    </row>
    <row r="31" spans="2:7" ht="12.75">
      <c r="B31" s="118">
        <v>4.79</v>
      </c>
      <c r="C31" t="s">
        <v>160</v>
      </c>
      <c r="D31" t="s">
        <v>156</v>
      </c>
      <c r="E31" s="98"/>
      <c r="F31" s="1"/>
      <c r="G31" s="1"/>
    </row>
    <row r="32" spans="2:7" ht="12.75">
      <c r="B32" s="12">
        <v>1</v>
      </c>
      <c r="C32" t="s">
        <v>161</v>
      </c>
      <c r="D32" t="s">
        <v>157</v>
      </c>
      <c r="E32" s="98"/>
      <c r="F32" s="1"/>
      <c r="G32" s="1"/>
    </row>
    <row r="33" spans="2:7" ht="12.75">
      <c r="B33">
        <f>B35+B31</f>
        <v>13.989999999999998</v>
      </c>
      <c r="C33" t="s">
        <v>162</v>
      </c>
      <c r="D33" t="s">
        <v>158</v>
      </c>
      <c r="E33" s="1"/>
      <c r="F33" s="1"/>
      <c r="G33" s="1"/>
    </row>
    <row r="34" spans="2:7" ht="12.75">
      <c r="B34">
        <v>6.64</v>
      </c>
      <c r="C34" t="s">
        <v>163</v>
      </c>
      <c r="D34" t="s">
        <v>159</v>
      </c>
      <c r="E34" s="1"/>
      <c r="F34" s="1"/>
      <c r="G34" s="1"/>
    </row>
    <row r="35" spans="2:7" ht="12.75">
      <c r="B35">
        <v>9.2</v>
      </c>
      <c r="C35" t="s">
        <v>164</v>
      </c>
      <c r="D35" t="s">
        <v>165</v>
      </c>
      <c r="E35" s="1"/>
      <c r="F35" s="1"/>
      <c r="G35" s="1"/>
    </row>
    <row r="36" spans="5:7" ht="12.75">
      <c r="E36" s="1"/>
      <c r="F36" s="1"/>
      <c r="G36" s="1"/>
    </row>
    <row r="37" spans="2:7" ht="12.75">
      <c r="B37" s="12"/>
      <c r="C37" t="s">
        <v>155</v>
      </c>
      <c r="D37" s="119">
        <f>(B31+B32*(B33-B31)+B34)/100</f>
        <v>0.20629999999999998</v>
      </c>
      <c r="E37" s="98"/>
      <c r="F37" s="102"/>
      <c r="G37" s="1"/>
    </row>
    <row r="38" spans="5:7" ht="12.75">
      <c r="E38" s="98"/>
      <c r="F38" s="1"/>
      <c r="G38" s="1"/>
    </row>
    <row r="39" spans="2:7" ht="12.75">
      <c r="B39" s="12"/>
      <c r="E39" s="98"/>
      <c r="F39" s="102"/>
      <c r="G39" s="1"/>
    </row>
    <row r="40" spans="5:8" ht="12.75">
      <c r="E40" s="98"/>
      <c r="F40" s="103"/>
      <c r="G40" s="103"/>
      <c r="H40" s="74"/>
    </row>
    <row r="41" spans="5:7" s="12" customFormat="1" ht="12.75">
      <c r="E41" s="41"/>
      <c r="F41" s="102"/>
      <c r="G41" s="101"/>
    </row>
    <row r="42" spans="5:7" ht="12.75">
      <c r="E42" s="98"/>
      <c r="F42" s="103"/>
      <c r="G42" s="1"/>
    </row>
    <row r="43" spans="5:7" s="12" customFormat="1" ht="12.75">
      <c r="E43" s="41"/>
      <c r="F43" s="102"/>
      <c r="G43" s="101"/>
    </row>
    <row r="44" spans="5:7" ht="12.75">
      <c r="E44" s="98"/>
      <c r="F44" s="1"/>
      <c r="G44" s="1"/>
    </row>
  </sheetData>
  <mergeCells count="2">
    <mergeCell ref="B2:H2"/>
    <mergeCell ref="B3:H3"/>
  </mergeCells>
  <printOptions/>
  <pageMargins left="0.75" right="0.75" top="1" bottom="1" header="0" footer="0"/>
  <pageSetup fitToHeight="1" fitToWidth="1" horizontalDpi="120" verticalDpi="120" orientation="landscape" paperSize="9" scale="96" r:id="rId5"/>
  <legacyDrawing r:id="rId4"/>
  <oleObjects>
    <oleObject progId="Equation.3" shapeId="941282" r:id="rId2"/>
    <oleObject progId="Equation.3" shapeId="955288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B2:H118"/>
  <sheetViews>
    <sheetView workbookViewId="0" topLeftCell="A1">
      <pane ySplit="8" topLeftCell="BM9" activePane="bottomLeft" state="frozen"/>
      <selection pane="topLeft" activeCell="A1" sqref="A1"/>
      <selection pane="bottomLeft" activeCell="B118" sqref="B118"/>
    </sheetView>
  </sheetViews>
  <sheetFormatPr defaultColWidth="11.421875" defaultRowHeight="12.75"/>
  <cols>
    <col min="1" max="1" width="4.28125" style="0" customWidth="1"/>
    <col min="2" max="2" width="32.7109375" style="0" customWidth="1"/>
    <col min="3" max="3" width="13.7109375" style="0" customWidth="1"/>
    <col min="4" max="8" width="15.8515625" style="0" customWidth="1"/>
  </cols>
  <sheetData>
    <row r="2" ht="12.75">
      <c r="B2" t="s">
        <v>201</v>
      </c>
    </row>
    <row r="3" spans="3:7" ht="12.75">
      <c r="C3" s="20" t="s">
        <v>202</v>
      </c>
      <c r="D3" s="20" t="s">
        <v>203</v>
      </c>
      <c r="E3" s="20" t="s">
        <v>204</v>
      </c>
      <c r="F3" s="20" t="s">
        <v>206</v>
      </c>
      <c r="G3" s="171"/>
    </row>
    <row r="4" spans="2:6" ht="12.75">
      <c r="B4" s="12" t="s">
        <v>205</v>
      </c>
      <c r="C4" s="3">
        <f>DEMANDA_INGRESO!C21</f>
        <v>1186912.116</v>
      </c>
      <c r="D4" s="141">
        <f>DEMANDA_INGRESO!C35</f>
        <v>3.5</v>
      </c>
      <c r="E4" s="141">
        <f>DEMANDA_INGRESO!C34</f>
        <v>3.25</v>
      </c>
      <c r="F4" s="141">
        <f>DEMANDA_INGRESO!C33</f>
        <v>2.94</v>
      </c>
    </row>
    <row r="5" spans="2:6" ht="12.75">
      <c r="B5" s="168" t="s">
        <v>207</v>
      </c>
      <c r="C5" s="169">
        <f>C4*0.8</f>
        <v>949529.6928</v>
      </c>
      <c r="D5" s="141">
        <f>D4</f>
        <v>3.5</v>
      </c>
      <c r="E5" s="141">
        <f>E4</f>
        <v>3.25</v>
      </c>
      <c r="F5" s="141">
        <f>F4</f>
        <v>2.94</v>
      </c>
    </row>
    <row r="6" spans="2:6" ht="12.75">
      <c r="B6" s="168" t="s">
        <v>211</v>
      </c>
      <c r="C6" s="3">
        <f>C4</f>
        <v>1186912.116</v>
      </c>
      <c r="D6" s="170">
        <f>D5*0.95</f>
        <v>3.3249999999999997</v>
      </c>
      <c r="E6" s="170">
        <f>E5*0.95</f>
        <v>3.0875</v>
      </c>
      <c r="F6" s="141">
        <f>F5</f>
        <v>2.94</v>
      </c>
    </row>
    <row r="7" spans="2:6" ht="12.75">
      <c r="B7" s="168" t="s">
        <v>209</v>
      </c>
      <c r="C7" s="3">
        <f>C4</f>
        <v>1186912.116</v>
      </c>
      <c r="D7" s="141">
        <f>D4</f>
        <v>3.5</v>
      </c>
      <c r="E7" s="141">
        <f>E4</f>
        <v>3.25</v>
      </c>
      <c r="F7" s="141">
        <f>F4</f>
        <v>2.94</v>
      </c>
    </row>
    <row r="11" s="12" customFormat="1" ht="12.75">
      <c r="B11" s="12" t="s">
        <v>208</v>
      </c>
    </row>
    <row r="12" s="12" customFormat="1" ht="12.75"/>
    <row r="14" spans="2:8" ht="12.75">
      <c r="B14" s="213" t="s">
        <v>199</v>
      </c>
      <c r="C14" s="213"/>
      <c r="D14" s="213"/>
      <c r="E14" s="213"/>
      <c r="F14" s="213"/>
      <c r="G14" s="213"/>
      <c r="H14" s="213"/>
    </row>
    <row r="15" spans="2:8" ht="12.75">
      <c r="B15" s="213" t="s">
        <v>200</v>
      </c>
      <c r="C15" s="213"/>
      <c r="D15" s="213"/>
      <c r="E15" s="213"/>
      <c r="F15" s="213"/>
      <c r="G15" s="213"/>
      <c r="H15" s="213"/>
    </row>
    <row r="17" spans="2:8" s="12" customFormat="1" ht="12.75">
      <c r="B17" s="117"/>
      <c r="C17" s="20" t="s">
        <v>135</v>
      </c>
      <c r="D17" s="20" t="s">
        <v>136</v>
      </c>
      <c r="E17" s="20" t="s">
        <v>137</v>
      </c>
      <c r="F17" s="20" t="s">
        <v>138</v>
      </c>
      <c r="G17" s="20" t="s">
        <v>139</v>
      </c>
      <c r="H17" s="20" t="s">
        <v>140</v>
      </c>
    </row>
    <row r="18" spans="2:8" ht="12.75">
      <c r="B18" s="84" t="s">
        <v>134</v>
      </c>
      <c r="C18" s="82"/>
      <c r="D18" s="162">
        <f>(C5*0.5*D5)+(C5*0.5*E5)</f>
        <v>3204662.7132</v>
      </c>
      <c r="E18" s="111">
        <f aca="true" t="shared" si="0" ref="E18:H19">D18*(1+(2/100))</f>
        <v>3268755.967464</v>
      </c>
      <c r="F18" s="111">
        <f t="shared" si="0"/>
        <v>3334131.08681328</v>
      </c>
      <c r="G18" s="111">
        <f t="shared" si="0"/>
        <v>3400813.7085495456</v>
      </c>
      <c r="H18" s="113">
        <f t="shared" si="0"/>
        <v>3468829.9827205366</v>
      </c>
    </row>
    <row r="19" spans="2:8" ht="12.75">
      <c r="B19" s="84" t="s">
        <v>141</v>
      </c>
      <c r="C19" s="82"/>
      <c r="D19" s="162">
        <f>C5*F5</f>
        <v>2791617.296832</v>
      </c>
      <c r="E19" s="111">
        <f t="shared" si="0"/>
        <v>2847449.64276864</v>
      </c>
      <c r="F19" s="111">
        <f t="shared" si="0"/>
        <v>2904398.635624013</v>
      </c>
      <c r="G19" s="111">
        <f t="shared" si="0"/>
        <v>2962486.6083364934</v>
      </c>
      <c r="H19" s="113">
        <f t="shared" si="0"/>
        <v>3021736.3405032232</v>
      </c>
    </row>
    <row r="20" spans="2:8" s="12" customFormat="1" ht="12.75">
      <c r="B20" s="106" t="s">
        <v>142</v>
      </c>
      <c r="C20" s="108"/>
      <c r="D20" s="110">
        <f>D18-D19</f>
        <v>413045.4163680002</v>
      </c>
      <c r="E20" s="110">
        <f>E18-E19</f>
        <v>421306.3246953599</v>
      </c>
      <c r="F20" s="110">
        <f>F18-F19</f>
        <v>429732.451189267</v>
      </c>
      <c r="G20" s="110">
        <f>G18-G19</f>
        <v>438327.10021305224</v>
      </c>
      <c r="H20" s="114">
        <f>H18-H19</f>
        <v>447093.6422173134</v>
      </c>
    </row>
    <row r="21" spans="2:8" ht="12.75">
      <c r="B21" s="84" t="s">
        <v>143</v>
      </c>
      <c r="C21" s="82"/>
      <c r="D21" s="82"/>
      <c r="E21" s="82"/>
      <c r="F21" s="82"/>
      <c r="G21" s="82"/>
      <c r="H21" s="84"/>
    </row>
    <row r="22" spans="2:8" ht="12.75">
      <c r="B22" s="84" t="s">
        <v>125</v>
      </c>
      <c r="C22" s="82"/>
      <c r="D22" s="162">
        <f>'Estado PyG'!C13</f>
        <v>230280</v>
      </c>
      <c r="E22" s="162">
        <f>$D$22</f>
        <v>230280</v>
      </c>
      <c r="F22" s="162">
        <f>$D$22</f>
        <v>230280</v>
      </c>
      <c r="G22" s="162">
        <f>$D$22</f>
        <v>230280</v>
      </c>
      <c r="H22" s="163">
        <f>$D$22</f>
        <v>230280</v>
      </c>
    </row>
    <row r="23" spans="2:8" ht="12.75">
      <c r="B23" s="84" t="s">
        <v>126</v>
      </c>
      <c r="C23" s="82"/>
      <c r="D23" s="162">
        <f>COSTOS!D41</f>
        <v>60000</v>
      </c>
      <c r="E23" s="162">
        <f>D23*1.08</f>
        <v>64800.00000000001</v>
      </c>
      <c r="F23" s="162">
        <f>E23*1.08</f>
        <v>69984.00000000001</v>
      </c>
      <c r="G23" s="162">
        <f>F23*1.08</f>
        <v>75582.72000000002</v>
      </c>
      <c r="H23" s="163">
        <f>G23*1.08</f>
        <v>81629.33760000003</v>
      </c>
    </row>
    <row r="24" spans="2:8" ht="12.75">
      <c r="B24" s="84" t="s">
        <v>128</v>
      </c>
      <c r="C24" s="82"/>
      <c r="D24" s="162">
        <f>COSTOS!F14*COSTOS!F12</f>
        <v>5160</v>
      </c>
      <c r="E24" s="162">
        <f>COSTOS!G12*COSTOS!$F$14</f>
        <v>5263.2</v>
      </c>
      <c r="F24" s="162">
        <f>COSTOS!H12*COSTOS!$F$14</f>
        <v>5368.464</v>
      </c>
      <c r="G24" s="162">
        <f>COSTOS!I12*COSTOS!$F$14</f>
        <v>5475.833280000001</v>
      </c>
      <c r="H24" s="163">
        <f>COSTOS!J12*COSTOS!$F$14</f>
        <v>5585.349945600001</v>
      </c>
    </row>
    <row r="25" spans="2:8" ht="12.75">
      <c r="B25" s="84" t="s">
        <v>127</v>
      </c>
      <c r="C25" s="82"/>
      <c r="D25" s="162">
        <f>Depreciaciones!C16+Depreciaciones!G16+Depreciaciones!K16</f>
        <v>17359.4</v>
      </c>
      <c r="E25" s="162">
        <f>D25</f>
        <v>17359.4</v>
      </c>
      <c r="F25" s="162">
        <f>E25</f>
        <v>17359.4</v>
      </c>
      <c r="G25" s="164">
        <f>Depreciaciones!C16+Depreciaciones!K16</f>
        <v>13264.4</v>
      </c>
      <c r="H25" s="165">
        <f>G25</f>
        <v>13264.4</v>
      </c>
    </row>
    <row r="26" spans="2:8" s="12" customFormat="1" ht="12.75">
      <c r="B26" s="106" t="s">
        <v>145</v>
      </c>
      <c r="C26" s="108"/>
      <c r="D26" s="110">
        <f>D20-(D22+D23+D24+D25)</f>
        <v>100246.01636800019</v>
      </c>
      <c r="E26" s="110">
        <f>E20-(E22+E23+E24+E25)</f>
        <v>103603.72469535988</v>
      </c>
      <c r="F26" s="110">
        <f>F20-(F22+F23+F24+F25)</f>
        <v>106740.58718926698</v>
      </c>
      <c r="G26" s="110">
        <f>G20-(G22+G23+G24+G25)</f>
        <v>113724.14693305216</v>
      </c>
      <c r="H26" s="114">
        <f>H20-(H22+H23+H24+H25)</f>
        <v>116334.55467171333</v>
      </c>
    </row>
    <row r="27" spans="2:8" ht="12.75">
      <c r="B27" s="84" t="s">
        <v>146</v>
      </c>
      <c r="C27" s="82"/>
      <c r="D27" s="111">
        <f>D26*0.15</f>
        <v>15036.902455200026</v>
      </c>
      <c r="E27" s="111">
        <f>E26*0.15</f>
        <v>15540.558704303981</v>
      </c>
      <c r="F27" s="111">
        <f>F26*0.15</f>
        <v>16011.088078390047</v>
      </c>
      <c r="G27" s="111">
        <f>G26*0.15</f>
        <v>17058.622039957823</v>
      </c>
      <c r="H27" s="113">
        <f>H26*0.15</f>
        <v>17450.183200756997</v>
      </c>
    </row>
    <row r="28" spans="2:8" s="12" customFormat="1" ht="12.75">
      <c r="B28" s="106" t="s">
        <v>147</v>
      </c>
      <c r="C28" s="108"/>
      <c r="D28" s="110">
        <f>D26-D27</f>
        <v>85209.11391280015</v>
      </c>
      <c r="E28" s="110">
        <f>E26-E27</f>
        <v>88063.1659910559</v>
      </c>
      <c r="F28" s="110">
        <f>F26-F27</f>
        <v>90729.49911087693</v>
      </c>
      <c r="G28" s="110">
        <f>G26-G27</f>
        <v>96665.52489309435</v>
      </c>
      <c r="H28" s="114">
        <f>H26-H27</f>
        <v>98884.37147095634</v>
      </c>
    </row>
    <row r="29" spans="2:8" ht="12.75">
      <c r="B29" s="84" t="s">
        <v>148</v>
      </c>
      <c r="C29" s="82"/>
      <c r="D29" s="111">
        <f>D28*0.25</f>
        <v>21302.278478200038</v>
      </c>
      <c r="E29" s="111">
        <f>E28*0.25</f>
        <v>22015.791497763974</v>
      </c>
      <c r="F29" s="111">
        <f>F28*0.25</f>
        <v>22682.374777719233</v>
      </c>
      <c r="G29" s="111">
        <f>G28*0.25</f>
        <v>24166.381223273587</v>
      </c>
      <c r="H29" s="113">
        <f>H28*0.25</f>
        <v>24721.092867739084</v>
      </c>
    </row>
    <row r="30" spans="2:8" s="12" customFormat="1" ht="12.75">
      <c r="B30" s="106" t="s">
        <v>149</v>
      </c>
      <c r="C30" s="108"/>
      <c r="D30" s="110">
        <f>D28-D29</f>
        <v>63906.835434600114</v>
      </c>
      <c r="E30" s="110">
        <f>E28-E29</f>
        <v>66047.37449329192</v>
      </c>
      <c r="F30" s="110">
        <f>F28-F29</f>
        <v>68047.1243331577</v>
      </c>
      <c r="G30" s="110">
        <f>G28-G29</f>
        <v>72499.14366982077</v>
      </c>
      <c r="H30" s="114">
        <f>H28-H29</f>
        <v>74163.27860321724</v>
      </c>
    </row>
    <row r="31" spans="2:8" ht="12.75">
      <c r="B31" s="84" t="s">
        <v>127</v>
      </c>
      <c r="C31" s="82"/>
      <c r="D31" s="111">
        <f>D25</f>
        <v>17359.4</v>
      </c>
      <c r="E31" s="111">
        <f>E25</f>
        <v>17359.4</v>
      </c>
      <c r="F31" s="111">
        <f>F25</f>
        <v>17359.4</v>
      </c>
      <c r="G31" s="111">
        <f>G25</f>
        <v>13264.4</v>
      </c>
      <c r="H31" s="113">
        <f>H25</f>
        <v>13264.4</v>
      </c>
    </row>
    <row r="32" spans="2:8" ht="12.75">
      <c r="B32" s="116" t="s">
        <v>221</v>
      </c>
      <c r="C32" s="162">
        <f>-BRANDING!E49</f>
        <v>-65818.2</v>
      </c>
      <c r="D32" s="82"/>
      <c r="E32" s="82"/>
      <c r="F32" s="82"/>
      <c r="G32" s="82"/>
      <c r="H32" s="84"/>
    </row>
    <row r="33" spans="2:8" ht="12.75">
      <c r="B33" s="84" t="s">
        <v>150</v>
      </c>
      <c r="C33" s="162">
        <f>-COSTOS!E31</f>
        <v>-109210</v>
      </c>
      <c r="D33" s="82"/>
      <c r="E33" s="82"/>
      <c r="F33" s="82"/>
      <c r="G33" s="82"/>
      <c r="H33" s="84"/>
    </row>
    <row r="34" spans="2:8" s="12" customFormat="1" ht="12.75">
      <c r="B34" s="155" t="s">
        <v>151</v>
      </c>
      <c r="C34" s="156">
        <f aca="true" t="shared" si="1" ref="C34:H34">SUM(C30:C33)</f>
        <v>-175028.2</v>
      </c>
      <c r="D34" s="156">
        <f t="shared" si="1"/>
        <v>81266.23543460012</v>
      </c>
      <c r="E34" s="156">
        <f t="shared" si="1"/>
        <v>83406.77449329192</v>
      </c>
      <c r="F34" s="156">
        <f t="shared" si="1"/>
        <v>85406.5243331577</v>
      </c>
      <c r="G34" s="156">
        <f t="shared" si="1"/>
        <v>85763.54366982076</v>
      </c>
      <c r="H34" s="157">
        <f t="shared" si="1"/>
        <v>87427.67860321724</v>
      </c>
    </row>
    <row r="35" spans="2:8" ht="12.75">
      <c r="B35" s="158" t="s">
        <v>152</v>
      </c>
      <c r="C35" s="159">
        <f>IRR(C34:H34)</f>
        <v>0.3841439523199842</v>
      </c>
      <c r="D35" s="1"/>
      <c r="E35" s="1"/>
      <c r="F35" s="1"/>
      <c r="G35" s="1"/>
      <c r="H35" s="1"/>
    </row>
    <row r="36" spans="2:8" ht="12.75">
      <c r="B36" s="84" t="s">
        <v>153</v>
      </c>
      <c r="C36" s="160">
        <f>NPV(C37,C34:H34)</f>
        <v>60550.772329335174</v>
      </c>
      <c r="D36" s="1"/>
      <c r="E36" s="1"/>
      <c r="F36" s="1"/>
      <c r="G36" s="1"/>
      <c r="H36" s="1"/>
    </row>
    <row r="37" spans="2:8" ht="12.75">
      <c r="B37" s="88" t="s">
        <v>154</v>
      </c>
      <c r="C37" s="161">
        <f>D45</f>
        <v>0.20629999999999998</v>
      </c>
      <c r="D37" s="1"/>
      <c r="E37" s="1"/>
      <c r="F37" s="1"/>
      <c r="G37" s="1"/>
      <c r="H37" s="1"/>
    </row>
    <row r="38" spans="5:6" ht="12.75">
      <c r="E38" s="1"/>
      <c r="F38" s="1"/>
    </row>
    <row r="39" spans="2:7" ht="12.75">
      <c r="B39" s="12"/>
      <c r="E39" s="166"/>
      <c r="F39" s="41"/>
      <c r="G39" s="1"/>
    </row>
    <row r="40" spans="2:5" ht="12.75">
      <c r="B40" t="s">
        <v>156</v>
      </c>
      <c r="C40" t="s">
        <v>160</v>
      </c>
      <c r="D40" s="118">
        <v>4.79</v>
      </c>
      <c r="E40" s="166"/>
    </row>
    <row r="41" spans="2:5" ht="12.75">
      <c r="B41" t="s">
        <v>157</v>
      </c>
      <c r="C41" t="s">
        <v>161</v>
      </c>
      <c r="D41" s="12">
        <v>1</v>
      </c>
      <c r="E41" s="166"/>
    </row>
    <row r="42" spans="2:5" ht="12.75">
      <c r="B42" t="s">
        <v>158</v>
      </c>
      <c r="C42" t="s">
        <v>162</v>
      </c>
      <c r="D42">
        <f>D44+D40</f>
        <v>13.989999999999998</v>
      </c>
      <c r="E42" s="1"/>
    </row>
    <row r="43" spans="2:5" ht="12.75">
      <c r="B43" t="s">
        <v>159</v>
      </c>
      <c r="C43" t="s">
        <v>163</v>
      </c>
      <c r="D43">
        <v>6.64</v>
      </c>
      <c r="E43" s="1"/>
    </row>
    <row r="44" spans="2:5" ht="12.75">
      <c r="B44" t="s">
        <v>165</v>
      </c>
      <c r="C44" t="s">
        <v>164</v>
      </c>
      <c r="D44">
        <v>9.2</v>
      </c>
      <c r="E44" s="1"/>
    </row>
    <row r="45" spans="3:6" ht="12.75">
      <c r="C45" s="12" t="s">
        <v>155</v>
      </c>
      <c r="D45" s="167">
        <f>(D40+D41*(D42-D40)+D43)/100</f>
        <v>0.20629999999999998</v>
      </c>
      <c r="E45" s="1"/>
      <c r="F45" s="1"/>
    </row>
    <row r="46" spans="5:7" ht="12.75">
      <c r="E46" s="166"/>
      <c r="F46" s="102"/>
      <c r="G46" s="12"/>
    </row>
    <row r="47" spans="5:7" ht="12.75">
      <c r="E47" s="166"/>
      <c r="F47" s="1"/>
      <c r="G47" s="1"/>
    </row>
    <row r="48" spans="2:7" s="173" customFormat="1" ht="12.75">
      <c r="B48" s="172"/>
      <c r="E48" s="174"/>
      <c r="F48" s="175"/>
      <c r="G48" s="176"/>
    </row>
    <row r="49" spans="3:8" s="173" customFormat="1" ht="12.75">
      <c r="C49" s="172"/>
      <c r="D49" s="172"/>
      <c r="E49" s="174"/>
      <c r="F49" s="177"/>
      <c r="G49" s="177"/>
      <c r="H49" s="178"/>
    </row>
    <row r="50" spans="3:7" s="12" customFormat="1" ht="12.75">
      <c r="C50"/>
      <c r="D50"/>
      <c r="E50" s="41"/>
      <c r="F50" s="102"/>
      <c r="G50" s="101"/>
    </row>
    <row r="51" spans="3:7" ht="12.75">
      <c r="C51" s="12"/>
      <c r="D51" s="12"/>
      <c r="E51" s="166"/>
      <c r="F51" s="103"/>
      <c r="G51" s="1"/>
    </row>
    <row r="52" s="12" customFormat="1" ht="12.75">
      <c r="B52" s="12" t="s">
        <v>212</v>
      </c>
    </row>
    <row r="54" spans="2:8" ht="12.75">
      <c r="B54" s="213" t="s">
        <v>199</v>
      </c>
      <c r="C54" s="213"/>
      <c r="D54" s="213"/>
      <c r="E54" s="213"/>
      <c r="F54" s="213"/>
      <c r="G54" s="213"/>
      <c r="H54" s="213"/>
    </row>
    <row r="55" spans="2:8" ht="12.75">
      <c r="B55" s="213" t="s">
        <v>200</v>
      </c>
      <c r="C55" s="213"/>
      <c r="D55" s="213"/>
      <c r="E55" s="213"/>
      <c r="F55" s="213"/>
      <c r="G55" s="213"/>
      <c r="H55" s="213"/>
    </row>
    <row r="57" spans="2:8" ht="12.75">
      <c r="B57" s="117"/>
      <c r="C57" s="20" t="s">
        <v>135</v>
      </c>
      <c r="D57" s="20" t="s">
        <v>136</v>
      </c>
      <c r="E57" s="20" t="s">
        <v>137</v>
      </c>
      <c r="F57" s="20" t="s">
        <v>138</v>
      </c>
      <c r="G57" s="20" t="s">
        <v>139</v>
      </c>
      <c r="H57" s="20" t="s">
        <v>140</v>
      </c>
    </row>
    <row r="58" spans="2:8" ht="12.75">
      <c r="B58" s="84" t="s">
        <v>134</v>
      </c>
      <c r="C58" s="82"/>
      <c r="D58" s="184">
        <f>(C6*0.5*D6)+(C6*0.5*E6)</f>
        <v>3805536.9719249997</v>
      </c>
      <c r="E58" s="185">
        <f aca="true" t="shared" si="2" ref="E58:H59">D58*(1+(2/100))</f>
        <v>3881647.7113635</v>
      </c>
      <c r="F58" s="185">
        <f t="shared" si="2"/>
        <v>3959280.66559077</v>
      </c>
      <c r="G58" s="185">
        <f t="shared" si="2"/>
        <v>4038466.2789025856</v>
      </c>
      <c r="H58" s="186">
        <f t="shared" si="2"/>
        <v>4119235.6044806372</v>
      </c>
    </row>
    <row r="59" spans="2:8" ht="12.75">
      <c r="B59" s="84" t="s">
        <v>141</v>
      </c>
      <c r="C59" s="82"/>
      <c r="D59" s="184">
        <f>C6*F6</f>
        <v>3489521.6210399996</v>
      </c>
      <c r="E59" s="185">
        <f t="shared" si="2"/>
        <v>3559312.0534607996</v>
      </c>
      <c r="F59" s="185">
        <f t="shared" si="2"/>
        <v>3630498.294530016</v>
      </c>
      <c r="G59" s="185">
        <f t="shared" si="2"/>
        <v>3703108.2604206163</v>
      </c>
      <c r="H59" s="186">
        <f t="shared" si="2"/>
        <v>3777170.4256290286</v>
      </c>
    </row>
    <row r="60" spans="2:8" ht="12.75">
      <c r="B60" s="106" t="s">
        <v>142</v>
      </c>
      <c r="C60" s="108"/>
      <c r="D60" s="188">
        <f>D58-D59</f>
        <v>316015.3508850001</v>
      </c>
      <c r="E60" s="188">
        <f>E58-E59</f>
        <v>322335.65790270036</v>
      </c>
      <c r="F60" s="188">
        <f>F58-F59</f>
        <v>328782.3710607542</v>
      </c>
      <c r="G60" s="188">
        <f>G58-G59</f>
        <v>335358.01848196937</v>
      </c>
      <c r="H60" s="189">
        <f>H58-H59</f>
        <v>342065.17885160865</v>
      </c>
    </row>
    <row r="61" spans="2:8" ht="12.75">
      <c r="B61" s="84" t="s">
        <v>143</v>
      </c>
      <c r="C61" s="82"/>
      <c r="D61" s="185"/>
      <c r="E61" s="185"/>
      <c r="F61" s="185"/>
      <c r="G61" s="185"/>
      <c r="H61" s="186"/>
    </row>
    <row r="62" spans="2:8" ht="12.75">
      <c r="B62" s="84" t="s">
        <v>125</v>
      </c>
      <c r="C62" s="82"/>
      <c r="D62" s="184">
        <v>230280</v>
      </c>
      <c r="E62" s="184">
        <v>230280</v>
      </c>
      <c r="F62" s="184">
        <v>230280</v>
      </c>
      <c r="G62" s="184">
        <v>230280</v>
      </c>
      <c r="H62" s="190">
        <v>230280</v>
      </c>
    </row>
    <row r="63" spans="2:8" ht="12.75">
      <c r="B63" s="84" t="s">
        <v>126</v>
      </c>
      <c r="C63" s="82"/>
      <c r="D63" s="184">
        <v>60000</v>
      </c>
      <c r="E63" s="184">
        <v>64800</v>
      </c>
      <c r="F63" s="184">
        <v>69984</v>
      </c>
      <c r="G63" s="184">
        <v>75582.72</v>
      </c>
      <c r="H63" s="190">
        <v>81629.33760000003</v>
      </c>
    </row>
    <row r="64" spans="2:8" ht="12.75">
      <c r="B64" s="84" t="s">
        <v>128</v>
      </c>
      <c r="C64" s="82"/>
      <c r="D64" s="184">
        <v>5160</v>
      </c>
      <c r="E64" s="184">
        <v>5263.2</v>
      </c>
      <c r="F64" s="184">
        <v>5368.464</v>
      </c>
      <c r="G64" s="184">
        <v>5475.833280000001</v>
      </c>
      <c r="H64" s="190">
        <v>5585.349945600001</v>
      </c>
    </row>
    <row r="65" spans="2:8" ht="12.75">
      <c r="B65" s="84" t="s">
        <v>127</v>
      </c>
      <c r="C65" s="82"/>
      <c r="D65" s="184">
        <v>17359.4</v>
      </c>
      <c r="E65" s="184">
        <v>17359.4</v>
      </c>
      <c r="F65" s="184">
        <v>17359.4</v>
      </c>
      <c r="G65" s="191">
        <v>13264.4</v>
      </c>
      <c r="H65" s="192">
        <v>13264.4</v>
      </c>
    </row>
    <row r="66" spans="2:8" ht="12.75">
      <c r="B66" s="106" t="s">
        <v>145</v>
      </c>
      <c r="C66" s="108"/>
      <c r="D66" s="188">
        <f>D60-(D62+D63+D64+D65)</f>
        <v>3215.9508850000566</v>
      </c>
      <c r="E66" s="188">
        <f>E60-(E62+E63+E64+E65)</f>
        <v>4633.057902700326</v>
      </c>
      <c r="F66" s="188">
        <f>F60-(F62+F63+F64+F65)</f>
        <v>5790.507060754171</v>
      </c>
      <c r="G66" s="188">
        <f>G60-(G62+G63+G64+G65)</f>
        <v>10755.065201969352</v>
      </c>
      <c r="H66" s="189">
        <f>H60-(H62+H63+H64+H65)</f>
        <v>11306.091306008573</v>
      </c>
    </row>
    <row r="67" spans="2:8" ht="12.75">
      <c r="B67" s="84" t="s">
        <v>146</v>
      </c>
      <c r="C67" s="82"/>
      <c r="D67" s="185">
        <f>D66*0.15</f>
        <v>482.3926327500085</v>
      </c>
      <c r="E67" s="185">
        <f>E66*0.15</f>
        <v>694.9586854050489</v>
      </c>
      <c r="F67" s="185">
        <f>F66*0.15</f>
        <v>868.5760591131257</v>
      </c>
      <c r="G67" s="185">
        <f>G66*0.15</f>
        <v>1613.2597802954026</v>
      </c>
      <c r="H67" s="186">
        <f>H66*0.15</f>
        <v>1695.913695901286</v>
      </c>
    </row>
    <row r="68" spans="2:8" ht="12.75">
      <c r="B68" s="106" t="s">
        <v>147</v>
      </c>
      <c r="C68" s="108"/>
      <c r="D68" s="188">
        <f>D66-D67</f>
        <v>2733.558252250048</v>
      </c>
      <c r="E68" s="188">
        <f>E66-E67</f>
        <v>3938.099217295277</v>
      </c>
      <c r="F68" s="188">
        <f>F66-F67</f>
        <v>4921.931001641045</v>
      </c>
      <c r="G68" s="188">
        <f>G66-G67</f>
        <v>9141.80542167395</v>
      </c>
      <c r="H68" s="189">
        <f>H66-H67</f>
        <v>9610.177610107286</v>
      </c>
    </row>
    <row r="69" spans="2:8" ht="12.75">
      <c r="B69" s="84" t="s">
        <v>148</v>
      </c>
      <c r="C69" s="82"/>
      <c r="D69" s="185">
        <f>D68*0.25</f>
        <v>683.389563062512</v>
      </c>
      <c r="E69" s="185">
        <f>E68*0.25</f>
        <v>984.5248043238192</v>
      </c>
      <c r="F69" s="185">
        <f>F68*0.25</f>
        <v>1230.4827504102614</v>
      </c>
      <c r="G69" s="185">
        <f>G68*0.25</f>
        <v>2285.4513554184873</v>
      </c>
      <c r="H69" s="186">
        <f>H68*0.25</f>
        <v>2402.5444025268216</v>
      </c>
    </row>
    <row r="70" spans="2:8" ht="12.75">
      <c r="B70" s="106" t="s">
        <v>149</v>
      </c>
      <c r="C70" s="108"/>
      <c r="D70" s="188">
        <f>D68-D69</f>
        <v>2050.168689187536</v>
      </c>
      <c r="E70" s="188">
        <f>E68-E69</f>
        <v>2953.5744129714576</v>
      </c>
      <c r="F70" s="188">
        <f>F68-F69</f>
        <v>3691.448251230784</v>
      </c>
      <c r="G70" s="188">
        <f>G68-G69</f>
        <v>6856.354066255462</v>
      </c>
      <c r="H70" s="189">
        <f>H68-H69</f>
        <v>7207.633207580465</v>
      </c>
    </row>
    <row r="71" spans="2:8" ht="12.75">
      <c r="B71" s="84" t="s">
        <v>127</v>
      </c>
      <c r="C71" s="82"/>
      <c r="D71" s="185">
        <f>D65</f>
        <v>17359.4</v>
      </c>
      <c r="E71" s="185">
        <f>E65</f>
        <v>17359.4</v>
      </c>
      <c r="F71" s="185">
        <f>F65</f>
        <v>17359.4</v>
      </c>
      <c r="G71" s="185">
        <f>G65</f>
        <v>13264.4</v>
      </c>
      <c r="H71" s="186">
        <f>H65</f>
        <v>13264.4</v>
      </c>
    </row>
    <row r="72" spans="2:8" ht="12.75">
      <c r="B72" s="116" t="s">
        <v>221</v>
      </c>
      <c r="C72" s="162">
        <v>-65818.2</v>
      </c>
      <c r="D72" s="185"/>
      <c r="E72" s="185"/>
      <c r="F72" s="185"/>
      <c r="G72" s="185"/>
      <c r="H72" s="186"/>
    </row>
    <row r="73" spans="2:8" ht="12.75">
      <c r="B73" s="84" t="s">
        <v>150</v>
      </c>
      <c r="C73" s="162">
        <v>-109210</v>
      </c>
      <c r="D73" s="185"/>
      <c r="E73" s="185"/>
      <c r="F73" s="185"/>
      <c r="G73" s="185"/>
      <c r="H73" s="186"/>
    </row>
    <row r="74" spans="2:8" ht="12.75">
      <c r="B74" s="155" t="s">
        <v>151</v>
      </c>
      <c r="C74" s="156">
        <v>-175028.2</v>
      </c>
      <c r="D74" s="193">
        <f>SUM(D70:D73)</f>
        <v>19409.568689187538</v>
      </c>
      <c r="E74" s="193">
        <f>SUM(E70:E73)</f>
        <v>20312.97441297146</v>
      </c>
      <c r="F74" s="193">
        <f>SUM(F70:F73)</f>
        <v>21050.848251230786</v>
      </c>
      <c r="G74" s="193">
        <f>SUM(G70:G73)</f>
        <v>20120.75406625546</v>
      </c>
      <c r="H74" s="194">
        <f>SUM(H70:H73)</f>
        <v>20472.033207580465</v>
      </c>
    </row>
    <row r="75" spans="2:8" ht="12.75">
      <c r="B75" s="158" t="s">
        <v>152</v>
      </c>
      <c r="C75" s="201">
        <f>IRR(C74:H74)</f>
        <v>-0.15750825868266058</v>
      </c>
      <c r="D75" s="1"/>
      <c r="E75" s="1"/>
      <c r="F75" s="1"/>
      <c r="G75" s="1"/>
      <c r="H75" s="1"/>
    </row>
    <row r="76" spans="2:8" ht="12.75">
      <c r="B76" s="84" t="s">
        <v>153</v>
      </c>
      <c r="C76" s="160">
        <f>NPV(C77,C74:H74)</f>
        <v>-95722.13161629625</v>
      </c>
      <c r="D76" s="1"/>
      <c r="E76" s="1"/>
      <c r="F76" s="1"/>
      <c r="G76" s="1"/>
      <c r="H76" s="1"/>
    </row>
    <row r="77" spans="2:8" ht="12.75">
      <c r="B77" s="88" t="s">
        <v>154</v>
      </c>
      <c r="C77" s="161">
        <v>0.2063</v>
      </c>
      <c r="D77" s="1"/>
      <c r="E77" s="1"/>
      <c r="F77" s="1"/>
      <c r="G77" s="1"/>
      <c r="H77" s="1"/>
    </row>
    <row r="80" spans="2:7" s="173" customFormat="1" ht="12.75">
      <c r="B80" s="172"/>
      <c r="E80" s="174"/>
      <c r="F80" s="175"/>
      <c r="G80" s="176"/>
    </row>
    <row r="81" spans="3:8" s="173" customFormat="1" ht="12.75">
      <c r="C81" s="172"/>
      <c r="D81" s="172"/>
      <c r="E81" s="174"/>
      <c r="F81" s="177"/>
      <c r="G81" s="177"/>
      <c r="H81" s="178"/>
    </row>
    <row r="82" spans="3:7" s="12" customFormat="1" ht="12.75">
      <c r="C82"/>
      <c r="D82"/>
      <c r="E82" s="41"/>
      <c r="F82" s="102"/>
      <c r="G82" s="101"/>
    </row>
    <row r="83" spans="3:7" ht="12.75">
      <c r="C83" s="12"/>
      <c r="D83" s="12"/>
      <c r="E83" s="166"/>
      <c r="F83" s="103"/>
      <c r="G83" s="1"/>
    </row>
    <row r="84" s="12" customFormat="1" ht="12.75">
      <c r="B84" s="12" t="s">
        <v>210</v>
      </c>
    </row>
    <row r="86" spans="2:8" ht="12.75">
      <c r="B86" s="213" t="s">
        <v>199</v>
      </c>
      <c r="C86" s="213"/>
      <c r="D86" s="213"/>
      <c r="E86" s="213"/>
      <c r="F86" s="213"/>
      <c r="G86" s="213"/>
      <c r="H86" s="213"/>
    </row>
    <row r="87" spans="2:8" ht="12.75">
      <c r="B87" s="213" t="s">
        <v>200</v>
      </c>
      <c r="C87" s="213"/>
      <c r="D87" s="213"/>
      <c r="E87" s="213"/>
      <c r="F87" s="213"/>
      <c r="G87" s="213"/>
      <c r="H87" s="213"/>
    </row>
    <row r="89" spans="2:8" ht="12.75">
      <c r="B89" s="117"/>
      <c r="C89" s="20" t="s">
        <v>135</v>
      </c>
      <c r="D89" s="20" t="s">
        <v>136</v>
      </c>
      <c r="E89" s="20" t="s">
        <v>137</v>
      </c>
      <c r="F89" s="20" t="s">
        <v>138</v>
      </c>
      <c r="G89" s="20" t="s">
        <v>139</v>
      </c>
      <c r="H89" s="20" t="s">
        <v>140</v>
      </c>
    </row>
    <row r="90" spans="2:8" ht="12.75">
      <c r="B90" s="84" t="s">
        <v>134</v>
      </c>
      <c r="C90" s="82"/>
      <c r="D90" s="184">
        <f>(C6*0.5*D4)+(C4*0.5*E4)</f>
        <v>4005828.3915</v>
      </c>
      <c r="E90" s="185">
        <f aca="true" t="shared" si="3" ref="E90:H91">D90*(1+(2/100))</f>
        <v>4085944.95933</v>
      </c>
      <c r="F90" s="185">
        <f t="shared" si="3"/>
        <v>4167663.8585166</v>
      </c>
      <c r="G90" s="185">
        <f t="shared" si="3"/>
        <v>4251017.135686932</v>
      </c>
      <c r="H90" s="186">
        <f t="shared" si="3"/>
        <v>4336037.478400671</v>
      </c>
    </row>
    <row r="91" spans="2:8" ht="12.75">
      <c r="B91" s="84" t="s">
        <v>141</v>
      </c>
      <c r="C91" s="82"/>
      <c r="D91" s="184">
        <f>C4*F4</f>
        <v>3489521.6210399996</v>
      </c>
      <c r="E91" s="185">
        <f t="shared" si="3"/>
        <v>3559312.0534607996</v>
      </c>
      <c r="F91" s="185">
        <f t="shared" si="3"/>
        <v>3630498.294530016</v>
      </c>
      <c r="G91" s="185">
        <f t="shared" si="3"/>
        <v>3703108.2604206163</v>
      </c>
      <c r="H91" s="186">
        <f t="shared" si="3"/>
        <v>3777170.4256290286</v>
      </c>
    </row>
    <row r="92" spans="2:8" ht="12.75">
      <c r="B92" s="106" t="s">
        <v>142</v>
      </c>
      <c r="C92" s="108"/>
      <c r="D92" s="188">
        <f>D90-D91</f>
        <v>516306.77046000026</v>
      </c>
      <c r="E92" s="188">
        <f>E90-E91</f>
        <v>526632.9058692004</v>
      </c>
      <c r="F92" s="188">
        <f>F90-F91</f>
        <v>537165.5639865841</v>
      </c>
      <c r="G92" s="188">
        <f>G90-G91</f>
        <v>547908.8752663159</v>
      </c>
      <c r="H92" s="189">
        <f>H90-H91</f>
        <v>558867.0527716423</v>
      </c>
    </row>
    <row r="93" spans="2:8" ht="12.75">
      <c r="B93" s="84" t="s">
        <v>143</v>
      </c>
      <c r="C93" s="82"/>
      <c r="D93" s="185"/>
      <c r="E93" s="185"/>
      <c r="F93" s="185"/>
      <c r="G93" s="185"/>
      <c r="H93" s="186"/>
    </row>
    <row r="94" spans="2:8" ht="12.75">
      <c r="B94" s="84" t="s">
        <v>125</v>
      </c>
      <c r="C94" s="82"/>
      <c r="D94" s="184">
        <v>230280</v>
      </c>
      <c r="E94" s="184">
        <v>230280</v>
      </c>
      <c r="F94" s="184">
        <v>230280</v>
      </c>
      <c r="G94" s="184">
        <v>230280</v>
      </c>
      <c r="H94" s="190">
        <v>230280</v>
      </c>
    </row>
    <row r="95" spans="2:8" ht="12.75">
      <c r="B95" s="84" t="s">
        <v>126</v>
      </c>
      <c r="C95" s="82"/>
      <c r="D95" s="184">
        <v>60000</v>
      </c>
      <c r="E95" s="184">
        <v>64800</v>
      </c>
      <c r="F95" s="184">
        <v>69984</v>
      </c>
      <c r="G95" s="184">
        <v>75582.72</v>
      </c>
      <c r="H95" s="190">
        <v>81629.33760000003</v>
      </c>
    </row>
    <row r="96" spans="2:8" ht="12.75">
      <c r="B96" s="84" t="s">
        <v>128</v>
      </c>
      <c r="C96" s="82"/>
      <c r="D96" s="184">
        <v>5160</v>
      </c>
      <c r="E96" s="184">
        <v>5263.2</v>
      </c>
      <c r="F96" s="184">
        <v>5368.464</v>
      </c>
      <c r="G96" s="184">
        <v>5475.833280000001</v>
      </c>
      <c r="H96" s="190">
        <v>5585.349945600001</v>
      </c>
    </row>
    <row r="97" spans="2:8" ht="12.75">
      <c r="B97" s="84" t="s">
        <v>127</v>
      </c>
      <c r="C97" s="82"/>
      <c r="D97" s="184">
        <v>17359.4</v>
      </c>
      <c r="E97" s="184">
        <v>17359.4</v>
      </c>
      <c r="F97" s="184">
        <v>17359.4</v>
      </c>
      <c r="G97" s="191">
        <v>13264.4</v>
      </c>
      <c r="H97" s="192">
        <v>13264.4</v>
      </c>
    </row>
    <row r="98" spans="2:8" ht="12.75">
      <c r="B98" s="106" t="s">
        <v>145</v>
      </c>
      <c r="C98" s="108"/>
      <c r="D98" s="188">
        <f>D92-(D94+D95+D96+D97)</f>
        <v>203507.37046000024</v>
      </c>
      <c r="E98" s="188">
        <f>E92-(E94+E95+E96+E97)</f>
        <v>208930.30586920033</v>
      </c>
      <c r="F98" s="188">
        <f>F92-(F94+F95+F96+F97)</f>
        <v>214173.69998658408</v>
      </c>
      <c r="G98" s="188">
        <f>G92-(G94+G95+G96+G97)</f>
        <v>223305.92198631587</v>
      </c>
      <c r="H98" s="189">
        <f>H92-(H94+H95+H96+H97)</f>
        <v>228107.96522604226</v>
      </c>
    </row>
    <row r="99" spans="2:8" ht="12.75">
      <c r="B99" s="84" t="s">
        <v>146</v>
      </c>
      <c r="C99" s="82"/>
      <c r="D99" s="185">
        <f>D98*0.15</f>
        <v>30526.105569000036</v>
      </c>
      <c r="E99" s="185">
        <f>E98*0.15</f>
        <v>31339.545880380047</v>
      </c>
      <c r="F99" s="185">
        <f>F98*0.15</f>
        <v>32126.05499798761</v>
      </c>
      <c r="G99" s="185">
        <f>G98*0.15</f>
        <v>33495.88829794738</v>
      </c>
      <c r="H99" s="186">
        <f>H98*0.15</f>
        <v>34216.194783906336</v>
      </c>
    </row>
    <row r="100" spans="2:8" ht="12.75">
      <c r="B100" s="106" t="s">
        <v>147</v>
      </c>
      <c r="C100" s="108"/>
      <c r="D100" s="188">
        <f>D98-D99</f>
        <v>172981.2648910002</v>
      </c>
      <c r="E100" s="188">
        <f>E98-E99</f>
        <v>177590.75998882027</v>
      </c>
      <c r="F100" s="188">
        <f>F98-F99</f>
        <v>182047.64498859647</v>
      </c>
      <c r="G100" s="188">
        <f>G98-G99</f>
        <v>189810.03368836848</v>
      </c>
      <c r="H100" s="189">
        <f>H98-H99</f>
        <v>193891.77044213592</v>
      </c>
    </row>
    <row r="101" spans="2:8" ht="12.75">
      <c r="B101" s="84" t="s">
        <v>148</v>
      </c>
      <c r="C101" s="82"/>
      <c r="D101" s="185">
        <f>D100*0.25</f>
        <v>43245.31622275005</v>
      </c>
      <c r="E101" s="185">
        <f>E100*0.25</f>
        <v>44397.68999720507</v>
      </c>
      <c r="F101" s="185">
        <f>F100*0.25</f>
        <v>45511.91124714912</v>
      </c>
      <c r="G101" s="185">
        <f>G100*0.25</f>
        <v>47452.50842209212</v>
      </c>
      <c r="H101" s="186">
        <f>H100*0.25</f>
        <v>48472.94261053398</v>
      </c>
    </row>
    <row r="102" spans="2:8" ht="12.75">
      <c r="B102" s="106" t="s">
        <v>149</v>
      </c>
      <c r="C102" s="108"/>
      <c r="D102" s="188">
        <f>D100-D101</f>
        <v>129735.94866825014</v>
      </c>
      <c r="E102" s="188">
        <f>E100-E101</f>
        <v>133193.0699916152</v>
      </c>
      <c r="F102" s="188">
        <f>F100-F101</f>
        <v>136535.73374144736</v>
      </c>
      <c r="G102" s="188">
        <f>G100-G101</f>
        <v>142357.52526627635</v>
      </c>
      <c r="H102" s="189">
        <f>H100-H101</f>
        <v>145418.82783160196</v>
      </c>
    </row>
    <row r="103" spans="2:8" ht="12.75">
      <c r="B103" s="84" t="s">
        <v>127</v>
      </c>
      <c r="C103" s="82"/>
      <c r="D103" s="185">
        <f>D97</f>
        <v>17359.4</v>
      </c>
      <c r="E103" s="185">
        <f>E97</f>
        <v>17359.4</v>
      </c>
      <c r="F103" s="185">
        <f>F97</f>
        <v>17359.4</v>
      </c>
      <c r="G103" s="185">
        <f>G97</f>
        <v>13264.4</v>
      </c>
      <c r="H103" s="186">
        <f>H97</f>
        <v>13264.4</v>
      </c>
    </row>
    <row r="104" spans="2:8" ht="12.75">
      <c r="B104" s="116" t="s">
        <v>221</v>
      </c>
      <c r="C104" s="162">
        <v>-65818.2</v>
      </c>
      <c r="D104" s="185"/>
      <c r="E104" s="185"/>
      <c r="F104" s="185"/>
      <c r="G104" s="185"/>
      <c r="H104" s="186"/>
    </row>
    <row r="105" spans="2:8" ht="12.75">
      <c r="B105" s="84" t="s">
        <v>150</v>
      </c>
      <c r="C105" s="162">
        <v>-109210</v>
      </c>
      <c r="D105" s="185"/>
      <c r="E105" s="185"/>
      <c r="F105" s="185"/>
      <c r="G105" s="185"/>
      <c r="H105" s="186"/>
    </row>
    <row r="106" spans="2:8" ht="12.75">
      <c r="B106" s="155" t="s">
        <v>151</v>
      </c>
      <c r="C106" s="156">
        <v>-175028.2</v>
      </c>
      <c r="D106" s="193">
        <f>SUM(D102:D105)</f>
        <v>147095.34866825014</v>
      </c>
      <c r="E106" s="193">
        <f>SUM(E102:E105)</f>
        <v>150552.4699916152</v>
      </c>
      <c r="F106" s="193">
        <f>SUM(F102:F105)</f>
        <v>153895.13374144735</v>
      </c>
      <c r="G106" s="193">
        <f>SUM(G102:G105)</f>
        <v>155621.92526627635</v>
      </c>
      <c r="H106" s="194">
        <f>SUM(H102:H105)</f>
        <v>158683.22783160195</v>
      </c>
    </row>
    <row r="107" spans="2:8" ht="12.75">
      <c r="B107" s="158" t="s">
        <v>152</v>
      </c>
      <c r="C107" s="159">
        <f>IRR(C106:H106)</f>
        <v>0.8142388200225323</v>
      </c>
      <c r="D107" s="1"/>
      <c r="E107" s="1"/>
      <c r="F107" s="1"/>
      <c r="G107" s="1"/>
      <c r="H107" s="1"/>
    </row>
    <row r="108" spans="2:8" ht="12.75">
      <c r="B108" s="84" t="s">
        <v>153</v>
      </c>
      <c r="C108" s="160">
        <f>NPV(C109,C106:H106)</f>
        <v>180413.19446107428</v>
      </c>
      <c r="D108" s="1"/>
      <c r="E108" s="1"/>
      <c r="F108" s="1"/>
      <c r="G108" s="1"/>
      <c r="H108" s="1"/>
    </row>
    <row r="109" spans="2:8" ht="12.75">
      <c r="B109" s="88" t="s">
        <v>154</v>
      </c>
      <c r="C109" s="161">
        <f>D45*1.25</f>
        <v>0.25787499999999997</v>
      </c>
      <c r="D109" s="1"/>
      <c r="E109" s="1"/>
      <c r="F109" s="1"/>
      <c r="G109" s="1"/>
      <c r="H109" s="1"/>
    </row>
    <row r="112" s="183" customFormat="1" ht="12.75"/>
    <row r="115" spans="2:6" ht="12.75">
      <c r="B115" s="13"/>
      <c r="C115" s="71" t="s">
        <v>153</v>
      </c>
      <c r="D115" s="71" t="s">
        <v>213</v>
      </c>
      <c r="E115" s="71" t="s">
        <v>152</v>
      </c>
      <c r="F115" s="71" t="s">
        <v>214</v>
      </c>
    </row>
    <row r="116" spans="2:6" ht="12.75">
      <c r="B116" s="179" t="s">
        <v>207</v>
      </c>
      <c r="C116" s="180">
        <f>C36</f>
        <v>60550.772329335174</v>
      </c>
      <c r="D116" s="181">
        <f>C37</f>
        <v>0.20629999999999998</v>
      </c>
      <c r="E116" s="182">
        <f>C35</f>
        <v>0.3841439523199842</v>
      </c>
      <c r="F116" s="123" t="s">
        <v>215</v>
      </c>
    </row>
    <row r="117" spans="2:6" ht="12.75">
      <c r="B117" s="179" t="s">
        <v>211</v>
      </c>
      <c r="C117" s="180">
        <f>C76</f>
        <v>-95722.13161629625</v>
      </c>
      <c r="D117" s="181">
        <f>C77</f>
        <v>0.2063</v>
      </c>
      <c r="E117" s="182">
        <f>C75</f>
        <v>-0.15750825868266058</v>
      </c>
      <c r="F117" s="123" t="s">
        <v>216</v>
      </c>
    </row>
    <row r="118" spans="2:6" ht="12.75">
      <c r="B118" s="179" t="s">
        <v>209</v>
      </c>
      <c r="C118" s="180">
        <f>C108</f>
        <v>180413.19446107428</v>
      </c>
      <c r="D118" s="181">
        <f>C109</f>
        <v>0.25787499999999997</v>
      </c>
      <c r="E118" s="182">
        <f>C107</f>
        <v>0.8142388200225323</v>
      </c>
      <c r="F118" s="123" t="s">
        <v>215</v>
      </c>
    </row>
  </sheetData>
  <mergeCells count="6">
    <mergeCell ref="B86:H86"/>
    <mergeCell ref="B87:H87"/>
    <mergeCell ref="B14:H14"/>
    <mergeCell ref="B15:H15"/>
    <mergeCell ref="B54:H54"/>
    <mergeCell ref="B55:H55"/>
  </mergeCells>
  <printOptions/>
  <pageMargins left="0.75" right="0.75" top="1" bottom="1" header="0" footer="0"/>
  <pageSetup fitToHeight="1" fitToWidth="1" horizontalDpi="120" verticalDpi="120"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- 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Usuario Final</cp:lastModifiedBy>
  <cp:lastPrinted>2008-08-28T00:11:44Z</cp:lastPrinted>
  <dcterms:created xsi:type="dcterms:W3CDTF">2008-07-06T16:51:52Z</dcterms:created>
  <dcterms:modified xsi:type="dcterms:W3CDTF">2008-09-09T12:36:38Z</dcterms:modified>
  <cp:category/>
  <cp:version/>
  <cp:contentType/>
  <cp:contentStatus/>
</cp:coreProperties>
</file>