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15480" windowHeight="8475" firstSheet="2" activeTab="10"/>
  </bookViews>
  <sheets>
    <sheet name="Calculo Demanda" sheetId="2" r:id="rId1"/>
    <sheet name="Comercializacion" sheetId="7" r:id="rId2"/>
    <sheet name="Gastos" sheetId="1" r:id="rId3"/>
    <sheet name="CostoProduccion" sheetId="5" r:id="rId4"/>
    <sheet name="Precios" sheetId="6" r:id="rId5"/>
    <sheet name="Capital de trabajo" sheetId="3" r:id="rId6"/>
    <sheet name="Costos Mat. Prima" sheetId="4" r:id="rId7"/>
    <sheet name="Inversion" sheetId="8" r:id="rId8"/>
    <sheet name="BG" sheetId="11" r:id="rId9"/>
    <sheet name="FLUJO CAJA" sheetId="13" r:id="rId10"/>
    <sheet name="PAYBACK" sheetId="14" r:id="rId11"/>
    <sheet name="Punto de Equilibrio" sheetId="19" r:id="rId12"/>
    <sheet name="Sensibilidad" sheetId="18" r:id="rId13"/>
  </sheets>
  <externalReferences>
    <externalReference r:id="rId14"/>
  </externalReferences>
  <definedNames>
    <definedName name="Activos_fijos_netos">[1]BALANCE!$B$14:$F$14</definedName>
    <definedName name="Costo_de_ventas">'[1]PÉRDIDAS &amp; GANANCIAS'!$B$6:$F$6</definedName>
    <definedName name="Cuentas_por_cobrar">[1]BALANCE!$B$10:$F$10</definedName>
    <definedName name="Cuentas_y_letras_por_pagar___Comerciales">[1]BALANCE!$B$25:$F$25</definedName>
    <definedName name="Depreciación">'[1]PÉRDIDAS &amp; GANANCIAS'!$B$11:$F$11</definedName>
    <definedName name="DÍAS">360</definedName>
    <definedName name="Gasto_de_intereses">'[1]PÉRDIDAS &amp; GANANCIAS'!$B$17:$F$17</definedName>
    <definedName name="Gastos_de_arriendo_financiero">'[1]PÉRDIDAS &amp; GANANCIAS'!$B$18:$F$18</definedName>
    <definedName name="Gastos_de_ventas__generales_y_administrativos">'[1]PÉRDIDAS &amp; GANANCIAS'!$B$7:$F$7</definedName>
    <definedName name="Impuesto_a_la_renta_y_15__de_participación_laboral">'[1]PÉRDIDAS &amp; GANANCIAS'!$B$22:$F$22</definedName>
    <definedName name="Ingreso__cargos__extraordinarios">'[1]PÉRDIDAS &amp; GANANCIAS'!$B$23:$F$23</definedName>
    <definedName name="Inventario">[1]BALANCE!$B$11:$F$11</definedName>
    <definedName name="Otros_cargos_fijos">'[1]PÉRDIDAS &amp; GANANCIAS'!$B$19:$F$19</definedName>
    <definedName name="Otros_cargos_no_en_efectivo">'[1]PÉRDIDAS &amp; GANANCIAS'!$B$12:$F$12</definedName>
    <definedName name="Otros_gastos">'[1]PÉRDIDAS &amp; GANANCIAS'!$B$15:$F$15</definedName>
    <definedName name="Otros_ingresos">'[1]PÉRDIDAS &amp; GANANCIAS'!$B$14:$F$14</definedName>
    <definedName name="Reservas_diferidas">[1]BALANCE!$B$32:$F$32</definedName>
    <definedName name="TOTAL_ACTIVOS">[1]BALANCE!$B$21:$F$21</definedName>
    <definedName name="TOTAL_ACTIVOS_CORRIENTES">[1]BALANCE!$B$13:$F$13</definedName>
    <definedName name="TOTAL_PASIVO_LARGO_PLAZO_Y_RESERVAS">[1]BALANCE!$B$33:$F$33</definedName>
    <definedName name="TOTAL_PASIVOS">[1]BALANCE!$B$34:$F$34</definedName>
    <definedName name="TOTAL_PASIVOS_CORRIENTES">[1]BALANCE!$B$29:$F$29</definedName>
    <definedName name="TOTAL_PATRIMONIO_NETO">[1]BALANCE!$B$42:$F$42</definedName>
    <definedName name="UTILIDAD_NETA">'[1]PÉRDIDAS &amp; GANANCIAS'!$B$25:$F$25</definedName>
    <definedName name="VENTAS_NETAS">'[1]PÉRDIDAS &amp; GANANCIAS'!$B$5:$F$5</definedName>
  </definedNames>
  <calcPr calcId="125725"/>
</workbook>
</file>

<file path=xl/calcChain.xml><?xml version="1.0" encoding="utf-8"?>
<calcChain xmlns="http://schemas.openxmlformats.org/spreadsheetml/2006/main">
  <c r="F43" i="1"/>
  <c r="B20" i="6"/>
  <c r="B19"/>
  <c r="B14"/>
  <c r="D19" i="8" l="1"/>
  <c r="B15" i="6"/>
  <c r="G41" i="13"/>
  <c r="F41"/>
  <c r="E41"/>
  <c r="D41"/>
  <c r="C42"/>
  <c r="E71" i="1"/>
  <c r="F42" i="13" s="1"/>
  <c r="D71" i="1"/>
  <c r="E42" i="13" s="1"/>
  <c r="C71" i="1"/>
  <c r="D42" i="13" s="1"/>
  <c r="B71" i="1"/>
  <c r="C41" i="13"/>
  <c r="B13" i="11"/>
  <c r="B10"/>
  <c r="B8"/>
  <c r="B47" i="3" l="1"/>
  <c r="F33"/>
  <c r="C33"/>
  <c r="N37"/>
  <c r="L37"/>
  <c r="J37"/>
  <c r="H37"/>
  <c r="F37"/>
  <c r="D37"/>
  <c r="C62" i="1"/>
  <c r="B62"/>
  <c r="C33" i="13" s="1"/>
  <c r="B69" i="1"/>
  <c r="C40" i="13" s="1"/>
  <c r="M39" i="3"/>
  <c r="K39"/>
  <c r="I39"/>
  <c r="G39"/>
  <c r="E39"/>
  <c r="C39"/>
  <c r="N38"/>
  <c r="M38"/>
  <c r="L38"/>
  <c r="K38"/>
  <c r="J38"/>
  <c r="I38"/>
  <c r="H38"/>
  <c r="G38"/>
  <c r="F38"/>
  <c r="E38"/>
  <c r="D38"/>
  <c r="C38"/>
  <c r="B68" i="1"/>
  <c r="C39" i="13" s="1"/>
  <c r="B66" i="1"/>
  <c r="C37" i="13" s="1"/>
  <c r="B67" i="1"/>
  <c r="C38" i="13" s="1"/>
  <c r="C66" i="1"/>
  <c r="D22" i="3"/>
  <c r="F22"/>
  <c r="H22"/>
  <c r="J22"/>
  <c r="L22"/>
  <c r="N22"/>
  <c r="C14" i="1"/>
  <c r="D13"/>
  <c r="E13"/>
  <c r="B14"/>
  <c r="G13" i="5"/>
  <c r="G9"/>
  <c r="C18" i="4"/>
  <c r="B8" i="2"/>
  <c r="B7"/>
  <c r="B26" i="7"/>
  <c r="B27" s="1"/>
  <c r="B23"/>
  <c r="B24" s="1"/>
  <c r="B20"/>
  <c r="B21" s="1"/>
  <c r="J2" i="5"/>
  <c r="G5" s="1"/>
  <c r="B59" i="1"/>
  <c r="B58"/>
  <c r="C58" l="1"/>
  <c r="C26" i="13"/>
  <c r="N27" i="3"/>
  <c r="C27" i="13"/>
  <c r="E26" i="3"/>
  <c r="I26"/>
  <c r="M26"/>
  <c r="B28" i="1"/>
  <c r="C40" i="3"/>
  <c r="E40"/>
  <c r="G40"/>
  <c r="I40"/>
  <c r="K40"/>
  <c r="M40"/>
  <c r="C41"/>
  <c r="E41"/>
  <c r="G41"/>
  <c r="I41"/>
  <c r="K41"/>
  <c r="M41"/>
  <c r="D42"/>
  <c r="F42"/>
  <c r="H42"/>
  <c r="J42"/>
  <c r="L42"/>
  <c r="N42"/>
  <c r="C26"/>
  <c r="G26"/>
  <c r="K26"/>
  <c r="C22"/>
  <c r="M22"/>
  <c r="K22"/>
  <c r="I22"/>
  <c r="G22"/>
  <c r="E22"/>
  <c r="C67" i="1"/>
  <c r="C68"/>
  <c r="D39" i="3"/>
  <c r="F39"/>
  <c r="H39"/>
  <c r="J39"/>
  <c r="L39"/>
  <c r="N39"/>
  <c r="D40"/>
  <c r="F40"/>
  <c r="H40"/>
  <c r="J40"/>
  <c r="L40"/>
  <c r="N40"/>
  <c r="D41"/>
  <c r="F41"/>
  <c r="H41"/>
  <c r="J41"/>
  <c r="L41"/>
  <c r="N41"/>
  <c r="C37"/>
  <c r="E37"/>
  <c r="G37"/>
  <c r="I37"/>
  <c r="K37"/>
  <c r="M37"/>
  <c r="C69" i="1"/>
  <c r="D69" s="1"/>
  <c r="C42" i="3"/>
  <c r="E42"/>
  <c r="G42"/>
  <c r="I42"/>
  <c r="K42"/>
  <c r="M42"/>
  <c r="D67" i="1"/>
  <c r="D38" i="13"/>
  <c r="D40"/>
  <c r="D26"/>
  <c r="D66" i="1"/>
  <c r="D37" i="13"/>
  <c r="D62" i="1"/>
  <c r="D33" i="13"/>
  <c r="C27" i="3"/>
  <c r="E27"/>
  <c r="G27"/>
  <c r="I27"/>
  <c r="K27"/>
  <c r="M27"/>
  <c r="D26"/>
  <c r="F26"/>
  <c r="H26"/>
  <c r="J26"/>
  <c r="L26"/>
  <c r="N26"/>
  <c r="D27"/>
  <c r="F27"/>
  <c r="H27"/>
  <c r="J27"/>
  <c r="L27"/>
  <c r="B5" i="5"/>
  <c r="D39" i="13" l="1"/>
  <c r="D68" i="1"/>
  <c r="C22" i="13"/>
  <c r="C28" i="1"/>
  <c r="E62"/>
  <c r="E33" i="13"/>
  <c r="E66" i="1"/>
  <c r="E37" i="13"/>
  <c r="E69" i="1"/>
  <c r="E40" i="13"/>
  <c r="E67" i="1"/>
  <c r="E38" i="13"/>
  <c r="D58" i="1"/>
  <c r="E58" s="1"/>
  <c r="B65"/>
  <c r="B64"/>
  <c r="B63"/>
  <c r="B61"/>
  <c r="B60"/>
  <c r="C59"/>
  <c r="B54"/>
  <c r="B7" i="8" s="1"/>
  <c r="B66" i="13" s="1"/>
  <c r="C61" i="1" l="1"/>
  <c r="C29" i="13"/>
  <c r="N29" i="3"/>
  <c r="L29"/>
  <c r="J29"/>
  <c r="H29"/>
  <c r="F29"/>
  <c r="D29"/>
  <c r="M29"/>
  <c r="K29"/>
  <c r="I29"/>
  <c r="G29"/>
  <c r="E29"/>
  <c r="C29"/>
  <c r="C64" i="1"/>
  <c r="C35" i="13"/>
  <c r="N35" i="3"/>
  <c r="L35"/>
  <c r="J35"/>
  <c r="H35"/>
  <c r="F35"/>
  <c r="D35"/>
  <c r="M35"/>
  <c r="K35"/>
  <c r="I35"/>
  <c r="G35"/>
  <c r="E35"/>
  <c r="C35"/>
  <c r="D28" i="1"/>
  <c r="D22" i="13"/>
  <c r="E39"/>
  <c r="E68" i="1"/>
  <c r="C28" i="13"/>
  <c r="B72" i="1"/>
  <c r="C34" i="13"/>
  <c r="N34" i="3"/>
  <c r="L34"/>
  <c r="L43" s="1"/>
  <c r="J34"/>
  <c r="H34"/>
  <c r="H43" s="1"/>
  <c r="F34"/>
  <c r="D34"/>
  <c r="D43" s="1"/>
  <c r="C63" i="1"/>
  <c r="D34" i="13" s="1"/>
  <c r="M34" i="3"/>
  <c r="K34"/>
  <c r="I34"/>
  <c r="G34"/>
  <c r="E34"/>
  <c r="C34"/>
  <c r="C65" i="1"/>
  <c r="D65" s="1"/>
  <c r="C36" i="13"/>
  <c r="N36" i="3"/>
  <c r="L36"/>
  <c r="J36"/>
  <c r="H36"/>
  <c r="F36"/>
  <c r="D36"/>
  <c r="M36"/>
  <c r="K36"/>
  <c r="I36"/>
  <c r="G36"/>
  <c r="E36"/>
  <c r="C36"/>
  <c r="D59" i="1"/>
  <c r="D27" i="13"/>
  <c r="D64" i="1"/>
  <c r="D35" i="13"/>
  <c r="E26"/>
  <c r="D36"/>
  <c r="F67" i="1"/>
  <c r="G38" i="13" s="1"/>
  <c r="F38"/>
  <c r="F69" i="1"/>
  <c r="G40" i="13" s="1"/>
  <c r="F40"/>
  <c r="F66" i="1"/>
  <c r="G37" i="13" s="1"/>
  <c r="F37"/>
  <c r="F62" i="1"/>
  <c r="G33" i="13" s="1"/>
  <c r="F33"/>
  <c r="D61" i="1"/>
  <c r="D29" i="13"/>
  <c r="C60" i="1"/>
  <c r="N28" i="3"/>
  <c r="N30" s="1"/>
  <c r="L28"/>
  <c r="J28"/>
  <c r="J30" s="1"/>
  <c r="H28"/>
  <c r="F28"/>
  <c r="F30" s="1"/>
  <c r="D28"/>
  <c r="M28"/>
  <c r="M30" s="1"/>
  <c r="K28"/>
  <c r="I28"/>
  <c r="I30" s="1"/>
  <c r="G28"/>
  <c r="E28"/>
  <c r="E30" s="1"/>
  <c r="C28"/>
  <c r="C43" i="1"/>
  <c r="G43"/>
  <c r="E44"/>
  <c r="E41"/>
  <c r="E39"/>
  <c r="G39" s="1"/>
  <c r="E38"/>
  <c r="G38" s="1"/>
  <c r="E37"/>
  <c r="G37" s="1"/>
  <c r="E36"/>
  <c r="G36" s="1"/>
  <c r="E35"/>
  <c r="E34"/>
  <c r="B9" i="2"/>
  <c r="B11" s="1"/>
  <c r="B13" s="1"/>
  <c r="D9" i="1"/>
  <c r="D12"/>
  <c r="D11"/>
  <c r="D5"/>
  <c r="D10"/>
  <c r="D8"/>
  <c r="D7"/>
  <c r="D6"/>
  <c r="D4"/>
  <c r="C43" i="13" l="1"/>
  <c r="D15" i="3"/>
  <c r="F15"/>
  <c r="H15"/>
  <c r="J15"/>
  <c r="L15"/>
  <c r="N15"/>
  <c r="E15"/>
  <c r="G15"/>
  <c r="I15"/>
  <c r="K15"/>
  <c r="M15"/>
  <c r="C15"/>
  <c r="D17"/>
  <c r="F17"/>
  <c r="H17"/>
  <c r="J17"/>
  <c r="L17"/>
  <c r="N17"/>
  <c r="E17"/>
  <c r="G17"/>
  <c r="I17"/>
  <c r="K17"/>
  <c r="M17"/>
  <c r="C17"/>
  <c r="E14"/>
  <c r="G14"/>
  <c r="I14"/>
  <c r="K14"/>
  <c r="M14"/>
  <c r="C14"/>
  <c r="D14"/>
  <c r="F14"/>
  <c r="H14"/>
  <c r="J14"/>
  <c r="L14"/>
  <c r="N14"/>
  <c r="D21"/>
  <c r="F21"/>
  <c r="H21"/>
  <c r="J21"/>
  <c r="L21"/>
  <c r="N21"/>
  <c r="E21"/>
  <c r="G21"/>
  <c r="I21"/>
  <c r="K21"/>
  <c r="M21"/>
  <c r="C21"/>
  <c r="G44" i="1"/>
  <c r="G61" i="13" s="1"/>
  <c r="C47"/>
  <c r="C45" i="1"/>
  <c r="B7" i="11"/>
  <c r="F68" i="1"/>
  <c r="G39" i="13" s="1"/>
  <c r="F39"/>
  <c r="D13" i="3"/>
  <c r="F13"/>
  <c r="H13"/>
  <c r="J13"/>
  <c r="L13"/>
  <c r="N13"/>
  <c r="E13"/>
  <c r="G13"/>
  <c r="I13"/>
  <c r="K13"/>
  <c r="M13"/>
  <c r="D14" i="1"/>
  <c r="E16" i="3"/>
  <c r="G16"/>
  <c r="I16"/>
  <c r="K16"/>
  <c r="M16"/>
  <c r="C16"/>
  <c r="D16"/>
  <c r="F16"/>
  <c r="H16"/>
  <c r="J16"/>
  <c r="L16"/>
  <c r="N16"/>
  <c r="D19"/>
  <c r="F19"/>
  <c r="H19"/>
  <c r="J19"/>
  <c r="L19"/>
  <c r="N19"/>
  <c r="E19"/>
  <c r="G19"/>
  <c r="I19"/>
  <c r="K19"/>
  <c r="M19"/>
  <c r="C19"/>
  <c r="E20"/>
  <c r="G20"/>
  <c r="I20"/>
  <c r="K20"/>
  <c r="M20"/>
  <c r="C20"/>
  <c r="D20"/>
  <c r="F20"/>
  <c r="H20"/>
  <c r="J20"/>
  <c r="L20"/>
  <c r="N20"/>
  <c r="E18"/>
  <c r="G18"/>
  <c r="I18"/>
  <c r="K18"/>
  <c r="M18"/>
  <c r="C18"/>
  <c r="D18"/>
  <c r="F18"/>
  <c r="H18"/>
  <c r="J18"/>
  <c r="L18"/>
  <c r="N18"/>
  <c r="G34" i="1"/>
  <c r="C48" i="13"/>
  <c r="G41" i="1"/>
  <c r="C49" i="13"/>
  <c r="D49" s="1"/>
  <c r="E49" s="1"/>
  <c r="F49" s="1"/>
  <c r="G49" s="1"/>
  <c r="G60"/>
  <c r="F46"/>
  <c r="B34" i="3"/>
  <c r="B43" s="1"/>
  <c r="C43"/>
  <c r="E28" i="1"/>
  <c r="E22" i="13"/>
  <c r="E43" i="3"/>
  <c r="I43"/>
  <c r="M43"/>
  <c r="C30"/>
  <c r="G30"/>
  <c r="K30"/>
  <c r="D30"/>
  <c r="H30"/>
  <c r="L30"/>
  <c r="G43"/>
  <c r="K43"/>
  <c r="F43"/>
  <c r="J43"/>
  <c r="N43"/>
  <c r="D63" i="1"/>
  <c r="C30" i="13"/>
  <c r="B16" i="2"/>
  <c r="H4" i="7" s="1"/>
  <c r="B17" i="2"/>
  <c r="D60" i="1"/>
  <c r="D28" i="13"/>
  <c r="D30" s="1"/>
  <c r="E61" i="1"/>
  <c r="E29" i="13"/>
  <c r="E65" i="1"/>
  <c r="E36" i="13"/>
  <c r="E59" i="1"/>
  <c r="E27" i="13"/>
  <c r="D43"/>
  <c r="C72" i="1"/>
  <c r="F58"/>
  <c r="F26" i="13"/>
  <c r="E64" i="1"/>
  <c r="E35" i="13"/>
  <c r="E6" i="1"/>
  <c r="E8"/>
  <c r="E5"/>
  <c r="E12"/>
  <c r="E4"/>
  <c r="C13" i="3"/>
  <c r="C23" s="1"/>
  <c r="C48" s="1"/>
  <c r="E7" i="1"/>
  <c r="B22" s="1"/>
  <c r="C16" i="13" s="1"/>
  <c r="E10" i="1"/>
  <c r="B25" s="1"/>
  <c r="C19" i="13" s="1"/>
  <c r="E11" i="1"/>
  <c r="B26" s="1"/>
  <c r="C20" i="13" s="1"/>
  <c r="E9" i="1"/>
  <c r="B24" s="1"/>
  <c r="C18" i="13" s="1"/>
  <c r="B19" i="1"/>
  <c r="E43"/>
  <c r="C25"/>
  <c r="B20"/>
  <c r="C14" i="13" s="1"/>
  <c r="B27" i="1"/>
  <c r="B21"/>
  <c r="B23"/>
  <c r="G35"/>
  <c r="G45" s="1"/>
  <c r="C24"/>
  <c r="C26"/>
  <c r="C22"/>
  <c r="D4" i="7" l="1"/>
  <c r="D22" i="1"/>
  <c r="D16" i="13"/>
  <c r="D24" i="1"/>
  <c r="D18" i="13"/>
  <c r="C23" i="1"/>
  <c r="C17" i="13"/>
  <c r="C27" i="1"/>
  <c r="C21" i="13"/>
  <c r="D25" i="1"/>
  <c r="D19" i="13"/>
  <c r="C19" i="1"/>
  <c r="C13" i="13"/>
  <c r="B29" i="1"/>
  <c r="F57" i="13"/>
  <c r="G46"/>
  <c r="G57" s="1"/>
  <c r="D48"/>
  <c r="C59"/>
  <c r="C58"/>
  <c r="D47"/>
  <c r="D26" i="1"/>
  <c r="D20" i="13"/>
  <c r="C21" i="1"/>
  <c r="C15" i="13"/>
  <c r="E45" i="1"/>
  <c r="C46" i="13"/>
  <c r="E34"/>
  <c r="E63" i="1"/>
  <c r="F28"/>
  <c r="G22" i="13" s="1"/>
  <c r="F22"/>
  <c r="B48" i="3"/>
  <c r="B49" s="1"/>
  <c r="B50" s="1"/>
  <c r="B44"/>
  <c r="A3" i="19"/>
  <c r="B6" i="8"/>
  <c r="B65" i="13" s="1"/>
  <c r="E43"/>
  <c r="K23" i="3"/>
  <c r="K48" s="1"/>
  <c r="G23"/>
  <c r="G48" s="1"/>
  <c r="N23"/>
  <c r="N48" s="1"/>
  <c r="J23"/>
  <c r="F23"/>
  <c r="F48" s="1"/>
  <c r="E14" i="1"/>
  <c r="G62" i="13"/>
  <c r="M23" i="3"/>
  <c r="I23"/>
  <c r="I48" s="1"/>
  <c r="E23"/>
  <c r="L23"/>
  <c r="H23"/>
  <c r="H48" s="1"/>
  <c r="D23"/>
  <c r="F64" i="1"/>
  <c r="G35" i="13" s="1"/>
  <c r="F35"/>
  <c r="F59" i="1"/>
  <c r="G27" i="13" s="1"/>
  <c r="F27"/>
  <c r="F65" i="1"/>
  <c r="G36" i="13" s="1"/>
  <c r="F36"/>
  <c r="F61" i="1"/>
  <c r="G29" i="13" s="1"/>
  <c r="F29"/>
  <c r="E60" i="1"/>
  <c r="E28" i="13"/>
  <c r="E30" s="1"/>
  <c r="D72" i="1"/>
  <c r="G26" i="13"/>
  <c r="C44" i="3"/>
  <c r="M4" i="7"/>
  <c r="M10" s="1"/>
  <c r="N3" i="3" s="1"/>
  <c r="B17" i="4"/>
  <c r="B5"/>
  <c r="B16"/>
  <c r="B6"/>
  <c r="B4" i="7"/>
  <c r="B13" s="1"/>
  <c r="C6" i="3" s="1"/>
  <c r="F4" i="7"/>
  <c r="F13" s="1"/>
  <c r="G6" i="3" s="1"/>
  <c r="J4" i="7"/>
  <c r="J13" s="1"/>
  <c r="K6" i="3" s="1"/>
  <c r="L4" i="7"/>
  <c r="L13" s="1"/>
  <c r="M6" i="3" s="1"/>
  <c r="C4" i="7"/>
  <c r="C10" s="1"/>
  <c r="D3" i="3" s="1"/>
  <c r="E4" i="7"/>
  <c r="E13" s="1"/>
  <c r="F6" i="3" s="1"/>
  <c r="G4" i="7"/>
  <c r="G13" s="1"/>
  <c r="H6" i="3" s="1"/>
  <c r="I4" i="7"/>
  <c r="I13" s="1"/>
  <c r="J6" i="3" s="1"/>
  <c r="K4" i="7"/>
  <c r="K10" s="1"/>
  <c r="L3" i="3" s="1"/>
  <c r="B18" i="2"/>
  <c r="M5" i="7"/>
  <c r="N4" i="3" s="1"/>
  <c r="L5" i="7"/>
  <c r="M4" i="3" s="1"/>
  <c r="K5" i="7"/>
  <c r="L4" i="3" s="1"/>
  <c r="J5" i="7"/>
  <c r="K4" i="3" s="1"/>
  <c r="I5" i="7"/>
  <c r="J4" i="3" s="1"/>
  <c r="H5" i="7"/>
  <c r="I4" i="3" s="1"/>
  <c r="G5" i="7"/>
  <c r="H4" i="3" s="1"/>
  <c r="F5" i="7"/>
  <c r="G4" i="3" s="1"/>
  <c r="E5" i="7"/>
  <c r="F4" i="3" s="1"/>
  <c r="D5" i="7"/>
  <c r="E4" i="3" s="1"/>
  <c r="C5" i="7"/>
  <c r="D4" i="3" s="1"/>
  <c r="B5" i="7"/>
  <c r="C4" i="3" s="1"/>
  <c r="B10" i="7"/>
  <c r="C3" i="3" s="1"/>
  <c r="D13" i="7"/>
  <c r="E6" i="3" s="1"/>
  <c r="D10" i="7"/>
  <c r="E3" i="3" s="1"/>
  <c r="E10" i="7"/>
  <c r="F3" i="3" s="1"/>
  <c r="H13" i="7"/>
  <c r="I6" i="3" s="1"/>
  <c r="H10" i="7"/>
  <c r="I3" i="3" s="1"/>
  <c r="J10" i="7"/>
  <c r="K3" i="3" s="1"/>
  <c r="C20" i="1"/>
  <c r="F44" i="3" l="1"/>
  <c r="C23" i="13"/>
  <c r="I44" i="3"/>
  <c r="E44"/>
  <c r="E48"/>
  <c r="M44"/>
  <c r="M48"/>
  <c r="J44"/>
  <c r="J48"/>
  <c r="D21" i="1"/>
  <c r="D15" i="13"/>
  <c r="E26" i="1"/>
  <c r="E20" i="13"/>
  <c r="D59"/>
  <c r="E48"/>
  <c r="D20" i="1"/>
  <c r="D14" i="13"/>
  <c r="D44" i="3"/>
  <c r="D48"/>
  <c r="L44"/>
  <c r="L48"/>
  <c r="F34" i="13"/>
  <c r="F63" i="1"/>
  <c r="G34" i="13" s="1"/>
  <c r="C57"/>
  <c r="D46"/>
  <c r="D58"/>
  <c r="E47"/>
  <c r="D13"/>
  <c r="C29" i="1"/>
  <c r="D19"/>
  <c r="E25"/>
  <c r="E19" i="13"/>
  <c r="D27" i="1"/>
  <c r="D21" i="13"/>
  <c r="D23" i="1"/>
  <c r="D17" i="13"/>
  <c r="E24" i="1"/>
  <c r="E18" i="13"/>
  <c r="E22" i="1"/>
  <c r="E16" i="13"/>
  <c r="H44" i="3"/>
  <c r="K44"/>
  <c r="G44"/>
  <c r="N44"/>
  <c r="G43" i="13"/>
  <c r="F43"/>
  <c r="F60" i="1"/>
  <c r="G28" i="13" s="1"/>
  <c r="G30" s="1"/>
  <c r="F28"/>
  <c r="F30" s="1"/>
  <c r="E72" i="1"/>
  <c r="M13" i="7"/>
  <c r="N6" i="3" s="1"/>
  <c r="F10" i="7"/>
  <c r="G3" i="3" s="1"/>
  <c r="L10" i="7"/>
  <c r="M3" i="3" s="1"/>
  <c r="I10" i="7"/>
  <c r="J3" i="3" s="1"/>
  <c r="D29" i="5"/>
  <c r="D24"/>
  <c r="B29"/>
  <c r="B24"/>
  <c r="B7" i="4"/>
  <c r="K13" i="7"/>
  <c r="L6" i="3" s="1"/>
  <c r="G10" i="7"/>
  <c r="H3" i="3" s="1"/>
  <c r="C13" i="7"/>
  <c r="D6" i="3" s="1"/>
  <c r="C6" i="4"/>
  <c r="E16"/>
  <c r="B18"/>
  <c r="E17"/>
  <c r="C5"/>
  <c r="N4" i="7"/>
  <c r="N5"/>
  <c r="O5" s="1"/>
  <c r="B56" i="5"/>
  <c r="C61"/>
  <c r="B14" i="7"/>
  <c r="C7" i="3" s="1"/>
  <c r="C8" s="1"/>
  <c r="C47" s="1"/>
  <c r="C49" s="1"/>
  <c r="C50" s="1"/>
  <c r="B11" i="7"/>
  <c r="C14"/>
  <c r="D7" i="3" s="1"/>
  <c r="C11" i="7"/>
  <c r="D14"/>
  <c r="E7" i="3" s="1"/>
  <c r="E8" s="1"/>
  <c r="E47" s="1"/>
  <c r="D11" i="7"/>
  <c r="E14"/>
  <c r="F7" i="3" s="1"/>
  <c r="F8" s="1"/>
  <c r="F47" s="1"/>
  <c r="F49" s="1"/>
  <c r="E11" i="7"/>
  <c r="F14"/>
  <c r="G7" i="3" s="1"/>
  <c r="F11" i="7"/>
  <c r="G14"/>
  <c r="H7" i="3" s="1"/>
  <c r="G11" i="7"/>
  <c r="H14"/>
  <c r="I7" i="3" s="1"/>
  <c r="I8" s="1"/>
  <c r="I47" s="1"/>
  <c r="I49" s="1"/>
  <c r="H11" i="7"/>
  <c r="I14"/>
  <c r="J7" i="3" s="1"/>
  <c r="I11" i="7"/>
  <c r="J14"/>
  <c r="K7" i="3" s="1"/>
  <c r="K8" s="1"/>
  <c r="K47" s="1"/>
  <c r="K49" s="1"/>
  <c r="J11" i="7"/>
  <c r="K14"/>
  <c r="L7" i="3" s="1"/>
  <c r="K11" i="7"/>
  <c r="L14"/>
  <c r="M7" i="3" s="1"/>
  <c r="L11" i="7"/>
  <c r="M14"/>
  <c r="N7" i="3" s="1"/>
  <c r="M11" i="7"/>
  <c r="F22" i="1" l="1"/>
  <c r="G16" i="13" s="1"/>
  <c r="F16"/>
  <c r="F24" i="1"/>
  <c r="G18" i="13" s="1"/>
  <c r="F18"/>
  <c r="E23" i="1"/>
  <c r="E17" i="13"/>
  <c r="E21"/>
  <c r="E27" i="1"/>
  <c r="F25"/>
  <c r="G19" i="13" s="1"/>
  <c r="F19"/>
  <c r="F47"/>
  <c r="E58"/>
  <c r="D57"/>
  <c r="E46"/>
  <c r="E57" s="1"/>
  <c r="F48"/>
  <c r="E59"/>
  <c r="E19" i="1"/>
  <c r="E13" i="13"/>
  <c r="D29" i="1"/>
  <c r="E20"/>
  <c r="E14" i="13"/>
  <c r="F26" i="1"/>
  <c r="G20" i="13" s="1"/>
  <c r="F20"/>
  <c r="E21" i="1"/>
  <c r="E15" i="13"/>
  <c r="N13" i="7"/>
  <c r="C7" i="13" s="1"/>
  <c r="N8" i="3"/>
  <c r="N47" s="1"/>
  <c r="N49" s="1"/>
  <c r="M8"/>
  <c r="M47" s="1"/>
  <c r="M49" s="1"/>
  <c r="E49"/>
  <c r="D23" i="13"/>
  <c r="O4" i="7"/>
  <c r="N6"/>
  <c r="F72" i="1"/>
  <c r="J8" i="3"/>
  <c r="J47" s="1"/>
  <c r="J49" s="1"/>
  <c r="G8"/>
  <c r="G47" s="1"/>
  <c r="G49" s="1"/>
  <c r="N10" i="7"/>
  <c r="C4" i="13" s="1"/>
  <c r="H8" i="3"/>
  <c r="H47" s="1"/>
  <c r="H49" s="1"/>
  <c r="D8"/>
  <c r="D47" s="1"/>
  <c r="D49" s="1"/>
  <c r="D50" s="1"/>
  <c r="E50" s="1"/>
  <c r="F50" s="1"/>
  <c r="L8"/>
  <c r="L47" s="1"/>
  <c r="L49" s="1"/>
  <c r="G24" i="5"/>
  <c r="G29" s="1"/>
  <c r="C7" i="4"/>
  <c r="D5"/>
  <c r="G18" i="5"/>
  <c r="G6"/>
  <c r="G7" s="1"/>
  <c r="G10"/>
  <c r="D6" i="4"/>
  <c r="E6" s="1"/>
  <c r="G6" s="1"/>
  <c r="I24" i="5"/>
  <c r="I29" s="1"/>
  <c r="B10"/>
  <c r="B18"/>
  <c r="B6"/>
  <c r="B7" s="1"/>
  <c r="B43" s="1"/>
  <c r="O13" i="7"/>
  <c r="D7" i="13" s="1"/>
  <c r="B28" i="5"/>
  <c r="B30" s="1"/>
  <c r="B42" s="1"/>
  <c r="I28"/>
  <c r="I30" s="1"/>
  <c r="F92" s="1"/>
  <c r="D28"/>
  <c r="D30" s="1"/>
  <c r="E18" i="4"/>
  <c r="G28" i="5"/>
  <c r="G30" s="1"/>
  <c r="F80" s="1"/>
  <c r="P4" i="7"/>
  <c r="O14"/>
  <c r="D8" i="13" s="1"/>
  <c r="O11" i="7"/>
  <c r="D5" i="13" s="1"/>
  <c r="P5" i="7"/>
  <c r="N11"/>
  <c r="C5" i="13" s="1"/>
  <c r="N14" i="7"/>
  <c r="C8" i="13" s="1"/>
  <c r="E23" l="1"/>
  <c r="F21" i="1"/>
  <c r="G15" i="13" s="1"/>
  <c r="F15"/>
  <c r="F20" i="1"/>
  <c r="G14" i="13" s="1"/>
  <c r="F14"/>
  <c r="F21"/>
  <c r="F27" i="1"/>
  <c r="F19"/>
  <c r="G13" i="13" s="1"/>
  <c r="F13"/>
  <c r="F23" s="1"/>
  <c r="E29" i="1"/>
  <c r="G48" i="13"/>
  <c r="G59" s="1"/>
  <c r="F59"/>
  <c r="G47"/>
  <c r="G58" s="1"/>
  <c r="F58"/>
  <c r="F23" i="1"/>
  <c r="G17" i="13" s="1"/>
  <c r="F17"/>
  <c r="O10" i="7"/>
  <c r="D4" i="13" s="1"/>
  <c r="D9" s="1"/>
  <c r="O6" i="7"/>
  <c r="P13"/>
  <c r="E7" i="13" s="1"/>
  <c r="P6" i="7"/>
  <c r="G50" i="3"/>
  <c r="H50" s="1"/>
  <c r="C9" i="13"/>
  <c r="B3" i="19" s="1"/>
  <c r="C60" i="5"/>
  <c r="F75"/>
  <c r="F87"/>
  <c r="P10" i="7"/>
  <c r="E4" i="13" s="1"/>
  <c r="G14" i="5"/>
  <c r="G15" s="1"/>
  <c r="G11"/>
  <c r="B14"/>
  <c r="B15" s="1"/>
  <c r="B41" s="1"/>
  <c r="B11"/>
  <c r="D23"/>
  <c r="D25" s="1"/>
  <c r="I23"/>
  <c r="D7" i="4"/>
  <c r="E5"/>
  <c r="Q4" i="7"/>
  <c r="Q5"/>
  <c r="P14"/>
  <c r="E8" i="13" s="1"/>
  <c r="P11" i="7"/>
  <c r="E5" i="13" s="1"/>
  <c r="F29" i="1" l="1"/>
  <c r="G21" i="13"/>
  <c r="G23" s="1"/>
  <c r="I25" i="5"/>
  <c r="F91" s="1"/>
  <c r="R4" i="7"/>
  <c r="Q6"/>
  <c r="I50" i="3"/>
  <c r="J50" s="1"/>
  <c r="K50" s="1"/>
  <c r="L50" s="1"/>
  <c r="M50" s="1"/>
  <c r="N50" s="1"/>
  <c r="E9" i="13"/>
  <c r="C59" i="5"/>
  <c r="F77"/>
  <c r="F89"/>
  <c r="Q13" i="7"/>
  <c r="F7" i="13" s="1"/>
  <c r="C57" i="5"/>
  <c r="F88"/>
  <c r="F76"/>
  <c r="Q10" i="7"/>
  <c r="F4" i="13" s="1"/>
  <c r="G5" i="4"/>
  <c r="G23" i="5" s="1"/>
  <c r="E7" i="4"/>
  <c r="A12" s="1"/>
  <c r="C12" s="1"/>
  <c r="B17" i="5" s="1"/>
  <c r="R5" i="7"/>
  <c r="Q14"/>
  <c r="F8" i="13" s="1"/>
  <c r="Q11" i="7"/>
  <c r="F5" i="13" s="1"/>
  <c r="R13" i="7"/>
  <c r="G7" i="13" s="1"/>
  <c r="R10" i="7"/>
  <c r="G4" i="13" s="1"/>
  <c r="C52" i="3" l="1"/>
  <c r="B8" i="8" s="1"/>
  <c r="R6" i="7"/>
  <c r="F9" i="13"/>
  <c r="G17" i="5"/>
  <c r="G19" s="1"/>
  <c r="B19"/>
  <c r="B23"/>
  <c r="B25" s="1"/>
  <c r="G25"/>
  <c r="F79" s="1"/>
  <c r="G7" i="4"/>
  <c r="R14" i="7"/>
  <c r="G8" i="13" s="1"/>
  <c r="R11" i="7"/>
  <c r="G5" i="13" s="1"/>
  <c r="B4" i="11" l="1"/>
  <c r="B15" s="1"/>
  <c r="B67" i="13"/>
  <c r="G68"/>
  <c r="B9" i="8"/>
  <c r="G9" i="13"/>
  <c r="F90" i="5"/>
  <c r="F95" s="1"/>
  <c r="B4" i="6" s="1"/>
  <c r="F78" i="5"/>
  <c r="F83" s="1"/>
  <c r="B3" i="6" s="1"/>
  <c r="B40" i="5"/>
  <c r="C58"/>
  <c r="B39"/>
  <c r="B38"/>
  <c r="C56"/>
  <c r="H85" l="1"/>
  <c r="C3" i="19" s="1"/>
  <c r="D3" s="1"/>
  <c r="C2" i="14"/>
  <c r="C13" i="8"/>
  <c r="E2" i="14"/>
  <c r="B7" i="6"/>
  <c r="C14" i="8"/>
  <c r="B8" i="6"/>
  <c r="B44" i="5"/>
  <c r="B45" s="1"/>
  <c r="B49" s="1"/>
  <c r="C62"/>
  <c r="C66" s="1"/>
  <c r="B64" i="13" l="1"/>
  <c r="B69" s="1"/>
  <c r="E25" i="8"/>
  <c r="L25"/>
  <c r="E3" i="11"/>
  <c r="E7" s="1"/>
  <c r="J26" i="8" l="1"/>
  <c r="I26"/>
  <c r="K26" s="1"/>
  <c r="L26" s="1"/>
  <c r="J27" s="1"/>
  <c r="I27"/>
  <c r="I31"/>
  <c r="I35"/>
  <c r="I39"/>
  <c r="I43"/>
  <c r="I47"/>
  <c r="I51"/>
  <c r="I55"/>
  <c r="I59"/>
  <c r="I63"/>
  <c r="I67"/>
  <c r="I71"/>
  <c r="I75"/>
  <c r="I79"/>
  <c r="I83"/>
  <c r="I28"/>
  <c r="I32"/>
  <c r="I36"/>
  <c r="I40"/>
  <c r="I44"/>
  <c r="I48"/>
  <c r="I52"/>
  <c r="I56"/>
  <c r="I60"/>
  <c r="I64"/>
  <c r="I68"/>
  <c r="I72"/>
  <c r="I76"/>
  <c r="I80"/>
  <c r="I84"/>
  <c r="I29"/>
  <c r="I33"/>
  <c r="I37"/>
  <c r="I41"/>
  <c r="I45"/>
  <c r="I49"/>
  <c r="I53"/>
  <c r="I57"/>
  <c r="I61"/>
  <c r="I65"/>
  <c r="I69"/>
  <c r="I73"/>
  <c r="I77"/>
  <c r="I81"/>
  <c r="I85"/>
  <c r="I30"/>
  <c r="I34"/>
  <c r="I38"/>
  <c r="I42"/>
  <c r="I46"/>
  <c r="I50"/>
  <c r="I54"/>
  <c r="I58"/>
  <c r="I62"/>
  <c r="I66"/>
  <c r="I70"/>
  <c r="I74"/>
  <c r="I78"/>
  <c r="I82"/>
  <c r="E15" i="11"/>
  <c r="E2" s="1"/>
  <c r="B27" i="8"/>
  <c r="B29"/>
  <c r="C26"/>
  <c r="C45" i="13" s="1"/>
  <c r="B26" i="8"/>
  <c r="D26" s="1"/>
  <c r="E26" s="1"/>
  <c r="B28"/>
  <c r="B30"/>
  <c r="K27" l="1"/>
  <c r="L27" s="1"/>
  <c r="J28" s="1"/>
  <c r="K28" s="1"/>
  <c r="L28" s="1"/>
  <c r="J29" s="1"/>
  <c r="K29" s="1"/>
  <c r="L29" s="1"/>
  <c r="J30" s="1"/>
  <c r="K30" s="1"/>
  <c r="L30" s="1"/>
  <c r="J31" s="1"/>
  <c r="K31" s="1"/>
  <c r="L31" s="1"/>
  <c r="J32" s="1"/>
  <c r="K32" s="1"/>
  <c r="L32" s="1"/>
  <c r="J33" s="1"/>
  <c r="K33" s="1"/>
  <c r="L33" s="1"/>
  <c r="J34" s="1"/>
  <c r="K34" s="1"/>
  <c r="L34" s="1"/>
  <c r="J35" s="1"/>
  <c r="K35" s="1"/>
  <c r="L35" s="1"/>
  <c r="J36" s="1"/>
  <c r="K36" s="1"/>
  <c r="L36" s="1"/>
  <c r="J37" s="1"/>
  <c r="K37" s="1"/>
  <c r="L37" s="1"/>
  <c r="J38" s="1"/>
  <c r="K38" s="1"/>
  <c r="L38" s="1"/>
  <c r="J39" s="1"/>
  <c r="K39" s="1"/>
  <c r="L39" s="1"/>
  <c r="J40" s="1"/>
  <c r="K40" s="1"/>
  <c r="L40" s="1"/>
  <c r="J41" s="1"/>
  <c r="K41" s="1"/>
  <c r="L41" s="1"/>
  <c r="J42" s="1"/>
  <c r="K42" s="1"/>
  <c r="L42" s="1"/>
  <c r="J43" s="1"/>
  <c r="K43" s="1"/>
  <c r="L43" s="1"/>
  <c r="J44" s="1"/>
  <c r="K44" s="1"/>
  <c r="L44" s="1"/>
  <c r="J45" s="1"/>
  <c r="K45" s="1"/>
  <c r="L45" s="1"/>
  <c r="J46" s="1"/>
  <c r="K46" s="1"/>
  <c r="L46" s="1"/>
  <c r="J47" s="1"/>
  <c r="K47" s="1"/>
  <c r="L47" s="1"/>
  <c r="C27"/>
  <c r="D45" i="13" s="1"/>
  <c r="C63"/>
  <c r="C56"/>
  <c r="C51"/>
  <c r="C52" s="1"/>
  <c r="C53" s="1"/>
  <c r="C54" s="1"/>
  <c r="C55" s="1"/>
  <c r="D27" i="8"/>
  <c r="E27" s="1"/>
  <c r="C28" l="1"/>
  <c r="D63" i="13"/>
  <c r="D56"/>
  <c r="D51"/>
  <c r="D52" s="1"/>
  <c r="D53" s="1"/>
  <c r="D54" s="1"/>
  <c r="D55" s="1"/>
  <c r="C69"/>
  <c r="J48" i="8"/>
  <c r="K48" s="1"/>
  <c r="L48" s="1"/>
  <c r="D69" i="13" l="1"/>
  <c r="D3" i="14" s="1"/>
  <c r="D2"/>
  <c r="F2" s="1"/>
  <c r="C3" s="1"/>
  <c r="E3" s="1"/>
  <c r="D28" i="8"/>
  <c r="E28" s="1"/>
  <c r="E45" i="13"/>
  <c r="J49" i="8"/>
  <c r="K49" s="1"/>
  <c r="L49" s="1"/>
  <c r="F3" i="14" l="1"/>
  <c r="C4" s="1"/>
  <c r="E4"/>
  <c r="C29" i="8"/>
  <c r="E63" i="13"/>
  <c r="E51"/>
  <c r="E52" s="1"/>
  <c r="E53" s="1"/>
  <c r="E54" s="1"/>
  <c r="E55" s="1"/>
  <c r="E56"/>
  <c r="J50" i="8"/>
  <c r="K50" s="1"/>
  <c r="L50" s="1"/>
  <c r="E69" i="13" l="1"/>
  <c r="D4" i="14"/>
  <c r="F4" s="1"/>
  <c r="C5" s="1"/>
  <c r="E5" s="1"/>
  <c r="D29" i="8"/>
  <c r="E29" s="1"/>
  <c r="F45" i="13"/>
  <c r="J51" i="8"/>
  <c r="K51" s="1"/>
  <c r="L51" s="1"/>
  <c r="C30" l="1"/>
  <c r="F63" i="13"/>
  <c r="F51"/>
  <c r="F52" s="1"/>
  <c r="F53" s="1"/>
  <c r="F54" s="1"/>
  <c r="F55" s="1"/>
  <c r="F56"/>
  <c r="J52" i="8"/>
  <c r="K52" s="1"/>
  <c r="L52" s="1"/>
  <c r="F69" i="13" l="1"/>
  <c r="D5" i="14" s="1"/>
  <c r="F5" s="1"/>
  <c r="C6" s="1"/>
  <c r="E6" s="1"/>
  <c r="D30" i="8"/>
  <c r="E30" s="1"/>
  <c r="G63" i="13" s="1"/>
  <c r="G45"/>
  <c r="J53" i="8"/>
  <c r="K53" s="1"/>
  <c r="L53" s="1"/>
  <c r="G56" i="13" l="1"/>
  <c r="G51"/>
  <c r="G52" s="1"/>
  <c r="G53" s="1"/>
  <c r="G54" s="1"/>
  <c r="G55" s="1"/>
  <c r="J54" i="8"/>
  <c r="K54" s="1"/>
  <c r="L54" s="1"/>
  <c r="G69" i="13" l="1"/>
  <c r="D6" i="14" s="1"/>
  <c r="F6" s="1"/>
  <c r="B71" i="13"/>
  <c r="J55" i="8"/>
  <c r="K55" s="1"/>
  <c r="L55" s="1"/>
  <c r="C6" i="18" l="1"/>
  <c r="B72" i="13"/>
  <c r="B6" i="18" s="1"/>
  <c r="J56" i="8"/>
  <c r="K56" s="1"/>
  <c r="L56" s="1"/>
  <c r="J57" l="1"/>
  <c r="K57" s="1"/>
  <c r="L57" s="1"/>
  <c r="J58" l="1"/>
  <c r="K58" s="1"/>
  <c r="L58" s="1"/>
  <c r="J59" l="1"/>
  <c r="K59" s="1"/>
  <c r="L59" s="1"/>
  <c r="J60" l="1"/>
  <c r="K60" s="1"/>
  <c r="L60" s="1"/>
  <c r="J61" l="1"/>
  <c r="K61" s="1"/>
  <c r="L61" s="1"/>
  <c r="J62" l="1"/>
  <c r="K62" s="1"/>
  <c r="L62" s="1"/>
  <c r="J63" l="1"/>
  <c r="K63" s="1"/>
  <c r="L63" s="1"/>
  <c r="J64" l="1"/>
  <c r="K64" s="1"/>
  <c r="L64" s="1"/>
  <c r="J65" l="1"/>
  <c r="K65" s="1"/>
  <c r="L65" s="1"/>
  <c r="J66" l="1"/>
  <c r="K66" s="1"/>
  <c r="L66" s="1"/>
  <c r="J67" l="1"/>
  <c r="K67" s="1"/>
  <c r="L67" s="1"/>
  <c r="J68" l="1"/>
  <c r="K68" s="1"/>
  <c r="L68" s="1"/>
  <c r="J69" l="1"/>
  <c r="K69" s="1"/>
  <c r="L69" s="1"/>
  <c r="J70" l="1"/>
  <c r="K70" s="1"/>
  <c r="L70" s="1"/>
  <c r="J71" l="1"/>
  <c r="K71" s="1"/>
  <c r="L71" s="1"/>
  <c r="J72" l="1"/>
  <c r="K72" s="1"/>
  <c r="L72" s="1"/>
  <c r="J73" l="1"/>
  <c r="K73" s="1"/>
  <c r="L73" s="1"/>
  <c r="J74" l="1"/>
  <c r="K74" s="1"/>
  <c r="L74" s="1"/>
  <c r="J75" l="1"/>
  <c r="K75" s="1"/>
  <c r="L75" s="1"/>
  <c r="J76" l="1"/>
  <c r="K76" s="1"/>
  <c r="L76" s="1"/>
  <c r="J77" l="1"/>
  <c r="K77" s="1"/>
  <c r="L77" s="1"/>
  <c r="J78" l="1"/>
  <c r="K78" s="1"/>
  <c r="L78" s="1"/>
  <c r="J79" l="1"/>
  <c r="K79" s="1"/>
  <c r="L79" s="1"/>
  <c r="J80" l="1"/>
  <c r="K80" s="1"/>
  <c r="L80" s="1"/>
  <c r="J81" l="1"/>
  <c r="K81" s="1"/>
  <c r="L81" s="1"/>
  <c r="J82" l="1"/>
  <c r="K82" s="1"/>
  <c r="L82" s="1"/>
  <c r="J83" l="1"/>
  <c r="K83" s="1"/>
  <c r="L83" s="1"/>
  <c r="J84" l="1"/>
  <c r="K84" s="1"/>
  <c r="L84" s="1"/>
  <c r="J85" l="1"/>
  <c r="K85" s="1"/>
  <c r="L85" s="1"/>
</calcChain>
</file>

<file path=xl/sharedStrings.xml><?xml version="1.0" encoding="utf-8"?>
<sst xmlns="http://schemas.openxmlformats.org/spreadsheetml/2006/main" count="502" uniqueCount="256">
  <si>
    <t>Gerente Personal</t>
  </si>
  <si>
    <t>Jefe de Planta</t>
  </si>
  <si>
    <t>Contador</t>
  </si>
  <si>
    <t>Asistente Contable</t>
  </si>
  <si>
    <t>Gerente de Marketing</t>
  </si>
  <si>
    <t>Asistente de Compras</t>
  </si>
  <si>
    <t>Total</t>
  </si>
  <si>
    <t>CARGO</t>
  </si>
  <si>
    <t>Num. Personas</t>
  </si>
  <si>
    <t>Sueldo Mensual</t>
  </si>
  <si>
    <t>Jefe de Investigación y Desarrollo</t>
  </si>
  <si>
    <t>Personal Bodega</t>
  </si>
  <si>
    <t>Sueldo</t>
  </si>
  <si>
    <t>Sueldo Anual</t>
  </si>
  <si>
    <t>Proyeccion Sueldos</t>
  </si>
  <si>
    <t>Año 1</t>
  </si>
  <si>
    <t>Año 2</t>
  </si>
  <si>
    <t>Año 3</t>
  </si>
  <si>
    <t>Año 4</t>
  </si>
  <si>
    <t>Año 5</t>
  </si>
  <si>
    <t>Asistente I&amp;D</t>
  </si>
  <si>
    <t>Personal Planta</t>
  </si>
  <si>
    <t>Demanda</t>
  </si>
  <si>
    <t>Poblacion 6 a 24 meses</t>
  </si>
  <si>
    <t>% Aceptacion</t>
  </si>
  <si>
    <t xml:space="preserve">Poblacion </t>
  </si>
  <si>
    <t>Poblacion Objetivo</t>
  </si>
  <si>
    <t>Castigar la Demanda</t>
  </si>
  <si>
    <t>Produccion</t>
  </si>
  <si>
    <t>% Acep 115 gr</t>
  </si>
  <si>
    <t>% Acep 71 gr</t>
  </si>
  <si>
    <t>Demanda 115 gr</t>
  </si>
  <si>
    <t>Demanda 71 gr</t>
  </si>
  <si>
    <t>Criterio de Uds</t>
  </si>
  <si>
    <t>Resultado Encuesta</t>
  </si>
  <si>
    <t>% Poblacion Media-Alta</t>
  </si>
  <si>
    <t>Poblacion Potencial</t>
  </si>
  <si>
    <t>INEC</t>
  </si>
  <si>
    <t>Activos Fijos</t>
  </si>
  <si>
    <t>Lavadora de frutas</t>
  </si>
  <si>
    <t>Peladora de frutas</t>
  </si>
  <si>
    <t>Despulpadora</t>
  </si>
  <si>
    <t>Transportadora</t>
  </si>
  <si>
    <t>Desinfectadora</t>
  </si>
  <si>
    <t>Envasadora</t>
  </si>
  <si>
    <t>Equipos de computacion</t>
  </si>
  <si>
    <t>Muebles y Enseres de Oficina</t>
  </si>
  <si>
    <t>Camiones</t>
  </si>
  <si>
    <t>Maquinaria</t>
  </si>
  <si>
    <t>Vehiculo</t>
  </si>
  <si>
    <t>Equipos de Oficina</t>
  </si>
  <si>
    <t>Num</t>
  </si>
  <si>
    <t>Costo</t>
  </si>
  <si>
    <t>Años Depreciación</t>
  </si>
  <si>
    <t>Dep Anual</t>
  </si>
  <si>
    <t>Valor de Desecho</t>
  </si>
  <si>
    <t>Recompra</t>
  </si>
  <si>
    <t>Activos Diferidos</t>
  </si>
  <si>
    <t>Licencias</t>
  </si>
  <si>
    <t>Patente</t>
  </si>
  <si>
    <t>Gastos de Constitucion</t>
  </si>
  <si>
    <t>Registro Sanitario</t>
  </si>
  <si>
    <t>Adecuaciones</t>
  </si>
  <si>
    <t>TOTAL</t>
  </si>
  <si>
    <t>Gastos</t>
  </si>
  <si>
    <t>Agua</t>
  </si>
  <si>
    <t>Luz</t>
  </si>
  <si>
    <t>Telefono</t>
  </si>
  <si>
    <t>Internet</t>
  </si>
  <si>
    <t>Arriendo</t>
  </si>
  <si>
    <t>Limpieza</t>
  </si>
  <si>
    <t>Guardiania</t>
  </si>
  <si>
    <t>Promedio inflacion</t>
  </si>
  <si>
    <t>EGRESOS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</si>
  <si>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</si>
  <si>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</si>
  <si>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</si>
  <si>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</si>
  <si>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</si>
  <si>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</si>
  <si>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</si>
  <si>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</si>
  <si>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</si>
  <si>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</si>
  <si>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</si>
  <si>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</si>
  <si>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HONORARIOS</t>
  </si>
  <si>
    <t xml:space="preserve">Luz </t>
  </si>
  <si>
    <t>Gastos Varios</t>
  </si>
  <si>
    <t>INGRESOS</t>
  </si>
  <si>
    <t>SALDO MENSUAL</t>
  </si>
  <si>
    <t>SALDO ACUMULADO</t>
  </si>
  <si>
    <t>Cap. Trabajo</t>
  </si>
  <si>
    <t>TOTAL INGRESOS</t>
  </si>
  <si>
    <t>MES 0</t>
  </si>
  <si>
    <t>115 gr</t>
  </si>
  <si>
    <t>Producto 115 gr</t>
  </si>
  <si>
    <t>Producto 71 gr</t>
  </si>
  <si>
    <t>Jugo 115 gr</t>
  </si>
  <si>
    <t>Taxo</t>
  </si>
  <si>
    <t>Azucar</t>
  </si>
  <si>
    <t>Aditivos</t>
  </si>
  <si>
    <t>Envase</t>
  </si>
  <si>
    <t>Etiqueta</t>
  </si>
  <si>
    <t>Cantidad</t>
  </si>
  <si>
    <t>Jugo 71 gr</t>
  </si>
  <si>
    <t>Administrativo</t>
  </si>
  <si>
    <t>Costos por gramos</t>
  </si>
  <si>
    <t>MOD</t>
  </si>
  <si>
    <t>Tabla de Sueldos Administrativos</t>
  </si>
  <si>
    <t>Costo unitario</t>
  </si>
  <si>
    <t>71 gr</t>
  </si>
  <si>
    <t>Costo x taxo</t>
  </si>
  <si>
    <t>Costo X ju</t>
  </si>
  <si>
    <t>Precio de Venta</t>
  </si>
  <si>
    <t>Supermercados</t>
  </si>
  <si>
    <t>Distribuidor</t>
  </si>
  <si>
    <t>TT</t>
  </si>
  <si>
    <t>PVP</t>
  </si>
  <si>
    <t>MG%</t>
  </si>
  <si>
    <t>Margenes</t>
  </si>
  <si>
    <t>Comercializacion</t>
  </si>
  <si>
    <t>Canal</t>
  </si>
  <si>
    <t>Producto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</si>
  <si>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</si>
  <si>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</si>
  <si>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</si>
  <si>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</si>
  <si>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</si>
  <si>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</si>
  <si>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</si>
  <si>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</si>
  <si>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</si>
  <si>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</si>
  <si>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</si>
  <si>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</si>
  <si>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Gr</t>
  </si>
  <si>
    <t>Alta</t>
  </si>
  <si>
    <t>Media Alta</t>
  </si>
  <si>
    <t>Media</t>
  </si>
  <si>
    <t>Media baja</t>
  </si>
  <si>
    <t>Baja</t>
  </si>
  <si>
    <t>Distribución economica GYE</t>
  </si>
  <si>
    <t>Quintales</t>
  </si>
  <si>
    <t>Taxos</t>
  </si>
  <si>
    <t>Materia Prima</t>
  </si>
  <si>
    <t>Precio</t>
  </si>
  <si>
    <t>Envases</t>
  </si>
  <si>
    <t>115 GR</t>
  </si>
  <si>
    <t>71 GR</t>
  </si>
  <si>
    <t>Costo GR</t>
  </si>
  <si>
    <t>Costo Gr</t>
  </si>
  <si>
    <t>Costo 115 gr</t>
  </si>
  <si>
    <t>Num. Envases</t>
  </si>
  <si>
    <t>MG% Taxo S.A</t>
  </si>
  <si>
    <t>Supermercado</t>
  </si>
  <si>
    <t>DD</t>
  </si>
  <si>
    <t>Mantenimiento</t>
  </si>
  <si>
    <t>Letras Camion</t>
  </si>
  <si>
    <t>Chofer</t>
  </si>
  <si>
    <t>TOTAL G. HONORARIOS</t>
  </si>
  <si>
    <t>SSBB</t>
  </si>
  <si>
    <t>TOTAL SSBB</t>
  </si>
  <si>
    <t>OTROS GASTOS</t>
  </si>
  <si>
    <t>Combustible</t>
  </si>
  <si>
    <t>Seguro</t>
  </si>
  <si>
    <t>Varios</t>
  </si>
  <si>
    <t>Suministros de Oficina</t>
  </si>
  <si>
    <t>Publicidad</t>
  </si>
  <si>
    <t>TOTAL EGRESOS</t>
  </si>
  <si>
    <t>Inversion</t>
  </si>
  <si>
    <t>Financiamiento</t>
  </si>
  <si>
    <t>Prestamo</t>
  </si>
  <si>
    <t>Aportaciones Accionistas</t>
  </si>
  <si>
    <t>DATOS PRÉSTAMO</t>
  </si>
  <si>
    <t>TASA</t>
  </si>
  <si>
    <t>TIEMPO</t>
  </si>
  <si>
    <t>CUOTAS</t>
  </si>
  <si>
    <t>NO. PERIODOS</t>
  </si>
  <si>
    <t>SALDO</t>
  </si>
  <si>
    <t>INTERÉS</t>
  </si>
  <si>
    <t>AMORTIZACIÓN</t>
  </si>
  <si>
    <t>ACTIVOS</t>
  </si>
  <si>
    <t>BALANCE GENERAL</t>
  </si>
  <si>
    <t>PASIVOS</t>
  </si>
  <si>
    <t>Corrientes</t>
  </si>
  <si>
    <t>Préstamo Bancario</t>
  </si>
  <si>
    <t>Efectivo</t>
  </si>
  <si>
    <t>Fijos</t>
  </si>
  <si>
    <t>PATRIMONIO</t>
  </si>
  <si>
    <t>Capital Propio</t>
  </si>
  <si>
    <t>Muebles de Oficina</t>
  </si>
  <si>
    <t>Vehículo</t>
  </si>
  <si>
    <t>Diferidos</t>
  </si>
  <si>
    <t>Constitución Empresa</t>
  </si>
  <si>
    <t>TOTAL ACTIVOS</t>
  </si>
  <si>
    <t>TOTAL P+P</t>
  </si>
  <si>
    <t>AÑO 0</t>
  </si>
  <si>
    <t>AÑO 1</t>
  </si>
  <si>
    <t>AÑO 2</t>
  </si>
  <si>
    <t>AÑO 3</t>
  </si>
  <si>
    <t>AÑO 4</t>
  </si>
  <si>
    <t>AÑO 5</t>
  </si>
  <si>
    <t>Utilidad Operacional</t>
  </si>
  <si>
    <t>Impuestos (15%) Trabajadores</t>
  </si>
  <si>
    <t>Utilidad antes/Impuestos</t>
  </si>
  <si>
    <t>Impuestos (25%)</t>
  </si>
  <si>
    <t>Utilidad después/ Impuestos</t>
  </si>
  <si>
    <t>Préstamo</t>
  </si>
  <si>
    <t>Amortización</t>
  </si>
  <si>
    <t>FLUJO DE CAJA</t>
  </si>
  <si>
    <t>TMAR</t>
  </si>
  <si>
    <t>TIR</t>
  </si>
  <si>
    <t>VAN</t>
  </si>
  <si>
    <t>PERIODO</t>
  </si>
  <si>
    <t xml:space="preserve">SALDO INVERSIÓN </t>
  </si>
  <si>
    <t>RENTABILIDAD EXIGIDA</t>
  </si>
  <si>
    <t>RECUPERACIÓN INVERSIÓN</t>
  </si>
  <si>
    <t>Letras camion</t>
  </si>
  <si>
    <t>Intereses</t>
  </si>
  <si>
    <t>Depreciacion Equipos de computacion</t>
  </si>
  <si>
    <t>Depreciacion Muebles de Oficina</t>
  </si>
  <si>
    <t>Depreciacion Maquinaria</t>
  </si>
  <si>
    <t>Depreciacion Vehiculo</t>
  </si>
  <si>
    <t>Valor en libros Equipos de computacion</t>
  </si>
  <si>
    <t>Valor en libros Muebles de Oficina</t>
  </si>
  <si>
    <t>Valor en libros Maquinaria</t>
  </si>
  <si>
    <t xml:space="preserve">SENSIBILIDAD </t>
  </si>
  <si>
    <t>DEL PRECIO</t>
  </si>
  <si>
    <t>RESULTADO</t>
  </si>
  <si>
    <t>FACTIBLE LA INVERSION</t>
  </si>
  <si>
    <t>NO FACTIBLE</t>
  </si>
  <si>
    <t>Sensibilidad</t>
  </si>
  <si>
    <t>Volumen</t>
  </si>
  <si>
    <t>Costos</t>
  </si>
  <si>
    <t>Análisis sensibilizado de los Costos</t>
  </si>
  <si>
    <t xml:space="preserve">SENSIBILIDAD DEL COSTO </t>
  </si>
  <si>
    <t>Análisis sensibilizado de Volumen</t>
  </si>
  <si>
    <t>SENSIBILIDAD DEL VOLUMEN</t>
  </si>
  <si>
    <t>Gerente General</t>
  </si>
  <si>
    <t>Capital de Trabajo</t>
  </si>
  <si>
    <t>Act. Diferido</t>
  </si>
  <si>
    <t>Act. Fijo</t>
  </si>
  <si>
    <t>60 meses</t>
  </si>
  <si>
    <t>Tasa Mensual</t>
  </si>
  <si>
    <t xml:space="preserve">5 años </t>
  </si>
  <si>
    <t xml:space="preserve"> Capital de Trabajo</t>
  </si>
  <si>
    <t>Recuperacion de Capital de Trabajo</t>
  </si>
  <si>
    <t>Espesante</t>
  </si>
  <si>
    <t>Costo Fijos</t>
  </si>
  <si>
    <t>Ventas Totales</t>
  </si>
  <si>
    <t>Costos Variables</t>
  </si>
  <si>
    <t>Punto de Equilibrio</t>
  </si>
  <si>
    <t>Costo de Produccion Total (71 y 115 gr)</t>
  </si>
  <si>
    <t>Espesantes</t>
  </si>
  <si>
    <t xml:space="preserve">                                                    PUNTO DE EQUILIBRIO ($)</t>
  </si>
</sst>
</file>

<file path=xl/styles.xml><?xml version="1.0" encoding="utf-8"?>
<styleSheet xmlns="http://schemas.openxmlformats.org/spreadsheetml/2006/main">
  <numFmts count="12">
    <numFmt numFmtId="43" formatCode="_(* #,##0.00_);_(* \(#,##0.00\);_(* &quot;-&quot;??_);_(@_)"/>
    <numFmt numFmtId="164" formatCode="&quot;$&quot;\ #,##0_);[Red]\(&quot;$&quot;\ #,##0\)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_);_(* \(#,##0\);_(* &quot;-&quot;??_);_(@_)"/>
    <numFmt numFmtId="168" formatCode="_(&quot;$&quot;\ * #,##0_);_(&quot;$&quot;\ * \(#,##0\);_(&quot;$&quot;\ * &quot;-&quot;??_);_(@_)"/>
    <numFmt numFmtId="169" formatCode="[$$-300A]\ #,##0.00"/>
    <numFmt numFmtId="170" formatCode="_-* #,##0.00\ &quot;€&quot;_-;\-* #,##0.00\ &quot;€&quot;_-;_-* &quot;-&quot;??\ &quot;€&quot;_-;_-@_-"/>
    <numFmt numFmtId="171" formatCode="[$$-300A]\ #,##0"/>
    <numFmt numFmtId="172" formatCode="0.0%"/>
    <numFmt numFmtId="173" formatCode="_(&quot;$&quot;\ * #,##0.00_);_(&quot;$&quot;\ * \(#,##0.00\);_(&quot;$&quot;\ * &quot;-&quot;?_);_(@_)"/>
    <numFmt numFmtId="174" formatCode="&quot;$&quot;\ 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lightDown">
        <fgColor rgb="FFFFFF00"/>
        <bgColor theme="0"/>
      </patternFill>
    </fill>
    <fill>
      <patternFill patternType="solid">
        <fgColor theme="1" tint="0.49998474074526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/>
      <bottom/>
      <diagonal/>
    </border>
    <border>
      <left style="medium">
        <color theme="0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theme="0"/>
      </bottom>
      <diagonal/>
    </border>
    <border>
      <left style="dotted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</cellStyleXfs>
  <cellXfs count="335">
    <xf numFmtId="0" fontId="0" fillId="0" borderId="0" xfId="0"/>
    <xf numFmtId="43" fontId="0" fillId="0" borderId="0" xfId="1" applyFont="1"/>
    <xf numFmtId="167" fontId="0" fillId="0" borderId="0" xfId="1" applyNumberFormat="1" applyFont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167" fontId="0" fillId="0" borderId="4" xfId="1" applyNumberFormat="1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168" fontId="0" fillId="0" borderId="4" xfId="2" applyNumberFormat="1" applyFont="1" applyBorder="1"/>
    <xf numFmtId="168" fontId="3" fillId="3" borderId="4" xfId="2" applyNumberFormat="1" applyFont="1" applyFill="1" applyBorder="1"/>
    <xf numFmtId="0" fontId="3" fillId="0" borderId="0" xfId="0" applyFont="1"/>
    <xf numFmtId="0" fontId="5" fillId="0" borderId="0" xfId="0" applyFont="1" applyFill="1" applyBorder="1"/>
    <xf numFmtId="0" fontId="3" fillId="0" borderId="0" xfId="0" applyFont="1" applyAlignment="1">
      <alignment horizontal="center"/>
    </xf>
    <xf numFmtId="9" fontId="0" fillId="0" borderId="0" xfId="0" applyNumberFormat="1"/>
    <xf numFmtId="166" fontId="0" fillId="0" borderId="0" xfId="2" applyFont="1"/>
    <xf numFmtId="168" fontId="0" fillId="0" borderId="0" xfId="2" applyNumberFormat="1" applyFont="1"/>
    <xf numFmtId="0" fontId="2" fillId="2" borderId="0" xfId="0" applyFont="1" applyFill="1" applyAlignment="1">
      <alignment horizontal="center"/>
    </xf>
    <xf numFmtId="168" fontId="0" fillId="0" borderId="4" xfId="0" applyNumberFormat="1" applyBorder="1"/>
    <xf numFmtId="167" fontId="0" fillId="0" borderId="0" xfId="0" applyNumberFormat="1"/>
    <xf numFmtId="9" fontId="0" fillId="9" borderId="0" xfId="0" applyNumberFormat="1" applyFill="1"/>
    <xf numFmtId="0" fontId="0" fillId="7" borderId="0" xfId="0" applyFill="1"/>
    <xf numFmtId="0" fontId="0" fillId="6" borderId="0" xfId="0" applyFill="1"/>
    <xf numFmtId="167" fontId="0" fillId="4" borderId="0" xfId="1" applyNumberFormat="1" applyFont="1" applyFill="1"/>
    <xf numFmtId="0" fontId="0" fillId="4" borderId="0" xfId="0" applyFill="1"/>
    <xf numFmtId="0" fontId="3" fillId="0" borderId="0" xfId="0" applyFont="1" applyAlignment="1"/>
    <xf numFmtId="168" fontId="3" fillId="11" borderId="4" xfId="0" applyNumberFormat="1" applyFont="1" applyFill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3" fillId="4" borderId="1" xfId="0" applyFont="1" applyFill="1" applyBorder="1"/>
    <xf numFmtId="0" fontId="3" fillId="4" borderId="3" xfId="0" applyFont="1" applyFill="1" applyBorder="1"/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11" borderId="8" xfId="0" applyFont="1" applyFill="1" applyBorder="1"/>
    <xf numFmtId="0" fontId="0" fillId="11" borderId="9" xfId="0" applyFill="1" applyBorder="1"/>
    <xf numFmtId="168" fontId="3" fillId="11" borderId="9" xfId="2" applyNumberFormat="1" applyFont="1" applyFill="1" applyBorder="1"/>
    <xf numFmtId="168" fontId="3" fillId="11" borderId="2" xfId="2" applyNumberFormat="1" applyFont="1" applyFill="1" applyBorder="1"/>
    <xf numFmtId="0" fontId="0" fillId="0" borderId="0" xfId="0" applyFont="1"/>
    <xf numFmtId="0" fontId="0" fillId="0" borderId="4" xfId="0" applyFont="1" applyBorder="1"/>
    <xf numFmtId="0" fontId="3" fillId="10" borderId="4" xfId="0" applyFont="1" applyFill="1" applyBorder="1"/>
    <xf numFmtId="168" fontId="3" fillId="10" borderId="4" xfId="0" applyNumberFormat="1" applyFont="1" applyFill="1" applyBorder="1"/>
    <xf numFmtId="43" fontId="0" fillId="0" borderId="0" xfId="0" applyNumberFormat="1"/>
    <xf numFmtId="0" fontId="2" fillId="12" borderId="0" xfId="0" applyFont="1" applyFill="1"/>
    <xf numFmtId="0" fontId="0" fillId="0" borderId="4" xfId="0" applyBorder="1" applyAlignment="1">
      <alignment horizontal="left"/>
    </xf>
    <xf numFmtId="0" fontId="0" fillId="0" borderId="4" xfId="0" applyFont="1" applyBorder="1" applyAlignment="1">
      <alignment horizontal="left"/>
    </xf>
    <xf numFmtId="168" fontId="1" fillId="0" borderId="4" xfId="2" applyNumberFormat="1" applyFont="1" applyBorder="1"/>
    <xf numFmtId="0" fontId="3" fillId="11" borderId="4" xfId="0" applyFont="1" applyFill="1" applyBorder="1" applyAlignment="1">
      <alignment horizontal="left"/>
    </xf>
    <xf numFmtId="0" fontId="6" fillId="0" borderId="8" xfId="0" applyFont="1" applyBorder="1"/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9" fontId="8" fillId="0" borderId="10" xfId="0" applyNumberFormat="1" applyFont="1" applyFill="1" applyBorder="1"/>
    <xf numFmtId="0" fontId="7" fillId="0" borderId="0" xfId="0" applyFont="1"/>
    <xf numFmtId="169" fontId="8" fillId="0" borderId="0" xfId="0" applyNumberFormat="1" applyFont="1" applyFill="1" applyBorder="1"/>
    <xf numFmtId="0" fontId="6" fillId="0" borderId="12" xfId="0" applyFont="1" applyBorder="1"/>
    <xf numFmtId="169" fontId="8" fillId="0" borderId="13" xfId="0" applyNumberFormat="1" applyFont="1" applyFill="1" applyBorder="1"/>
    <xf numFmtId="0" fontId="6" fillId="0" borderId="14" xfId="0" applyFont="1" applyBorder="1"/>
    <xf numFmtId="169" fontId="8" fillId="0" borderId="15" xfId="0" applyNumberFormat="1" applyFont="1" applyFill="1" applyBorder="1"/>
    <xf numFmtId="0" fontId="6" fillId="0" borderId="3" xfId="0" applyFont="1" applyBorder="1"/>
    <xf numFmtId="169" fontId="8" fillId="0" borderId="16" xfId="0" applyNumberFormat="1" applyFont="1" applyFill="1" applyBorder="1"/>
    <xf numFmtId="169" fontId="8" fillId="0" borderId="17" xfId="0" applyNumberFormat="1" applyFont="1" applyFill="1" applyBorder="1"/>
    <xf numFmtId="169" fontId="8" fillId="0" borderId="18" xfId="0" applyNumberFormat="1" applyFont="1" applyFill="1" applyBorder="1"/>
    <xf numFmtId="0" fontId="6" fillId="0" borderId="19" xfId="0" applyFont="1" applyBorder="1"/>
    <xf numFmtId="169" fontId="9" fillId="2" borderId="20" xfId="0" applyNumberFormat="1" applyFont="1" applyFill="1" applyBorder="1"/>
    <xf numFmtId="169" fontId="9" fillId="8" borderId="11" xfId="0" applyNumberFormat="1" applyFont="1" applyFill="1" applyBorder="1"/>
    <xf numFmtId="169" fontId="9" fillId="2" borderId="11" xfId="0" applyNumberFormat="1" applyFont="1" applyFill="1" applyBorder="1"/>
    <xf numFmtId="169" fontId="9" fillId="2" borderId="21" xfId="0" applyNumberFormat="1" applyFont="1" applyFill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Border="1"/>
    <xf numFmtId="167" fontId="3" fillId="0" borderId="0" xfId="1" applyNumberFormat="1" applyFont="1"/>
    <xf numFmtId="0" fontId="3" fillId="13" borderId="0" xfId="0" applyFont="1" applyFill="1"/>
    <xf numFmtId="167" fontId="3" fillId="5" borderId="0" xfId="1" applyNumberFormat="1" applyFont="1" applyFill="1"/>
    <xf numFmtId="166" fontId="0" fillId="0" borderId="0" xfId="2" applyNumberFormat="1" applyFont="1"/>
    <xf numFmtId="166" fontId="3" fillId="0" borderId="0" xfId="0" applyNumberFormat="1" applyFont="1"/>
    <xf numFmtId="0" fontId="3" fillId="7" borderId="0" xfId="0" applyFont="1" applyFill="1"/>
    <xf numFmtId="166" fontId="3" fillId="7" borderId="0" xfId="0" applyNumberFormat="1" applyFont="1" applyFill="1"/>
    <xf numFmtId="167" fontId="3" fillId="13" borderId="0" xfId="1" applyNumberFormat="1" applyFont="1" applyFill="1"/>
    <xf numFmtId="0" fontId="2" fillId="13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0" fillId="0" borderId="4" xfId="0" applyBorder="1" applyAlignment="1">
      <alignment horizontal="left" indent="1"/>
    </xf>
    <xf numFmtId="0" fontId="10" fillId="7" borderId="4" xfId="0" applyFont="1" applyFill="1" applyBorder="1"/>
    <xf numFmtId="9" fontId="10" fillId="7" borderId="4" xfId="0" applyNumberFormat="1" applyFont="1" applyFill="1" applyBorder="1"/>
    <xf numFmtId="0" fontId="7" fillId="0" borderId="4" xfId="0" applyFont="1" applyBorder="1"/>
    <xf numFmtId="169" fontId="8" fillId="0" borderId="4" xfId="0" applyNumberFormat="1" applyFont="1" applyFill="1" applyBorder="1"/>
    <xf numFmtId="0" fontId="7" fillId="0" borderId="6" xfId="0" applyFont="1" applyBorder="1"/>
    <xf numFmtId="169" fontId="8" fillId="0" borderId="6" xfId="0" applyNumberFormat="1" applyFont="1" applyFill="1" applyBorder="1"/>
    <xf numFmtId="0" fontId="0" fillId="13" borderId="0" xfId="0" applyFill="1" applyBorder="1" applyAlignment="1">
      <alignment horizontal="left" indent="1"/>
    </xf>
    <xf numFmtId="10" fontId="0" fillId="6" borderId="0" xfId="0" applyNumberFormat="1" applyFill="1"/>
    <xf numFmtId="0" fontId="11" fillId="9" borderId="0" xfId="0" applyFont="1" applyFill="1"/>
    <xf numFmtId="3" fontId="0" fillId="0" borderId="0" xfId="0" applyNumberFormat="1"/>
    <xf numFmtId="1" fontId="0" fillId="0" borderId="0" xfId="0" applyNumberFormat="1"/>
    <xf numFmtId="10" fontId="0" fillId="14" borderId="0" xfId="0" applyNumberFormat="1" applyFill="1"/>
    <xf numFmtId="10" fontId="0" fillId="0" borderId="0" xfId="0" applyNumberFormat="1"/>
    <xf numFmtId="10" fontId="0" fillId="4" borderId="0" xfId="0" applyNumberFormat="1" applyFill="1"/>
    <xf numFmtId="0" fontId="0" fillId="13" borderId="0" xfId="0" applyFill="1"/>
    <xf numFmtId="167" fontId="0" fillId="13" borderId="0" xfId="1" applyNumberFormat="1" applyFont="1" applyFill="1"/>
    <xf numFmtId="43" fontId="0" fillId="13" borderId="0" xfId="1" applyFont="1" applyFill="1"/>
    <xf numFmtId="166" fontId="0" fillId="0" borderId="0" xfId="0" applyNumberFormat="1"/>
    <xf numFmtId="167" fontId="0" fillId="0" borderId="4" xfId="1" applyNumberFormat="1" applyFont="1" applyBorder="1" applyAlignment="1">
      <alignment horizontal="left"/>
    </xf>
    <xf numFmtId="167" fontId="0" fillId="0" borderId="4" xfId="1" applyNumberFormat="1" applyFont="1" applyBorder="1" applyAlignment="1">
      <alignment horizontal="left" indent="1"/>
    </xf>
    <xf numFmtId="169" fontId="12" fillId="0" borderId="8" xfId="0" applyNumberFormat="1" applyFont="1" applyFill="1" applyBorder="1"/>
    <xf numFmtId="169" fontId="12" fillId="0" borderId="1" xfId="0" applyNumberFormat="1" applyFont="1" applyFill="1" applyBorder="1"/>
    <xf numFmtId="0" fontId="4" fillId="0" borderId="24" xfId="0" applyFont="1" applyBorder="1"/>
    <xf numFmtId="169" fontId="12" fillId="0" borderId="10" xfId="0" applyNumberFormat="1" applyFont="1" applyFill="1" applyBorder="1"/>
    <xf numFmtId="0" fontId="4" fillId="0" borderId="4" xfId="0" applyFont="1" applyBorder="1" applyAlignment="1">
      <alignment horizontal="left" wrapText="1" indent="1"/>
    </xf>
    <xf numFmtId="0" fontId="4" fillId="0" borderId="4" xfId="0" applyFont="1" applyBorder="1" applyAlignment="1">
      <alignment horizontal="left" indent="1"/>
    </xf>
    <xf numFmtId="0" fontId="6" fillId="0" borderId="24" xfId="0" applyFont="1" applyBorder="1" applyAlignment="1">
      <alignment horizontal="left"/>
    </xf>
    <xf numFmtId="169" fontId="6" fillId="0" borderId="22" xfId="0" applyNumberFormat="1" applyFont="1" applyBorder="1"/>
    <xf numFmtId="0" fontId="13" fillId="0" borderId="4" xfId="0" applyFont="1" applyBorder="1"/>
    <xf numFmtId="0" fontId="5" fillId="0" borderId="4" xfId="0" applyFont="1" applyBorder="1"/>
    <xf numFmtId="0" fontId="6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169" fontId="8" fillId="0" borderId="26" xfId="0" applyNumberFormat="1" applyFont="1" applyFill="1" applyBorder="1"/>
    <xf numFmtId="169" fontId="8" fillId="0" borderId="25" xfId="0" applyNumberFormat="1" applyFont="1" applyFill="1" applyBorder="1"/>
    <xf numFmtId="169" fontId="12" fillId="0" borderId="26" xfId="0" applyNumberFormat="1" applyFont="1" applyFill="1" applyBorder="1"/>
    <xf numFmtId="0" fontId="0" fillId="0" borderId="0" xfId="0" applyBorder="1"/>
    <xf numFmtId="0" fontId="3" fillId="0" borderId="1" xfId="0" applyFont="1" applyBorder="1"/>
    <xf numFmtId="0" fontId="3" fillId="0" borderId="7" xfId="0" applyFont="1" applyBorder="1"/>
    <xf numFmtId="169" fontId="12" fillId="0" borderId="0" xfId="0" applyNumberFormat="1" applyFont="1" applyFill="1" applyBorder="1"/>
    <xf numFmtId="0" fontId="6" fillId="0" borderId="6" xfId="0" applyFont="1" applyBorder="1" applyAlignment="1">
      <alignment horizontal="left"/>
    </xf>
    <xf numFmtId="169" fontId="12" fillId="0" borderId="9" xfId="0" applyNumberFormat="1" applyFont="1" applyFill="1" applyBorder="1"/>
    <xf numFmtId="169" fontId="12" fillId="0" borderId="2" xfId="0" applyNumberFormat="1" applyFont="1" applyFill="1" applyBorder="1"/>
    <xf numFmtId="0" fontId="3" fillId="0" borderId="1" xfId="0" applyFont="1" applyBorder="1" applyAlignment="1">
      <alignment horizontal="left"/>
    </xf>
    <xf numFmtId="9" fontId="0" fillId="0" borderId="4" xfId="0" applyNumberFormat="1" applyBorder="1"/>
    <xf numFmtId="9" fontId="0" fillId="0" borderId="7" xfId="0" applyNumberFormat="1" applyBorder="1"/>
    <xf numFmtId="168" fontId="0" fillId="0" borderId="7" xfId="2" applyNumberFormat="1" applyFont="1" applyBorder="1"/>
    <xf numFmtId="0" fontId="14" fillId="13" borderId="0" xfId="0" applyFont="1" applyFill="1" applyAlignment="1"/>
    <xf numFmtId="0" fontId="15" fillId="0" borderId="0" xfId="0" applyFont="1"/>
    <xf numFmtId="0" fontId="15" fillId="0" borderId="4" xfId="0" applyFont="1" applyBorder="1"/>
    <xf numFmtId="10" fontId="15" fillId="13" borderId="4" xfId="0" applyNumberFormat="1" applyFont="1" applyFill="1" applyBorder="1" applyAlignment="1">
      <alignment horizontal="center"/>
    </xf>
    <xf numFmtId="0" fontId="16" fillId="0" borderId="0" xfId="0" applyFont="1"/>
    <xf numFmtId="0" fontId="15" fillId="0" borderId="4" xfId="0" applyFont="1" applyBorder="1" applyAlignment="1">
      <alignment horizontal="center"/>
    </xf>
    <xf numFmtId="0" fontId="22" fillId="0" borderId="0" xfId="5" applyFont="1" applyAlignment="1"/>
    <xf numFmtId="0" fontId="19" fillId="0" borderId="0" xfId="5" applyFont="1"/>
    <xf numFmtId="0" fontId="18" fillId="2" borderId="0" xfId="5" applyFont="1" applyFill="1" applyBorder="1" applyAlignment="1">
      <alignment horizontal="center"/>
    </xf>
    <xf numFmtId="169" fontId="19" fillId="0" borderId="0" xfId="5" applyNumberFormat="1" applyFont="1" applyFill="1" applyBorder="1"/>
    <xf numFmtId="0" fontId="19" fillId="0" borderId="0" xfId="5" applyFont="1" applyAlignment="1">
      <alignment horizontal="center"/>
    </xf>
    <xf numFmtId="9" fontId="19" fillId="0" borderId="0" xfId="6" applyFont="1"/>
    <xf numFmtId="0" fontId="19" fillId="0" borderId="4" xfId="5" applyFont="1" applyFill="1" applyBorder="1"/>
    <xf numFmtId="0" fontId="19" fillId="0" borderId="4" xfId="5" applyFont="1" applyBorder="1"/>
    <xf numFmtId="0" fontId="25" fillId="0" borderId="0" xfId="5" applyFont="1"/>
    <xf numFmtId="10" fontId="19" fillId="0" borderId="4" xfId="5" applyNumberFormat="1" applyFont="1" applyBorder="1"/>
    <xf numFmtId="169" fontId="19" fillId="0" borderId="0" xfId="5" applyNumberFormat="1" applyFont="1"/>
    <xf numFmtId="0" fontId="24" fillId="15" borderId="4" xfId="5" applyFont="1" applyFill="1" applyBorder="1" applyAlignment="1">
      <alignment horizontal="center"/>
    </xf>
    <xf numFmtId="0" fontId="19" fillId="16" borderId="4" xfId="5" applyFont="1" applyFill="1" applyBorder="1"/>
    <xf numFmtId="0" fontId="24" fillId="11" borderId="4" xfId="5" applyFont="1" applyFill="1" applyBorder="1"/>
    <xf numFmtId="0" fontId="18" fillId="17" borderId="4" xfId="5" applyFont="1" applyFill="1" applyBorder="1"/>
    <xf numFmtId="0" fontId="18" fillId="2" borderId="29" xfId="5" applyFont="1" applyFill="1" applyBorder="1" applyAlignment="1">
      <alignment horizontal="left"/>
    </xf>
    <xf numFmtId="0" fontId="18" fillId="2" borderId="30" xfId="5" applyFont="1" applyFill="1" applyBorder="1"/>
    <xf numFmtId="0" fontId="18" fillId="2" borderId="31" xfId="5" applyFont="1" applyFill="1" applyBorder="1"/>
    <xf numFmtId="0" fontId="14" fillId="2" borderId="4" xfId="5" applyFont="1" applyFill="1" applyBorder="1" applyAlignment="1">
      <alignment horizontal="center" vertical="center" wrapText="1"/>
    </xf>
    <xf numFmtId="0" fontId="26" fillId="0" borderId="0" xfId="5" applyFont="1" applyAlignment="1">
      <alignment horizontal="center" wrapText="1"/>
    </xf>
    <xf numFmtId="0" fontId="15" fillId="18" borderId="4" xfId="5" applyFont="1" applyFill="1" applyBorder="1" applyAlignment="1">
      <alignment horizontal="center"/>
    </xf>
    <xf numFmtId="167" fontId="15" fillId="18" borderId="4" xfId="8" applyNumberFormat="1" applyFont="1" applyFill="1" applyBorder="1"/>
    <xf numFmtId="0" fontId="15" fillId="0" borderId="0" xfId="5" applyFont="1"/>
    <xf numFmtId="0" fontId="15" fillId="0" borderId="4" xfId="5" applyFont="1" applyBorder="1" applyAlignment="1">
      <alignment horizontal="center"/>
    </xf>
    <xf numFmtId="167" fontId="15" fillId="0" borderId="4" xfId="8" applyNumberFormat="1" applyFont="1" applyBorder="1"/>
    <xf numFmtId="3" fontId="15" fillId="0" borderId="0" xfId="5" applyNumberFormat="1" applyFont="1"/>
    <xf numFmtId="169" fontId="18" fillId="2" borderId="34" xfId="5" applyNumberFormat="1" applyFont="1" applyFill="1" applyBorder="1" applyAlignment="1">
      <alignment horizontal="right"/>
    </xf>
    <xf numFmtId="169" fontId="18" fillId="2" borderId="35" xfId="5" applyNumberFormat="1" applyFont="1" applyFill="1" applyBorder="1" applyAlignment="1">
      <alignment horizontal="right"/>
    </xf>
    <xf numFmtId="0" fontId="19" fillId="0" borderId="32" xfId="5" applyFont="1" applyBorder="1"/>
    <xf numFmtId="167" fontId="19" fillId="0" borderId="32" xfId="1" applyNumberFormat="1" applyFont="1" applyBorder="1"/>
    <xf numFmtId="168" fontId="19" fillId="0" borderId="32" xfId="2" applyNumberFormat="1" applyFont="1" applyBorder="1"/>
    <xf numFmtId="167" fontId="19" fillId="0" borderId="32" xfId="5" applyNumberFormat="1" applyFont="1" applyBorder="1"/>
    <xf numFmtId="168" fontId="19" fillId="0" borderId="32" xfId="5" applyNumberFormat="1" applyFont="1" applyBorder="1"/>
    <xf numFmtId="165" fontId="19" fillId="0" borderId="32" xfId="5" applyNumberFormat="1" applyFont="1" applyBorder="1"/>
    <xf numFmtId="0" fontId="22" fillId="0" borderId="1" xfId="0" applyFont="1" applyBorder="1"/>
    <xf numFmtId="0" fontId="22" fillId="0" borderId="0" xfId="0" applyFont="1" applyBorder="1"/>
    <xf numFmtId="0" fontId="23" fillId="0" borderId="24" xfId="0" applyFont="1" applyBorder="1"/>
    <xf numFmtId="0" fontId="23" fillId="0" borderId="33" xfId="0" applyFont="1" applyBorder="1"/>
    <xf numFmtId="0" fontId="23" fillId="0" borderId="0" xfId="0" applyFont="1"/>
    <xf numFmtId="0" fontId="22" fillId="0" borderId="28" xfId="0" applyFont="1" applyBorder="1"/>
    <xf numFmtId="0" fontId="28" fillId="0" borderId="24" xfId="0" applyFont="1" applyBorder="1" applyAlignment="1">
      <alignment horizontal="left" wrapText="1" indent="1"/>
    </xf>
    <xf numFmtId="0" fontId="19" fillId="0" borderId="37" xfId="5" applyFont="1" applyBorder="1"/>
    <xf numFmtId="0" fontId="25" fillId="0" borderId="37" xfId="5" applyFont="1" applyBorder="1"/>
    <xf numFmtId="0" fontId="24" fillId="0" borderId="4" xfId="5" applyFont="1" applyBorder="1"/>
    <xf numFmtId="167" fontId="24" fillId="0" borderId="39" xfId="1" applyNumberFormat="1" applyFont="1" applyBorder="1"/>
    <xf numFmtId="167" fontId="19" fillId="0" borderId="38" xfId="1" applyNumberFormat="1" applyFont="1" applyBorder="1"/>
    <xf numFmtId="167" fontId="19" fillId="10" borderId="32" xfId="5" applyNumberFormat="1" applyFont="1" applyFill="1" applyBorder="1"/>
    <xf numFmtId="167" fontId="25" fillId="17" borderId="32" xfId="5" applyNumberFormat="1" applyFont="1" applyFill="1" applyBorder="1"/>
    <xf numFmtId="167" fontId="19" fillId="15" borderId="32" xfId="5" applyNumberFormat="1" applyFont="1" applyFill="1" applyBorder="1"/>
    <xf numFmtId="0" fontId="19" fillId="15" borderId="4" xfId="5" applyFont="1" applyFill="1" applyBorder="1"/>
    <xf numFmtId="167" fontId="19" fillId="0" borderId="37" xfId="1" applyNumberFormat="1" applyFont="1" applyBorder="1"/>
    <xf numFmtId="0" fontId="28" fillId="0" borderId="4" xfId="0" applyFont="1" applyBorder="1" applyAlignment="1">
      <alignment horizontal="left" indent="1"/>
    </xf>
    <xf numFmtId="0" fontId="29" fillId="0" borderId="4" xfId="0" applyFont="1" applyBorder="1"/>
    <xf numFmtId="0" fontId="28" fillId="0" borderId="4" xfId="0" applyFont="1" applyBorder="1"/>
    <xf numFmtId="0" fontId="22" fillId="0" borderId="4" xfId="0" applyFont="1" applyBorder="1" applyAlignment="1">
      <alignment horizontal="left"/>
    </xf>
    <xf numFmtId="0" fontId="22" fillId="0" borderId="4" xfId="0" applyFont="1" applyFill="1" applyBorder="1" applyAlignment="1">
      <alignment horizontal="left"/>
    </xf>
    <xf numFmtId="0" fontId="23" fillId="0" borderId="4" xfId="0" applyFont="1" applyBorder="1" applyAlignment="1">
      <alignment horizontal="left"/>
    </xf>
    <xf numFmtId="9" fontId="31" fillId="0" borderId="3" xfId="0" applyNumberFormat="1" applyFont="1" applyBorder="1" applyAlignment="1">
      <alignment horizontal="center"/>
    </xf>
    <xf numFmtId="4" fontId="31" fillId="0" borderId="40" xfId="0" applyNumberFormat="1" applyFont="1" applyBorder="1" applyAlignment="1">
      <alignment horizontal="right"/>
    </xf>
    <xf numFmtId="10" fontId="31" fillId="0" borderId="40" xfId="0" applyNumberFormat="1" applyFont="1" applyBorder="1" applyAlignment="1">
      <alignment horizontal="right"/>
    </xf>
    <xf numFmtId="0" fontId="31" fillId="0" borderId="40" xfId="0" applyFont="1" applyBorder="1"/>
    <xf numFmtId="9" fontId="31" fillId="0" borderId="40" xfId="0" applyNumberFormat="1" applyFont="1" applyBorder="1" applyAlignment="1">
      <alignment horizontal="right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9" fontId="30" fillId="0" borderId="4" xfId="0" applyNumberFormat="1" applyFont="1" applyBorder="1" applyAlignment="1">
      <alignment horizontal="center"/>
    </xf>
    <xf numFmtId="4" fontId="31" fillId="0" borderId="4" xfId="0" applyNumberFormat="1" applyFont="1" applyBorder="1" applyAlignment="1">
      <alignment horizontal="right"/>
    </xf>
    <xf numFmtId="10" fontId="31" fillId="0" borderId="4" xfId="0" applyNumberFormat="1" applyFont="1" applyBorder="1" applyAlignment="1">
      <alignment horizontal="right"/>
    </xf>
    <xf numFmtId="0" fontId="31" fillId="0" borderId="4" xfId="0" applyFont="1" applyBorder="1"/>
    <xf numFmtId="9" fontId="31" fillId="0" borderId="4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9" fontId="31" fillId="0" borderId="4" xfId="0" applyNumberFormat="1" applyFont="1" applyBorder="1" applyAlignment="1">
      <alignment horizontal="right"/>
    </xf>
    <xf numFmtId="0" fontId="30" fillId="0" borderId="40" xfId="0" applyFont="1" applyBorder="1" applyAlignment="1">
      <alignment horizontal="center"/>
    </xf>
    <xf numFmtId="0" fontId="31" fillId="0" borderId="4" xfId="0" applyFont="1" applyBorder="1" applyAlignment="1">
      <alignment horizontal="right"/>
    </xf>
    <xf numFmtId="167" fontId="0" fillId="0" borderId="4" xfId="0" applyNumberFormat="1" applyBorder="1"/>
    <xf numFmtId="0" fontId="3" fillId="0" borderId="4" xfId="0" applyFont="1" applyBorder="1"/>
    <xf numFmtId="167" fontId="3" fillId="0" borderId="4" xfId="0" applyNumberFormat="1" applyFont="1" applyBorder="1"/>
    <xf numFmtId="168" fontId="0" fillId="0" borderId="24" xfId="2" applyNumberFormat="1" applyFont="1" applyBorder="1"/>
    <xf numFmtId="168" fontId="3" fillId="3" borderId="24" xfId="2" applyNumberFormat="1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43" fontId="0" fillId="0" borderId="4" xfId="1" applyNumberFormat="1" applyFont="1" applyBorder="1"/>
    <xf numFmtId="167" fontId="3" fillId="13" borderId="4" xfId="1" applyNumberFormat="1" applyFont="1" applyFill="1" applyBorder="1"/>
    <xf numFmtId="167" fontId="0" fillId="13" borderId="4" xfId="1" applyNumberFormat="1" applyFont="1" applyFill="1" applyBorder="1"/>
    <xf numFmtId="43" fontId="0" fillId="0" borderId="4" xfId="1" applyFont="1" applyBorder="1"/>
    <xf numFmtId="167" fontId="0" fillId="13" borderId="4" xfId="0" applyNumberFormat="1" applyFill="1" applyBorder="1"/>
    <xf numFmtId="1" fontId="0" fillId="13" borderId="4" xfId="0" applyNumberFormat="1" applyFill="1" applyBorder="1"/>
    <xf numFmtId="43" fontId="0" fillId="13" borderId="4" xfId="0" applyNumberFormat="1" applyFill="1" applyBorder="1"/>
    <xf numFmtId="167" fontId="3" fillId="0" borderId="4" xfId="1" applyNumberFormat="1" applyFont="1" applyBorder="1" applyAlignment="1">
      <alignment horizontal="center"/>
    </xf>
    <xf numFmtId="0" fontId="3" fillId="13" borderId="4" xfId="0" applyFont="1" applyFill="1" applyBorder="1" applyAlignment="1">
      <alignment horizontal="center"/>
    </xf>
    <xf numFmtId="43" fontId="3" fillId="0" borderId="4" xfId="0" applyNumberFormat="1" applyFont="1" applyBorder="1"/>
    <xf numFmtId="9" fontId="0" fillId="0" borderId="4" xfId="3" applyFont="1" applyBorder="1"/>
    <xf numFmtId="0" fontId="0" fillId="0" borderId="24" xfId="0" applyBorder="1"/>
    <xf numFmtId="2" fontId="0" fillId="0" borderId="4" xfId="0" applyNumberFormat="1" applyBorder="1"/>
    <xf numFmtId="9" fontId="3" fillId="0" borderId="4" xfId="0" applyNumberFormat="1" applyFont="1" applyFill="1" applyBorder="1"/>
    <xf numFmtId="171" fontId="8" fillId="0" borderId="4" xfId="0" applyNumberFormat="1" applyFont="1" applyFill="1" applyBorder="1"/>
    <xf numFmtId="167" fontId="3" fillId="0" borderId="4" xfId="1" applyNumberFormat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168" fontId="0" fillId="0" borderId="0" xfId="2" applyNumberFormat="1" applyFont="1" applyBorder="1"/>
    <xf numFmtId="0" fontId="0" fillId="0" borderId="0" xfId="0" applyFont="1" applyBorder="1"/>
    <xf numFmtId="168" fontId="3" fillId="0" borderId="4" xfId="2" applyNumberFormat="1" applyFont="1" applyBorder="1"/>
    <xf numFmtId="0" fontId="16" fillId="0" borderId="0" xfId="0" applyFont="1" applyAlignment="1">
      <alignment horizontal="center"/>
    </xf>
    <xf numFmtId="166" fontId="15" fillId="0" borderId="0" xfId="2" applyFont="1" applyBorder="1"/>
    <xf numFmtId="165" fontId="15" fillId="0" borderId="0" xfId="2" applyNumberFormat="1" applyFont="1" applyBorder="1"/>
    <xf numFmtId="0" fontId="17" fillId="0" borderId="0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165" fontId="0" fillId="0" borderId="4" xfId="0" applyNumberFormat="1" applyBorder="1"/>
    <xf numFmtId="173" fontId="0" fillId="0" borderId="4" xfId="0" applyNumberFormat="1" applyBorder="1"/>
    <xf numFmtId="166" fontId="0" fillId="0" borderId="4" xfId="0" applyNumberFormat="1" applyBorder="1"/>
    <xf numFmtId="0" fontId="15" fillId="0" borderId="4" xfId="0" applyFont="1" applyFill="1" applyBorder="1" applyAlignment="1">
      <alignment horizontal="center"/>
    </xf>
    <xf numFmtId="168" fontId="15" fillId="0" borderId="4" xfId="2" applyNumberFormat="1" applyFont="1" applyFill="1" applyBorder="1"/>
    <xf numFmtId="166" fontId="15" fillId="0" borderId="4" xfId="2" applyFont="1" applyFill="1" applyBorder="1"/>
    <xf numFmtId="165" fontId="15" fillId="0" borderId="4" xfId="2" applyNumberFormat="1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ill="1" applyBorder="1"/>
    <xf numFmtId="171" fontId="18" fillId="2" borderId="36" xfId="5" applyNumberFormat="1" applyFont="1" applyFill="1" applyBorder="1" applyAlignment="1">
      <alignment horizontal="right"/>
    </xf>
    <xf numFmtId="172" fontId="15" fillId="0" borderId="4" xfId="3" applyNumberFormat="1" applyFont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173" fontId="15" fillId="0" borderId="4" xfId="2" applyNumberFormat="1" applyFont="1" applyFill="1" applyBorder="1"/>
    <xf numFmtId="166" fontId="15" fillId="0" borderId="4" xfId="2" applyNumberFormat="1" applyFont="1" applyFill="1" applyBorder="1"/>
    <xf numFmtId="164" fontId="19" fillId="0" borderId="32" xfId="5" applyNumberFormat="1" applyFont="1" applyBorder="1"/>
    <xf numFmtId="10" fontId="19" fillId="0" borderId="4" xfId="3" applyNumberFormat="1" applyFont="1" applyBorder="1" applyAlignment="1">
      <alignment horizontal="right"/>
    </xf>
    <xf numFmtId="1" fontId="19" fillId="0" borderId="32" xfId="5" applyNumberFormat="1" applyFont="1" applyBorder="1"/>
    <xf numFmtId="0" fontId="19" fillId="0" borderId="0" xfId="5" applyNumberFormat="1" applyFont="1"/>
    <xf numFmtId="174" fontId="19" fillId="0" borderId="4" xfId="5" applyNumberFormat="1" applyFont="1" applyBorder="1"/>
    <xf numFmtId="0" fontId="3" fillId="0" borderId="0" xfId="0" applyFont="1" applyBorder="1"/>
    <xf numFmtId="43" fontId="0" fillId="0" borderId="1" xfId="0" applyNumberFormat="1" applyBorder="1" applyAlignment="1">
      <alignment horizontal="center"/>
    </xf>
    <xf numFmtId="169" fontId="0" fillId="0" borderId="4" xfId="0" applyNumberFormat="1" applyBorder="1"/>
    <xf numFmtId="0" fontId="3" fillId="0" borderId="0" xfId="0" applyFont="1" applyBorder="1" applyAlignment="1"/>
    <xf numFmtId="0" fontId="3" fillId="0" borderId="4" xfId="0" applyFont="1" applyBorder="1" applyAlignment="1">
      <alignment horizontal="center"/>
    </xf>
    <xf numFmtId="0" fontId="3" fillId="0" borderId="12" xfId="0" applyFont="1" applyBorder="1"/>
    <xf numFmtId="0" fontId="0" fillId="0" borderId="42" xfId="0" applyBorder="1"/>
    <xf numFmtId="0" fontId="0" fillId="0" borderId="43" xfId="0" applyBorder="1"/>
    <xf numFmtId="0" fontId="3" fillId="0" borderId="44" xfId="0" applyFont="1" applyBorder="1"/>
    <xf numFmtId="0" fontId="0" fillId="0" borderId="45" xfId="0" applyBorder="1"/>
    <xf numFmtId="0" fontId="0" fillId="13" borderId="0" xfId="0" applyFill="1" applyBorder="1"/>
    <xf numFmtId="43" fontId="0" fillId="0" borderId="50" xfId="1" applyNumberFormat="1" applyFont="1" applyBorder="1"/>
    <xf numFmtId="0" fontId="0" fillId="0" borderId="40" xfId="0" applyBorder="1"/>
    <xf numFmtId="0" fontId="4" fillId="19" borderId="42" xfId="0" applyFont="1" applyFill="1" applyBorder="1"/>
    <xf numFmtId="0" fontId="3" fillId="19" borderId="4" xfId="0" applyFont="1" applyFill="1" applyBorder="1" applyAlignment="1">
      <alignment horizontal="center"/>
    </xf>
    <xf numFmtId="0" fontId="18" fillId="2" borderId="44" xfId="5" applyFont="1" applyFill="1" applyBorder="1" applyAlignment="1">
      <alignment horizontal="center"/>
    </xf>
    <xf numFmtId="0" fontId="23" fillId="0" borderId="0" xfId="5" applyFont="1" applyBorder="1"/>
    <xf numFmtId="10" fontId="22" fillId="3" borderId="45" xfId="4" applyNumberFormat="1" applyFont="1" applyFill="1" applyBorder="1"/>
    <xf numFmtId="0" fontId="22" fillId="3" borderId="44" xfId="5" applyFont="1" applyFill="1" applyBorder="1" applyAlignment="1">
      <alignment horizontal="left" indent="1"/>
    </xf>
    <xf numFmtId="0" fontId="23" fillId="0" borderId="0" xfId="5" applyFont="1" applyBorder="1" applyAlignment="1">
      <alignment horizontal="left"/>
    </xf>
    <xf numFmtId="168" fontId="23" fillId="0" borderId="45" xfId="5" applyNumberFormat="1" applyFont="1" applyBorder="1"/>
    <xf numFmtId="0" fontId="23" fillId="0" borderId="44" xfId="5" applyFont="1" applyBorder="1" applyAlignment="1">
      <alignment horizontal="left" indent="2"/>
    </xf>
    <xf numFmtId="0" fontId="23" fillId="0" borderId="45" xfId="5" applyFont="1" applyBorder="1"/>
    <xf numFmtId="0" fontId="23" fillId="0" borderId="44" xfId="5" applyFont="1" applyBorder="1"/>
    <xf numFmtId="169" fontId="23" fillId="0" borderId="45" xfId="5" applyNumberFormat="1" applyFont="1" applyBorder="1"/>
    <xf numFmtId="0" fontId="19" fillId="0" borderId="44" xfId="5" applyFont="1" applyBorder="1"/>
    <xf numFmtId="0" fontId="19" fillId="0" borderId="0" xfId="5" applyFont="1" applyBorder="1"/>
    <xf numFmtId="0" fontId="19" fillId="0" borderId="45" xfId="5" applyFont="1" applyBorder="1"/>
    <xf numFmtId="0" fontId="22" fillId="0" borderId="19" xfId="5" applyFont="1" applyBorder="1"/>
    <xf numFmtId="169" fontId="24" fillId="0" borderId="54" xfId="5" applyNumberFormat="1" applyFont="1" applyFill="1" applyBorder="1"/>
    <xf numFmtId="0" fontId="23" fillId="0" borderId="54" xfId="5" applyFont="1" applyBorder="1"/>
    <xf numFmtId="0" fontId="22" fillId="0" borderId="54" xfId="5" applyFont="1" applyBorder="1"/>
    <xf numFmtId="166" fontId="22" fillId="0" borderId="40" xfId="5" applyNumberFormat="1" applyFont="1" applyBorder="1"/>
    <xf numFmtId="0" fontId="3" fillId="0" borderId="0" xfId="0" applyFont="1" applyAlignment="1">
      <alignment horizontal="center"/>
    </xf>
    <xf numFmtId="0" fontId="10" fillId="13" borderId="0" xfId="0" applyFont="1" applyFill="1" applyBorder="1" applyAlignment="1">
      <alignment horizontal="center"/>
    </xf>
    <xf numFmtId="0" fontId="2" fillId="12" borderId="0" xfId="0" applyFont="1" applyFill="1" applyAlignment="1">
      <alignment horizontal="center"/>
    </xf>
    <xf numFmtId="167" fontId="0" fillId="0" borderId="0" xfId="1" applyNumberFormat="1" applyFont="1" applyAlignment="1">
      <alignment horizontal="center" vertical="center"/>
    </xf>
    <xf numFmtId="0" fontId="2" fillId="12" borderId="24" xfId="0" applyFont="1" applyFill="1" applyBorder="1" applyAlignment="1">
      <alignment horizontal="center"/>
    </xf>
    <xf numFmtId="0" fontId="2" fillId="12" borderId="41" xfId="0" applyFont="1" applyFill="1" applyBorder="1" applyAlignment="1">
      <alignment horizontal="center"/>
    </xf>
    <xf numFmtId="0" fontId="3" fillId="19" borderId="46" xfId="0" applyFont="1" applyFill="1" applyBorder="1" applyAlignment="1">
      <alignment horizontal="center"/>
    </xf>
    <xf numFmtId="0" fontId="3" fillId="19" borderId="47" xfId="0" applyFont="1" applyFill="1" applyBorder="1" applyAlignment="1">
      <alignment horizontal="center"/>
    </xf>
    <xf numFmtId="0" fontId="3" fillId="19" borderId="48" xfId="0" applyFont="1" applyFill="1" applyBorder="1" applyAlignment="1">
      <alignment horizontal="center"/>
    </xf>
    <xf numFmtId="0" fontId="3" fillId="19" borderId="49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8" fillId="12" borderId="51" xfId="5" applyFont="1" applyFill="1" applyBorder="1" applyAlignment="1">
      <alignment horizontal="center"/>
    </xf>
    <xf numFmtId="0" fontId="18" fillId="12" borderId="52" xfId="5" applyFont="1" applyFill="1" applyBorder="1" applyAlignment="1">
      <alignment horizontal="center"/>
    </xf>
    <xf numFmtId="0" fontId="18" fillId="12" borderId="53" xfId="5" applyFont="1" applyFill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/>
    </xf>
  </cellXfs>
  <cellStyles count="12">
    <cellStyle name="Euro" xfId="9"/>
    <cellStyle name="Millares" xfId="1" builtinId="3"/>
    <cellStyle name="Millares 2" xfId="8"/>
    <cellStyle name="Moneda" xfId="2" builtinId="4"/>
    <cellStyle name="Moneda 2" xfId="7"/>
    <cellStyle name="Normal" xfId="0" builtinId="0"/>
    <cellStyle name="Normal 2" xfId="5"/>
    <cellStyle name="Normal 3" xfId="10"/>
    <cellStyle name="Porcentual" xfId="3" builtinId="5"/>
    <cellStyle name="Porcentual 2" xfId="4"/>
    <cellStyle name="Porcentual 3" xfId="6"/>
    <cellStyle name="Porcentual 4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/Daniela/Proyecto%20agroquimicos/An&#225;lisis%20Financie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FINANCIERO"/>
      <sheetName val="BALANCE"/>
      <sheetName val="PÉRDIDAS &amp; GANANCIAS"/>
      <sheetName val="PÉRDIDAS &amp; GANANCIAS %"/>
      <sheetName val="RECONCILIACIÓN"/>
      <sheetName val="ÍNDICES"/>
      <sheetName val="GENERACIÓN DE EFECTIVO"/>
      <sheetName val="FLUJO DE CAJA"/>
      <sheetName val="CALCULOS"/>
      <sheetName val="VENTASXTC"/>
      <sheetName val="RECUPERACION CARTERA"/>
      <sheetName val="CAPITAL DE TRABAJO"/>
      <sheetName val="GASTOS"/>
      <sheetName val="PRESTAMO"/>
      <sheetName val="BG"/>
      <sheetName val="CAPM"/>
      <sheetName val="FLUJO CAJA"/>
      <sheetName val="PAYBACK"/>
      <sheetName val="MONSANTO"/>
      <sheetName val="SYNGENTA"/>
      <sheetName val="AGRIUM"/>
      <sheetName val="Hoja1"/>
    </sheetNames>
    <sheetDataSet>
      <sheetData sheetId="0" refreshError="1"/>
      <sheetData sheetId="1">
        <row r="10">
          <cell r="B10">
            <v>2148.8000000000002</v>
          </cell>
          <cell r="C10">
            <v>2521.5</v>
          </cell>
          <cell r="D10">
            <v>7262.1</v>
          </cell>
          <cell r="E10">
            <v>12411.4</v>
          </cell>
          <cell r="F10">
            <v>15653.6</v>
          </cell>
        </row>
        <row r="11">
          <cell r="B11">
            <v>1300.2</v>
          </cell>
          <cell r="C11">
            <v>3867.6</v>
          </cell>
          <cell r="D11">
            <v>3414.4</v>
          </cell>
          <cell r="E11">
            <v>3299.5</v>
          </cell>
          <cell r="F11">
            <v>4454.3999999999996</v>
          </cell>
        </row>
        <row r="13">
          <cell r="B13">
            <v>4176.8</v>
          </cell>
          <cell r="C13">
            <v>8108.3000000000011</v>
          </cell>
          <cell r="D13">
            <v>12622.400000000001</v>
          </cell>
          <cell r="E13">
            <v>16993</v>
          </cell>
          <cell r="F13">
            <v>21132.6</v>
          </cell>
        </row>
        <row r="14">
          <cell r="B14">
            <v>1973</v>
          </cell>
          <cell r="C14">
            <v>2731.9</v>
          </cell>
          <cell r="D14">
            <v>5116</v>
          </cell>
          <cell r="E14">
            <v>5195</v>
          </cell>
          <cell r="F14">
            <v>6734.7</v>
          </cell>
        </row>
        <row r="21">
          <cell r="B21">
            <v>7243.3</v>
          </cell>
          <cell r="C21">
            <v>11680.800000000001</v>
          </cell>
          <cell r="D21">
            <v>18471.7</v>
          </cell>
          <cell r="E21">
            <v>23254.5</v>
          </cell>
          <cell r="F21">
            <v>28933.8</v>
          </cell>
        </row>
        <row r="25">
          <cell r="B25">
            <v>849.9</v>
          </cell>
          <cell r="C25">
            <v>3378.9</v>
          </cell>
          <cell r="D25">
            <v>7879.1</v>
          </cell>
          <cell r="E25">
            <v>9593.4</v>
          </cell>
          <cell r="F25">
            <v>6687.8</v>
          </cell>
        </row>
        <row r="29">
          <cell r="B29">
            <v>4506.3</v>
          </cell>
          <cell r="C29">
            <v>7324.6</v>
          </cell>
          <cell r="D29">
            <v>11645.100000000002</v>
          </cell>
          <cell r="E29">
            <v>15540.8</v>
          </cell>
          <cell r="F29">
            <v>18971.900000000001</v>
          </cell>
        </row>
        <row r="32">
          <cell r="B32">
            <v>41.6</v>
          </cell>
          <cell r="C32">
            <v>76.8</v>
          </cell>
          <cell r="D32">
            <v>197.8</v>
          </cell>
          <cell r="E32">
            <v>254.5</v>
          </cell>
          <cell r="F32">
            <v>122.5</v>
          </cell>
        </row>
        <row r="33">
          <cell r="B33">
            <v>110.4</v>
          </cell>
          <cell r="C33">
            <v>466.40000000000003</v>
          </cell>
          <cell r="D33">
            <v>197.8</v>
          </cell>
          <cell r="E33">
            <v>254.5</v>
          </cell>
          <cell r="F33">
            <v>122.5</v>
          </cell>
        </row>
        <row r="34">
          <cell r="B34">
            <v>4616.7</v>
          </cell>
          <cell r="C34">
            <v>7791</v>
          </cell>
          <cell r="D34">
            <v>11842.900000000001</v>
          </cell>
          <cell r="E34">
            <v>15795.3</v>
          </cell>
          <cell r="F34">
            <v>19094.400000000001</v>
          </cell>
        </row>
        <row r="42">
          <cell r="B42">
            <v>2626.5999999999995</v>
          </cell>
          <cell r="C42">
            <v>3889.8</v>
          </cell>
          <cell r="D42">
            <v>6628.7999999999993</v>
          </cell>
          <cell r="E42">
            <v>7459.1999999999989</v>
          </cell>
          <cell r="F42">
            <v>9839.4</v>
          </cell>
        </row>
      </sheetData>
      <sheetData sheetId="2">
        <row r="5">
          <cell r="B5">
            <v>10726.6</v>
          </cell>
          <cell r="C5">
            <v>21418.6</v>
          </cell>
          <cell r="D5">
            <v>35953</v>
          </cell>
          <cell r="E5">
            <v>31895.3</v>
          </cell>
          <cell r="F5">
            <v>37577.199999999997</v>
          </cell>
        </row>
        <row r="6">
          <cell r="B6">
            <v>8802.1</v>
          </cell>
          <cell r="C6">
            <v>17385</v>
          </cell>
          <cell r="D6">
            <v>29420.1</v>
          </cell>
          <cell r="E6">
            <v>26207.4</v>
          </cell>
          <cell r="F6">
            <v>28930.7</v>
          </cell>
        </row>
        <row r="7">
          <cell r="B7">
            <v>1131.7</v>
          </cell>
          <cell r="C7">
            <v>2215.3000000000002</v>
          </cell>
          <cell r="D7">
            <v>2799.2</v>
          </cell>
          <cell r="E7">
            <v>2731.5</v>
          </cell>
          <cell r="F7">
            <v>2781</v>
          </cell>
        </row>
        <row r="11">
          <cell r="B11">
            <v>152.5</v>
          </cell>
          <cell r="C11">
            <v>279.2</v>
          </cell>
          <cell r="D11">
            <v>468.1</v>
          </cell>
          <cell r="E11">
            <v>500</v>
          </cell>
          <cell r="F11">
            <v>500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B14">
            <v>834.2</v>
          </cell>
          <cell r="C14">
            <v>890.8</v>
          </cell>
          <cell r="D14">
            <v>1652.7</v>
          </cell>
          <cell r="E14">
            <v>238</v>
          </cell>
          <cell r="F14">
            <v>41.5</v>
          </cell>
        </row>
        <row r="15">
          <cell r="B15">
            <v>19.5</v>
          </cell>
          <cell r="C15">
            <v>0</v>
          </cell>
          <cell r="D15">
            <v>0</v>
          </cell>
          <cell r="E15">
            <v>1.1000000000000001</v>
          </cell>
          <cell r="F15">
            <v>189</v>
          </cell>
        </row>
        <row r="17">
          <cell r="B17">
            <v>1226.2</v>
          </cell>
          <cell r="C17">
            <v>1673.2</v>
          </cell>
          <cell r="D17">
            <v>3952.1</v>
          </cell>
          <cell r="E17">
            <v>1700.7</v>
          </cell>
          <cell r="F17">
            <v>1563.5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2">
          <cell r="B22">
            <v>73.5</v>
          </cell>
          <cell r="C22">
            <v>282.39999999999998</v>
          </cell>
          <cell r="D22">
            <v>217.6</v>
          </cell>
          <cell r="E22">
            <v>162.19999999999999</v>
          </cell>
          <cell r="F22">
            <v>1274.3</v>
          </cell>
        </row>
        <row r="23">
          <cell r="B23">
            <v>86.9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5">
          <cell r="B25">
            <v>242.19999999999996</v>
          </cell>
          <cell r="C25">
            <v>474.29999999999825</v>
          </cell>
          <cell r="D25">
            <v>748.60000000000207</v>
          </cell>
          <cell r="E25">
            <v>830.39999999999782</v>
          </cell>
          <cell r="F25">
            <v>2380.1999999999962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7">
          <cell r="W77">
            <v>24063.040000000001</v>
          </cell>
        </row>
      </sheetData>
      <sheetData sheetId="9">
        <row r="66">
          <cell r="C66">
            <v>104057.2368</v>
          </cell>
        </row>
      </sheetData>
      <sheetData sheetId="10" refreshError="1"/>
      <sheetData sheetId="11">
        <row r="29">
          <cell r="C29">
            <v>10284.670032851383</v>
          </cell>
        </row>
      </sheetData>
      <sheetData sheetId="12">
        <row r="21">
          <cell r="D21">
            <v>96</v>
          </cell>
        </row>
      </sheetData>
      <sheetData sheetId="13">
        <row r="12">
          <cell r="C12">
            <v>4254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I28"/>
  <sheetViews>
    <sheetView showGridLines="0" workbookViewId="0">
      <selection activeCell="B32" sqref="B32"/>
    </sheetView>
  </sheetViews>
  <sheetFormatPr baseColWidth="10" defaultRowHeight="15"/>
  <cols>
    <col min="1" max="1" width="22.28515625" bestFit="1" customWidth="1"/>
    <col min="2" max="2" width="11.5703125" customWidth="1"/>
    <col min="3" max="3" width="13.140625" bestFit="1" customWidth="1"/>
    <col min="5" max="5" width="30.85546875" customWidth="1"/>
  </cols>
  <sheetData>
    <row r="1" spans="1:7">
      <c r="A1" s="95"/>
      <c r="B1" t="s">
        <v>33</v>
      </c>
    </row>
    <row r="2" spans="1:7">
      <c r="A2" s="23"/>
      <c r="B2" t="s">
        <v>34</v>
      </c>
    </row>
    <row r="3" spans="1:7">
      <c r="A3" s="25"/>
      <c r="B3" t="s">
        <v>37</v>
      </c>
    </row>
    <row r="4" spans="1:7">
      <c r="F4" s="96"/>
    </row>
    <row r="6" spans="1:7">
      <c r="A6" s="303" t="s">
        <v>22</v>
      </c>
      <c r="B6" s="303"/>
      <c r="E6" s="303"/>
      <c r="F6" s="303"/>
      <c r="G6" s="26"/>
    </row>
    <row r="7" spans="1:7">
      <c r="A7" t="s">
        <v>25</v>
      </c>
      <c r="B7" s="24">
        <f>100887+97623</f>
        <v>198510</v>
      </c>
      <c r="F7" s="96"/>
    </row>
    <row r="8" spans="1:7">
      <c r="A8" t="s">
        <v>35</v>
      </c>
      <c r="B8" s="100">
        <f>B24+B25+B26</f>
        <v>0.30280000000000001</v>
      </c>
      <c r="F8" s="97"/>
    </row>
    <row r="9" spans="1:7">
      <c r="A9" t="s">
        <v>36</v>
      </c>
      <c r="B9" s="2">
        <f>+B8*B7</f>
        <v>60108.828000000001</v>
      </c>
      <c r="F9" s="96"/>
    </row>
    <row r="10" spans="1:7">
      <c r="A10" t="s">
        <v>24</v>
      </c>
      <c r="B10" s="94">
        <v>0.91930000000000001</v>
      </c>
    </row>
    <row r="11" spans="1:7">
      <c r="A11" t="s">
        <v>23</v>
      </c>
      <c r="B11" s="2">
        <f>B10*B9</f>
        <v>55258.045580400001</v>
      </c>
    </row>
    <row r="12" spans="1:7">
      <c r="A12" t="s">
        <v>27</v>
      </c>
      <c r="B12" s="21">
        <v>0.6</v>
      </c>
    </row>
    <row r="13" spans="1:7">
      <c r="A13" t="s">
        <v>26</v>
      </c>
      <c r="B13" s="2">
        <f>B11*B12</f>
        <v>33154.827348239996</v>
      </c>
    </row>
    <row r="14" spans="1:7">
      <c r="A14" t="s">
        <v>29</v>
      </c>
      <c r="B14" s="94">
        <v>0.3201</v>
      </c>
    </row>
    <row r="15" spans="1:7">
      <c r="A15" t="s">
        <v>30</v>
      </c>
      <c r="B15" s="94">
        <v>0.39090000000000003</v>
      </c>
    </row>
    <row r="16" spans="1:7">
      <c r="A16" t="s">
        <v>31</v>
      </c>
      <c r="B16" s="2">
        <f>(B14*B13)*(1-(Precios!$B$30)/2)</f>
        <v>10612.860234171623</v>
      </c>
    </row>
    <row r="17" spans="1:9">
      <c r="A17" t="s">
        <v>32</v>
      </c>
      <c r="B17" s="20">
        <f>(B15*B13)*(1-(Precios!$B$30)/2)</f>
        <v>12960.222010427015</v>
      </c>
      <c r="C17" s="20"/>
      <c r="I17" s="20"/>
    </row>
    <row r="18" spans="1:9">
      <c r="B18" s="20">
        <f>SUM(B16:B17)</f>
        <v>23573.082244598638</v>
      </c>
    </row>
    <row r="23" spans="1:9">
      <c r="A23" s="303" t="s">
        <v>142</v>
      </c>
      <c r="B23" s="303"/>
    </row>
    <row r="24" spans="1:9">
      <c r="A24" t="s">
        <v>137</v>
      </c>
      <c r="B24" s="99">
        <v>1.5599999999999999E-2</v>
      </c>
    </row>
    <row r="25" spans="1:9">
      <c r="A25" t="s">
        <v>138</v>
      </c>
      <c r="B25" s="99">
        <v>5.3199999999999997E-2</v>
      </c>
    </row>
    <row r="26" spans="1:9">
      <c r="A26" t="s">
        <v>139</v>
      </c>
      <c r="B26" s="99">
        <v>0.23400000000000001</v>
      </c>
    </row>
    <row r="27" spans="1:9">
      <c r="A27" t="s">
        <v>140</v>
      </c>
      <c r="B27" s="99">
        <v>0.26440000000000002</v>
      </c>
    </row>
    <row r="28" spans="1:9">
      <c r="A28" t="s">
        <v>141</v>
      </c>
      <c r="B28" s="99">
        <v>0.43280000000000002</v>
      </c>
    </row>
  </sheetData>
  <mergeCells count="3">
    <mergeCell ref="A6:B6"/>
    <mergeCell ref="E6:F6"/>
    <mergeCell ref="A23:B2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K72"/>
  <sheetViews>
    <sheetView showGridLines="0" topLeftCell="A41" workbookViewId="0">
      <selection activeCell="H85" sqref="H85"/>
    </sheetView>
  </sheetViews>
  <sheetFormatPr baseColWidth="10" defaultRowHeight="12"/>
  <cols>
    <col min="1" max="1" width="32.42578125" style="140" bestFit="1" customWidth="1"/>
    <col min="2" max="9" width="11.42578125" style="140"/>
    <col min="10" max="10" width="11.7109375" style="140" bestFit="1" customWidth="1"/>
    <col min="11" max="16384" width="11.42578125" style="140"/>
  </cols>
  <sheetData>
    <row r="1" spans="1:11" ht="12.75" thickBot="1">
      <c r="B1" s="150" t="s">
        <v>197</v>
      </c>
      <c r="C1" s="150" t="s">
        <v>198</v>
      </c>
      <c r="D1" s="150" t="s">
        <v>199</v>
      </c>
      <c r="E1" s="150" t="s">
        <v>200</v>
      </c>
      <c r="F1" s="150" t="s">
        <v>201</v>
      </c>
      <c r="G1" s="150" t="s">
        <v>202</v>
      </c>
    </row>
    <row r="2" spans="1:11" ht="12.75" thickBot="1">
      <c r="A2" s="173" t="s">
        <v>89</v>
      </c>
      <c r="J2" s="149"/>
      <c r="K2" s="149"/>
    </row>
    <row r="3" spans="1:11">
      <c r="A3" s="174" t="s">
        <v>115</v>
      </c>
      <c r="B3" s="167"/>
      <c r="C3" s="167"/>
      <c r="D3" s="167"/>
      <c r="E3" s="167"/>
      <c r="F3" s="167"/>
      <c r="G3" s="167"/>
    </row>
    <row r="4" spans="1:11">
      <c r="A4" s="175" t="s">
        <v>96</v>
      </c>
      <c r="B4" s="167"/>
      <c r="C4" s="168">
        <f>Comercializacion!N10*Precios!$B$14</f>
        <v>49067.073492259711</v>
      </c>
      <c r="D4" s="168">
        <f>Comercializacion!O10*Precios!$B$14</f>
        <v>51520.427166872709</v>
      </c>
      <c r="E4" s="168">
        <f>Comercializacion!P10*Precios!$B$14</f>
        <v>54096.44852521635</v>
      </c>
      <c r="F4" s="168">
        <f>Comercializacion!Q10*Precios!$B$14</f>
        <v>56801.27095147717</v>
      </c>
      <c r="G4" s="168">
        <f>Comercializacion!R10*Precios!$B$14</f>
        <v>59641.33449905103</v>
      </c>
      <c r="J4" s="149"/>
      <c r="K4" s="149"/>
    </row>
    <row r="5" spans="1:11">
      <c r="A5" s="175" t="s">
        <v>97</v>
      </c>
      <c r="B5" s="167"/>
      <c r="C5" s="168">
        <f>Precios!$B$15*Comercializacion!N11</f>
        <v>52429.800529861859</v>
      </c>
      <c r="D5" s="168">
        <f>Precios!$B$15*Comercializacion!O11</f>
        <v>55051.29055635495</v>
      </c>
      <c r="E5" s="168">
        <f>Precios!$B$15*Comercializacion!P11</f>
        <v>57803.855084172697</v>
      </c>
      <c r="F5" s="168">
        <f>Precios!$B$15*Comercializacion!Q11</f>
        <v>60694.047838381339</v>
      </c>
      <c r="G5" s="168">
        <f>Precios!$B$15*Comercializacion!R11</f>
        <v>63728.7502303004</v>
      </c>
      <c r="J5" s="149"/>
      <c r="K5" s="149"/>
    </row>
    <row r="6" spans="1:11">
      <c r="A6" s="174" t="s">
        <v>156</v>
      </c>
      <c r="B6" s="167"/>
      <c r="C6" s="168"/>
      <c r="D6" s="168"/>
      <c r="E6" s="168"/>
      <c r="F6" s="168"/>
      <c r="G6" s="168"/>
      <c r="J6" s="149"/>
      <c r="K6" s="149"/>
    </row>
    <row r="7" spans="1:11">
      <c r="A7" s="175" t="s">
        <v>96</v>
      </c>
      <c r="B7" s="167"/>
      <c r="C7" s="168">
        <f>Precios!$B$19*Comercializacion!N13</f>
        <v>20784.225482601705</v>
      </c>
      <c r="D7" s="168">
        <f>Precios!$B$19*Comercializacion!O13</f>
        <v>21823.436756731797</v>
      </c>
      <c r="E7" s="168">
        <f>Precios!$B$19*Comercializacion!P13</f>
        <v>22914.608594568388</v>
      </c>
      <c r="F7" s="168">
        <f>Precios!$B$19*Comercializacion!Q13</f>
        <v>24060.339024296809</v>
      </c>
      <c r="G7" s="168">
        <f>Precios!$B$19*Comercializacion!R13</f>
        <v>25263.355975511648</v>
      </c>
    </row>
    <row r="8" spans="1:11" ht="12.75" thickBot="1">
      <c r="A8" s="176" t="s">
        <v>97</v>
      </c>
      <c r="B8" s="167"/>
      <c r="C8" s="184">
        <f>Precios!$B$20*Comercializacion!N14</f>
        <v>22208.636437067737</v>
      </c>
      <c r="D8" s="184">
        <f>Precios!$B$20*Comercializacion!O14</f>
        <v>23319.068258921117</v>
      </c>
      <c r="E8" s="184">
        <f>Precios!$B$20*Comercializacion!P14</f>
        <v>24485.021671867173</v>
      </c>
      <c r="F8" s="184">
        <f>Precios!$B$20*Comercializacion!Q14</f>
        <v>25709.27275546053</v>
      </c>
      <c r="G8" s="184">
        <f>Precios!$B$20*Comercializacion!R14</f>
        <v>26994.736393233557</v>
      </c>
    </row>
    <row r="9" spans="1:11" ht="12.75" thickBot="1">
      <c r="A9" s="173" t="s">
        <v>93</v>
      </c>
      <c r="B9" s="180"/>
      <c r="C9" s="183">
        <f>SUM(C4:C8)</f>
        <v>144489.735941791</v>
      </c>
      <c r="D9" s="183">
        <f t="shared" ref="D9:G9" si="0">SUM(D4:D8)</f>
        <v>151714.22273888058</v>
      </c>
      <c r="E9" s="183">
        <f t="shared" si="0"/>
        <v>159299.93387582462</v>
      </c>
      <c r="F9" s="183">
        <f t="shared" si="0"/>
        <v>167264.93056961586</v>
      </c>
      <c r="G9" s="183">
        <f t="shared" si="0"/>
        <v>175628.17709809664</v>
      </c>
      <c r="J9" s="149"/>
    </row>
    <row r="10" spans="1:11" ht="12.75" thickBot="1">
      <c r="A10" s="177"/>
      <c r="B10" s="167"/>
      <c r="C10" s="168"/>
      <c r="D10" s="168"/>
      <c r="E10" s="168"/>
      <c r="F10" s="168"/>
      <c r="G10" s="168"/>
    </row>
    <row r="11" spans="1:11" ht="12.75" thickBot="1">
      <c r="A11" s="173" t="s">
        <v>73</v>
      </c>
      <c r="B11" s="180"/>
      <c r="C11" s="168"/>
      <c r="D11" s="168"/>
      <c r="E11" s="168"/>
      <c r="F11" s="168"/>
      <c r="G11" s="168"/>
    </row>
    <row r="12" spans="1:11">
      <c r="A12" s="178" t="s">
        <v>86</v>
      </c>
      <c r="B12" s="167"/>
      <c r="C12" s="168"/>
      <c r="D12" s="168"/>
      <c r="E12" s="168"/>
      <c r="F12" s="168"/>
      <c r="G12" s="168"/>
    </row>
    <row r="13" spans="1:11">
      <c r="A13" s="179" t="s">
        <v>239</v>
      </c>
      <c r="B13" s="167"/>
      <c r="C13" s="168">
        <f>Gastos!B19</f>
        <v>10200</v>
      </c>
      <c r="D13" s="168">
        <f>Gastos!C19</f>
        <v>10608</v>
      </c>
      <c r="E13" s="168">
        <f>Gastos!D19</f>
        <v>11032.32</v>
      </c>
      <c r="F13" s="168">
        <f>Gastos!E19</f>
        <v>11473.612800000001</v>
      </c>
      <c r="G13" s="168">
        <f>Gastos!F19</f>
        <v>11932.557312000001</v>
      </c>
    </row>
    <row r="14" spans="1:11">
      <c r="A14" s="190" t="s">
        <v>4</v>
      </c>
      <c r="B14" s="180"/>
      <c r="C14" s="168">
        <f>Gastos!B20</f>
        <v>6600</v>
      </c>
      <c r="D14" s="168">
        <f>Gastos!C20</f>
        <v>6864</v>
      </c>
      <c r="E14" s="168">
        <f>Gastos!D20</f>
        <v>7138.56</v>
      </c>
      <c r="F14" s="168">
        <f>Gastos!E20</f>
        <v>7424.1024000000007</v>
      </c>
      <c r="G14" s="168">
        <f>Gastos!F20</f>
        <v>7721.0664960000013</v>
      </c>
    </row>
    <row r="15" spans="1:11">
      <c r="A15" s="190" t="s">
        <v>1</v>
      </c>
      <c r="B15" s="180"/>
      <c r="C15" s="168">
        <f>Gastos!B21</f>
        <v>8400</v>
      </c>
      <c r="D15" s="168">
        <f>Gastos!C21</f>
        <v>8736</v>
      </c>
      <c r="E15" s="168">
        <f>Gastos!D21</f>
        <v>9085.44</v>
      </c>
      <c r="F15" s="168">
        <f>Gastos!E21</f>
        <v>9448.8576000000012</v>
      </c>
      <c r="G15" s="168">
        <f>Gastos!F21</f>
        <v>9826.811904000002</v>
      </c>
    </row>
    <row r="16" spans="1:11">
      <c r="A16" s="190" t="s">
        <v>10</v>
      </c>
      <c r="B16" s="180"/>
      <c r="C16" s="168">
        <f>Gastos!B22</f>
        <v>7800</v>
      </c>
      <c r="D16" s="168">
        <f>Gastos!C22</f>
        <v>8112</v>
      </c>
      <c r="E16" s="168">
        <f>Gastos!D22</f>
        <v>8436.48</v>
      </c>
      <c r="F16" s="168">
        <f>Gastos!E22</f>
        <v>8773.9392000000007</v>
      </c>
      <c r="G16" s="168">
        <f>Gastos!F22</f>
        <v>9124.8967680000005</v>
      </c>
    </row>
    <row r="17" spans="1:11">
      <c r="A17" s="190" t="s">
        <v>2</v>
      </c>
      <c r="B17" s="180"/>
      <c r="C17" s="168">
        <f>Gastos!B23</f>
        <v>5400</v>
      </c>
      <c r="D17" s="168">
        <f>Gastos!C23</f>
        <v>5616</v>
      </c>
      <c r="E17" s="168">
        <f>Gastos!D23</f>
        <v>5840.64</v>
      </c>
      <c r="F17" s="168">
        <f>Gastos!E23</f>
        <v>6074.2656000000006</v>
      </c>
      <c r="G17" s="168">
        <f>Gastos!F23</f>
        <v>6317.2362240000011</v>
      </c>
    </row>
    <row r="18" spans="1:11">
      <c r="A18" s="190" t="s">
        <v>20</v>
      </c>
      <c r="B18" s="180"/>
      <c r="C18" s="168">
        <f>Gastos!B24</f>
        <v>12600</v>
      </c>
      <c r="D18" s="168">
        <f>Gastos!C24</f>
        <v>13104</v>
      </c>
      <c r="E18" s="168">
        <f>Gastos!D24</f>
        <v>13628.16</v>
      </c>
      <c r="F18" s="168">
        <f>Gastos!E24</f>
        <v>14173.286400000001</v>
      </c>
      <c r="G18" s="168">
        <f>Gastos!F24</f>
        <v>14740.217856000001</v>
      </c>
    </row>
    <row r="19" spans="1:11">
      <c r="A19" s="190" t="s">
        <v>3</v>
      </c>
      <c r="B19" s="180"/>
      <c r="C19" s="168">
        <f>Gastos!B25</f>
        <v>4200</v>
      </c>
      <c r="D19" s="168">
        <f>Gastos!C25</f>
        <v>4368</v>
      </c>
      <c r="E19" s="168">
        <f>Gastos!D25</f>
        <v>4542.72</v>
      </c>
      <c r="F19" s="168">
        <f>Gastos!E25</f>
        <v>4724.4288000000006</v>
      </c>
      <c r="G19" s="168">
        <f>Gastos!F25</f>
        <v>4913.405952000001</v>
      </c>
    </row>
    <row r="20" spans="1:11">
      <c r="A20" s="190" t="s">
        <v>5</v>
      </c>
      <c r="B20" s="180"/>
      <c r="C20" s="168">
        <f>Gastos!B26</f>
        <v>7200</v>
      </c>
      <c r="D20" s="168">
        <f>Gastos!C26</f>
        <v>7488</v>
      </c>
      <c r="E20" s="168">
        <f>Gastos!D26</f>
        <v>7787.52</v>
      </c>
      <c r="F20" s="168">
        <f>Gastos!E26</f>
        <v>8099.0208000000011</v>
      </c>
      <c r="G20" s="168">
        <f>Gastos!F26</f>
        <v>8422.9816320000009</v>
      </c>
    </row>
    <row r="21" spans="1:11">
      <c r="A21" s="190" t="s">
        <v>11</v>
      </c>
      <c r="B21" s="180"/>
      <c r="C21" s="168">
        <f>Gastos!B27</f>
        <v>11520</v>
      </c>
      <c r="D21" s="168">
        <f>Gastos!C27</f>
        <v>11980.800000000001</v>
      </c>
      <c r="E21" s="168">
        <f>Gastos!D27</f>
        <v>12460.032000000001</v>
      </c>
      <c r="F21" s="168">
        <f>Gastos!E27</f>
        <v>12958.433280000001</v>
      </c>
      <c r="G21" s="168">
        <f>Gastos!F27</f>
        <v>13476.770611200001</v>
      </c>
      <c r="K21" s="144"/>
    </row>
    <row r="22" spans="1:11" ht="12.75" thickBot="1">
      <c r="A22" s="190" t="s">
        <v>159</v>
      </c>
      <c r="B22" s="180"/>
      <c r="C22" s="184">
        <f>Gastos!B28</f>
        <v>2880</v>
      </c>
      <c r="D22" s="184">
        <f>Gastos!C28</f>
        <v>2995.2000000000003</v>
      </c>
      <c r="E22" s="184">
        <f>Gastos!D28</f>
        <v>3115.0080000000003</v>
      </c>
      <c r="F22" s="184">
        <f>Gastos!E28</f>
        <v>3239.6083200000003</v>
      </c>
      <c r="G22" s="184">
        <f>Gastos!F28</f>
        <v>3369.1926528000004</v>
      </c>
    </row>
    <row r="23" spans="1:11">
      <c r="A23" s="191" t="s">
        <v>160</v>
      </c>
      <c r="B23" s="180"/>
      <c r="C23" s="183">
        <f>SUM(C13:C22)</f>
        <v>76800</v>
      </c>
      <c r="D23" s="183">
        <f t="shared" ref="D23:G23" si="1">SUM(D13:D22)</f>
        <v>79872</v>
      </c>
      <c r="E23" s="183">
        <f t="shared" si="1"/>
        <v>83066.880000000019</v>
      </c>
      <c r="F23" s="183">
        <f t="shared" si="1"/>
        <v>86389.555200000003</v>
      </c>
      <c r="G23" s="183">
        <f t="shared" si="1"/>
        <v>89845.13740800001</v>
      </c>
    </row>
    <row r="24" spans="1:11">
      <c r="A24" s="192"/>
      <c r="B24" s="180"/>
      <c r="C24" s="168"/>
      <c r="D24" s="168"/>
      <c r="E24" s="168"/>
      <c r="F24" s="168"/>
      <c r="G24" s="168"/>
    </row>
    <row r="25" spans="1:11">
      <c r="A25" s="191" t="s">
        <v>161</v>
      </c>
      <c r="B25" s="180"/>
      <c r="C25" s="168"/>
      <c r="D25" s="168"/>
      <c r="E25" s="168"/>
      <c r="F25" s="168"/>
      <c r="G25" s="168"/>
    </row>
    <row r="26" spans="1:11">
      <c r="A26" s="190" t="s">
        <v>65</v>
      </c>
      <c r="B26" s="180"/>
      <c r="C26" s="168">
        <f>Gastos!B58</f>
        <v>1200</v>
      </c>
      <c r="D26" s="168">
        <f>Gastos!C58</f>
        <v>1251.7199999999998</v>
      </c>
      <c r="E26" s="168">
        <f>Gastos!D58</f>
        <v>1305.6691319999998</v>
      </c>
      <c r="F26" s="168">
        <f>Gastos!E58</f>
        <v>1361.9434715891996</v>
      </c>
      <c r="G26" s="168">
        <f>Gastos!F58</f>
        <v>1420.643235214694</v>
      </c>
    </row>
    <row r="27" spans="1:11">
      <c r="A27" s="190" t="s">
        <v>87</v>
      </c>
      <c r="B27" s="180"/>
      <c r="C27" s="168">
        <f>Gastos!B59</f>
        <v>1200</v>
      </c>
      <c r="D27" s="168">
        <f>Gastos!C59</f>
        <v>1251.7199999999998</v>
      </c>
      <c r="E27" s="168">
        <f>Gastos!D59</f>
        <v>1305.6691319999998</v>
      </c>
      <c r="F27" s="168">
        <f>Gastos!E59</f>
        <v>1361.9434715891996</v>
      </c>
      <c r="G27" s="168">
        <f>Gastos!F59</f>
        <v>1420.643235214694</v>
      </c>
    </row>
    <row r="28" spans="1:11">
      <c r="A28" s="190" t="s">
        <v>67</v>
      </c>
      <c r="B28" s="180"/>
      <c r="C28" s="168">
        <f>Gastos!B60</f>
        <v>600</v>
      </c>
      <c r="D28" s="168">
        <f>Gastos!C60</f>
        <v>625.8599999999999</v>
      </c>
      <c r="E28" s="168">
        <f>Gastos!D60</f>
        <v>652.83456599999988</v>
      </c>
      <c r="F28" s="168">
        <f>Gastos!E60</f>
        <v>680.97173579459979</v>
      </c>
      <c r="G28" s="168">
        <f>Gastos!F60</f>
        <v>710.32161760734698</v>
      </c>
    </row>
    <row r="29" spans="1:11" ht="12.75" thickBot="1">
      <c r="A29" s="190" t="s">
        <v>68</v>
      </c>
      <c r="B29" s="180"/>
      <c r="C29" s="184">
        <f>Gastos!B61</f>
        <v>300</v>
      </c>
      <c r="D29" s="184">
        <f>Gastos!C61</f>
        <v>312.92999999999995</v>
      </c>
      <c r="E29" s="184">
        <f>Gastos!D61</f>
        <v>326.41728299999994</v>
      </c>
      <c r="F29" s="184">
        <f>Gastos!E61</f>
        <v>340.4858678972999</v>
      </c>
      <c r="G29" s="184">
        <f>Gastos!F61</f>
        <v>355.16080880367349</v>
      </c>
    </row>
    <row r="30" spans="1:11">
      <c r="A30" s="193" t="s">
        <v>162</v>
      </c>
      <c r="B30" s="180"/>
      <c r="C30" s="183">
        <f>SUM(C26:C29)</f>
        <v>3300</v>
      </c>
      <c r="D30" s="183">
        <f t="shared" ref="D30:G30" si="2">SUM(D26:D29)</f>
        <v>3442.2299999999991</v>
      </c>
      <c r="E30" s="183">
        <f t="shared" si="2"/>
        <v>3590.5901129999993</v>
      </c>
      <c r="F30" s="183">
        <f t="shared" si="2"/>
        <v>3745.3445468702989</v>
      </c>
      <c r="G30" s="183">
        <f t="shared" si="2"/>
        <v>3906.7688968404082</v>
      </c>
    </row>
    <row r="31" spans="1:11">
      <c r="A31" s="193"/>
      <c r="B31" s="180"/>
      <c r="C31" s="168"/>
      <c r="D31" s="168"/>
      <c r="E31" s="168"/>
      <c r="F31" s="168"/>
      <c r="G31" s="168"/>
    </row>
    <row r="32" spans="1:11">
      <c r="A32" s="194" t="s">
        <v>163</v>
      </c>
      <c r="B32" s="180"/>
      <c r="C32" s="168"/>
      <c r="D32" s="168"/>
      <c r="E32" s="168"/>
      <c r="F32" s="168"/>
      <c r="G32" s="168"/>
    </row>
    <row r="33" spans="1:10">
      <c r="A33" s="195" t="s">
        <v>167</v>
      </c>
      <c r="B33" s="180"/>
      <c r="C33" s="168">
        <f>Gastos!B62</f>
        <v>360</v>
      </c>
      <c r="D33" s="168">
        <f>Gastos!C62</f>
        <v>375.51599999999996</v>
      </c>
      <c r="E33" s="168">
        <f>Gastos!D62</f>
        <v>391.70073959999991</v>
      </c>
      <c r="F33" s="168">
        <f>Gastos!E62</f>
        <v>408.58304147675989</v>
      </c>
      <c r="G33" s="168">
        <f>Gastos!F62</f>
        <v>426.1929705644082</v>
      </c>
    </row>
    <row r="34" spans="1:10">
      <c r="A34" s="195" t="s">
        <v>69</v>
      </c>
      <c r="B34" s="180"/>
      <c r="C34" s="168">
        <f>Gastos!B63</f>
        <v>24000</v>
      </c>
      <c r="D34" s="168">
        <f>Gastos!C63</f>
        <v>24000</v>
      </c>
      <c r="E34" s="168">
        <f>Gastos!D63</f>
        <v>25034.399999999998</v>
      </c>
      <c r="F34" s="168">
        <f>Gastos!E63</f>
        <v>25034.399999999998</v>
      </c>
      <c r="G34" s="168">
        <f>Gastos!F63</f>
        <v>26113.382639999996</v>
      </c>
    </row>
    <row r="35" spans="1:10">
      <c r="A35" s="195" t="s">
        <v>70</v>
      </c>
      <c r="B35" s="180"/>
      <c r="C35" s="168">
        <f>Gastos!B64</f>
        <v>3600</v>
      </c>
      <c r="D35" s="168">
        <f>Gastos!C64</f>
        <v>3755.16</v>
      </c>
      <c r="E35" s="168">
        <f>Gastos!D64</f>
        <v>3917.0073959999995</v>
      </c>
      <c r="F35" s="168">
        <f>Gastos!E64</f>
        <v>4085.830414767599</v>
      </c>
      <c r="G35" s="168">
        <f>Gastos!F64</f>
        <v>4261.9297056440819</v>
      </c>
    </row>
    <row r="36" spans="1:10">
      <c r="A36" s="195" t="s">
        <v>71</v>
      </c>
      <c r="B36" s="180"/>
      <c r="C36" s="168">
        <f>Gastos!B65</f>
        <v>3600</v>
      </c>
      <c r="D36" s="168">
        <f>Gastos!C65</f>
        <v>3755.16</v>
      </c>
      <c r="E36" s="168">
        <f>Gastos!D65</f>
        <v>3917.0073959999995</v>
      </c>
      <c r="F36" s="168">
        <f>Gastos!E65</f>
        <v>4085.830414767599</v>
      </c>
      <c r="G36" s="168">
        <f>Gastos!F65</f>
        <v>4261.9297056440819</v>
      </c>
    </row>
    <row r="37" spans="1:10">
      <c r="A37" s="195" t="s">
        <v>164</v>
      </c>
      <c r="B37" s="180"/>
      <c r="C37" s="168">
        <f>Gastos!B66</f>
        <v>960</v>
      </c>
      <c r="D37" s="168">
        <f>Gastos!C66</f>
        <v>1001.376</v>
      </c>
      <c r="E37" s="168">
        <f>Gastos!D66</f>
        <v>1044.5353055999999</v>
      </c>
      <c r="F37" s="168">
        <f>Gastos!E66</f>
        <v>1089.5547772713599</v>
      </c>
      <c r="G37" s="168">
        <f>Gastos!F66</f>
        <v>1136.5145881717553</v>
      </c>
    </row>
    <row r="38" spans="1:10">
      <c r="A38" s="195" t="s">
        <v>157</v>
      </c>
      <c r="B38" s="180"/>
      <c r="C38" s="168">
        <f>Gastos!B67</f>
        <v>720</v>
      </c>
      <c r="D38" s="168">
        <f>Gastos!C67</f>
        <v>751.03199999999993</v>
      </c>
      <c r="E38" s="168">
        <f>Gastos!D67</f>
        <v>783.40147919999981</v>
      </c>
      <c r="F38" s="168">
        <f>Gastos!E67</f>
        <v>817.16608295351978</v>
      </c>
      <c r="G38" s="168">
        <f>Gastos!F67</f>
        <v>852.3859411288164</v>
      </c>
    </row>
    <row r="39" spans="1:10">
      <c r="A39" s="195" t="s">
        <v>165</v>
      </c>
      <c r="B39" s="180"/>
      <c r="C39" s="168">
        <f>Gastos!B68</f>
        <v>745.95</v>
      </c>
      <c r="D39" s="168">
        <f>Gastos!C68</f>
        <v>671.35500000000002</v>
      </c>
      <c r="E39" s="168">
        <f>Gastos!D68</f>
        <v>604.21950000000004</v>
      </c>
      <c r="F39" s="168">
        <f>Gastos!E68</f>
        <v>543.79755</v>
      </c>
      <c r="G39" s="168">
        <f>Gastos!F68</f>
        <v>489.41779500000001</v>
      </c>
    </row>
    <row r="40" spans="1:10">
      <c r="A40" s="195" t="s">
        <v>166</v>
      </c>
      <c r="B40" s="180"/>
      <c r="C40" s="168">
        <f>Gastos!B69</f>
        <v>1200</v>
      </c>
      <c r="D40" s="168">
        <f>Gastos!C69</f>
        <v>1251.7199999999998</v>
      </c>
      <c r="E40" s="168">
        <f>Gastos!D69</f>
        <v>1305.6691319999998</v>
      </c>
      <c r="F40" s="168">
        <f>Gastos!E69</f>
        <v>1361.9434715891996</v>
      </c>
      <c r="G40" s="168">
        <f>Gastos!F69</f>
        <v>1420.643235214694</v>
      </c>
    </row>
    <row r="41" spans="1:10">
      <c r="A41" s="195" t="s">
        <v>168</v>
      </c>
      <c r="B41" s="180"/>
      <c r="C41" s="168">
        <f>Gastos!B70</f>
        <v>33000</v>
      </c>
      <c r="D41" s="168">
        <f>Gastos!C70</f>
        <v>20000</v>
      </c>
      <c r="E41" s="168">
        <f>Gastos!D70</f>
        <v>20000</v>
      </c>
      <c r="F41" s="168">
        <f>Gastos!E70</f>
        <v>15000</v>
      </c>
      <c r="G41" s="168">
        <f>Gastos!F70</f>
        <v>15000</v>
      </c>
    </row>
    <row r="42" spans="1:10" ht="12.75" thickBot="1">
      <c r="A42" s="195" t="s">
        <v>158</v>
      </c>
      <c r="B42" s="180"/>
      <c r="C42" s="184">
        <f>Gastos!B71</f>
        <v>4000.44</v>
      </c>
      <c r="D42" s="184">
        <f>Gastos!C71</f>
        <v>4000.44</v>
      </c>
      <c r="E42" s="184">
        <f>Gastos!D71</f>
        <v>4000.44</v>
      </c>
      <c r="F42" s="184">
        <f>Gastos!E71</f>
        <v>4000.44</v>
      </c>
      <c r="G42" s="184"/>
    </row>
    <row r="43" spans="1:10">
      <c r="A43" s="182" t="s">
        <v>163</v>
      </c>
      <c r="B43" s="180"/>
      <c r="C43" s="183">
        <f>SUM(C33:C42)</f>
        <v>72186.39</v>
      </c>
      <c r="D43" s="183">
        <f t="shared" ref="D43:G43" si="3">SUM(D33:D42)</f>
        <v>59561.759000000005</v>
      </c>
      <c r="E43" s="183">
        <f t="shared" si="3"/>
        <v>60998.380948400008</v>
      </c>
      <c r="F43" s="183">
        <f t="shared" si="3"/>
        <v>56427.545752826038</v>
      </c>
      <c r="G43" s="183">
        <f t="shared" si="3"/>
        <v>53962.39658136783</v>
      </c>
    </row>
    <row r="44" spans="1:10">
      <c r="A44" s="146"/>
      <c r="B44" s="180"/>
      <c r="C44" s="167"/>
      <c r="D44" s="167"/>
      <c r="E44" s="167"/>
      <c r="F44" s="167"/>
      <c r="G44" s="167"/>
    </row>
    <row r="45" spans="1:10">
      <c r="A45" s="146" t="s">
        <v>219</v>
      </c>
      <c r="B45" s="180"/>
      <c r="C45" s="169">
        <f>Inversion!C26</f>
        <v>2181.288797232558</v>
      </c>
      <c r="D45" s="169">
        <f>Inversion!C27</f>
        <v>1829.6424065694009</v>
      </c>
      <c r="E45" s="169">
        <f>Inversion!C28</f>
        <v>1440.0182057146226</v>
      </c>
      <c r="F45" s="169">
        <f>Inversion!C29</f>
        <v>1008.3145911675283</v>
      </c>
      <c r="G45" s="169">
        <f>Inversion!C30</f>
        <v>529.98698624934786</v>
      </c>
      <c r="J45" s="149"/>
    </row>
    <row r="46" spans="1:10">
      <c r="A46" s="146" t="s">
        <v>220</v>
      </c>
      <c r="B46" s="180"/>
      <c r="C46" s="169">
        <f>Gastos!E43</f>
        <v>1833.3333333333333</v>
      </c>
      <c r="D46" s="169">
        <f>C46</f>
        <v>1833.3333333333333</v>
      </c>
      <c r="E46" s="169">
        <f>D46</f>
        <v>1833.3333333333333</v>
      </c>
      <c r="F46" s="169">
        <f>Gastos!G43</f>
        <v>1650</v>
      </c>
      <c r="G46" s="169">
        <f>F46</f>
        <v>1650</v>
      </c>
    </row>
    <row r="47" spans="1:10">
      <c r="A47" s="146" t="s">
        <v>221</v>
      </c>
      <c r="B47" s="180"/>
      <c r="C47" s="169">
        <f>Gastos!$E$44</f>
        <v>400</v>
      </c>
      <c r="D47" s="169">
        <f>C47</f>
        <v>400</v>
      </c>
      <c r="E47" s="169">
        <f t="shared" ref="E47:G47" si="4">D47</f>
        <v>400</v>
      </c>
      <c r="F47" s="169">
        <f t="shared" si="4"/>
        <v>400</v>
      </c>
      <c r="G47" s="169">
        <f t="shared" si="4"/>
        <v>400</v>
      </c>
    </row>
    <row r="48" spans="1:10">
      <c r="A48" s="146" t="s">
        <v>222</v>
      </c>
      <c r="B48" s="181"/>
      <c r="C48" s="169">
        <f>SUM(Gastos!E34:E39)</f>
        <v>2326</v>
      </c>
      <c r="D48" s="169">
        <f>C48</f>
        <v>2326</v>
      </c>
      <c r="E48" s="169">
        <f t="shared" ref="E48:G48" si="5">D48</f>
        <v>2326</v>
      </c>
      <c r="F48" s="169">
        <f t="shared" si="5"/>
        <v>2326</v>
      </c>
      <c r="G48" s="169">
        <f t="shared" si="5"/>
        <v>2326</v>
      </c>
    </row>
    <row r="49" spans="1:7" s="147" customFormat="1">
      <c r="A49" s="146" t="s">
        <v>223</v>
      </c>
      <c r="B49" s="180"/>
      <c r="C49" s="169">
        <f>Gastos!$E$41</f>
        <v>2799.8</v>
      </c>
      <c r="D49" s="169">
        <f>C49</f>
        <v>2799.8</v>
      </c>
      <c r="E49" s="169">
        <f t="shared" ref="E49:G49" si="6">D49</f>
        <v>2799.8</v>
      </c>
      <c r="F49" s="169">
        <f t="shared" si="6"/>
        <v>2799.8</v>
      </c>
      <c r="G49" s="169">
        <f t="shared" si="6"/>
        <v>2799.8</v>
      </c>
    </row>
    <row r="50" spans="1:7">
      <c r="A50" s="146"/>
      <c r="B50" s="180"/>
      <c r="C50" s="167"/>
      <c r="D50" s="167"/>
      <c r="E50" s="167"/>
      <c r="F50" s="167"/>
      <c r="G50" s="167"/>
    </row>
    <row r="51" spans="1:7">
      <c r="A51" s="188" t="s">
        <v>203</v>
      </c>
      <c r="B51" s="180"/>
      <c r="C51" s="187">
        <f>C9-C23-C30-C43-SUM(C45:C49)</f>
        <v>-17337.076188774885</v>
      </c>
      <c r="D51" s="187">
        <f>D9-D23-D30-D43-SUM(D45:D49)</f>
        <v>-350.54200102215873</v>
      </c>
      <c r="E51" s="187">
        <f>E9-E23-E30-E43-SUM(E45:E49)</f>
        <v>2844.9312753766335</v>
      </c>
      <c r="F51" s="187">
        <f>F9-F23-F30-F43-SUM(F45:F49)</f>
        <v>12518.370478751987</v>
      </c>
      <c r="G51" s="187">
        <f>G9-G23-G30-G43-SUM(G45:G49)</f>
        <v>20208.087225639043</v>
      </c>
    </row>
    <row r="52" spans="1:7">
      <c r="A52" s="151" t="s">
        <v>204</v>
      </c>
      <c r="B52" s="180"/>
      <c r="C52" s="170">
        <f>C51*15%</f>
        <v>-2600.5614283162327</v>
      </c>
      <c r="D52" s="170">
        <f t="shared" ref="D52:G52" si="7">D51*15%</f>
        <v>-52.581300153323809</v>
      </c>
      <c r="E52" s="170">
        <f t="shared" si="7"/>
        <v>426.73969130649499</v>
      </c>
      <c r="F52" s="170">
        <f t="shared" si="7"/>
        <v>1877.7555718127981</v>
      </c>
      <c r="G52" s="170">
        <f t="shared" si="7"/>
        <v>3031.2130838458565</v>
      </c>
    </row>
    <row r="53" spans="1:7">
      <c r="A53" s="152" t="s">
        <v>205</v>
      </c>
      <c r="B53" s="180"/>
      <c r="C53" s="185">
        <f>C51-C52</f>
        <v>-14736.514760458653</v>
      </c>
      <c r="D53" s="185">
        <f t="shared" ref="D53:G53" si="8">D51-D52</f>
        <v>-297.96070086883492</v>
      </c>
      <c r="E53" s="185">
        <f t="shared" si="8"/>
        <v>2418.1915840701386</v>
      </c>
      <c r="F53" s="185">
        <f t="shared" si="8"/>
        <v>10640.614906939189</v>
      </c>
      <c r="G53" s="185">
        <f t="shared" si="8"/>
        <v>17176.874141793185</v>
      </c>
    </row>
    <row r="54" spans="1:7">
      <c r="A54" s="145" t="s">
        <v>206</v>
      </c>
      <c r="B54" s="180"/>
      <c r="C54" s="170">
        <f>C53*0.25</f>
        <v>-3684.1286901146632</v>
      </c>
      <c r="D54" s="170">
        <f t="shared" ref="D54:G54" si="9">D53*0.25</f>
        <v>-74.49017521720873</v>
      </c>
      <c r="E54" s="170">
        <f t="shared" si="9"/>
        <v>604.54789601753464</v>
      </c>
      <c r="F54" s="170">
        <f t="shared" si="9"/>
        <v>2660.1537267347971</v>
      </c>
      <c r="G54" s="170">
        <f t="shared" si="9"/>
        <v>4294.2185354482963</v>
      </c>
    </row>
    <row r="55" spans="1:7">
      <c r="A55" s="153" t="s">
        <v>207</v>
      </c>
      <c r="B55" s="180"/>
      <c r="C55" s="186">
        <f>C53-C54</f>
        <v>-11052.38607034399</v>
      </c>
      <c r="D55" s="186">
        <f t="shared" ref="D55:G55" si="10">D53-D54</f>
        <v>-223.47052565162619</v>
      </c>
      <c r="E55" s="186">
        <f t="shared" si="10"/>
        <v>1813.6436880526039</v>
      </c>
      <c r="F55" s="186">
        <f t="shared" si="10"/>
        <v>7980.461180204391</v>
      </c>
      <c r="G55" s="186">
        <f t="shared" si="10"/>
        <v>12882.655606344888</v>
      </c>
    </row>
    <row r="56" spans="1:7">
      <c r="A56" s="146" t="s">
        <v>220</v>
      </c>
      <c r="B56" s="180"/>
      <c r="C56" s="171">
        <f>C45</f>
        <v>2181.288797232558</v>
      </c>
      <c r="D56" s="171">
        <f t="shared" ref="D56:G56" si="11">D45</f>
        <v>1829.6424065694009</v>
      </c>
      <c r="E56" s="171">
        <f t="shared" si="11"/>
        <v>1440.0182057146226</v>
      </c>
      <c r="F56" s="171">
        <f t="shared" si="11"/>
        <v>1008.3145911675283</v>
      </c>
      <c r="G56" s="171">
        <f t="shared" si="11"/>
        <v>529.98698624934786</v>
      </c>
    </row>
    <row r="57" spans="1:7">
      <c r="A57" s="146" t="s">
        <v>221</v>
      </c>
      <c r="B57" s="180"/>
      <c r="C57" s="171">
        <f t="shared" ref="C57:G59" si="12">C46</f>
        <v>1833.3333333333333</v>
      </c>
      <c r="D57" s="171">
        <f t="shared" si="12"/>
        <v>1833.3333333333333</v>
      </c>
      <c r="E57" s="171">
        <f t="shared" si="12"/>
        <v>1833.3333333333333</v>
      </c>
      <c r="F57" s="171">
        <f t="shared" si="12"/>
        <v>1650</v>
      </c>
      <c r="G57" s="171">
        <f t="shared" si="12"/>
        <v>1650</v>
      </c>
    </row>
    <row r="58" spans="1:7">
      <c r="A58" s="146" t="s">
        <v>222</v>
      </c>
      <c r="B58" s="180"/>
      <c r="C58" s="171">
        <f t="shared" si="12"/>
        <v>400</v>
      </c>
      <c r="D58" s="171">
        <f t="shared" si="12"/>
        <v>400</v>
      </c>
      <c r="E58" s="171">
        <f t="shared" si="12"/>
        <v>400</v>
      </c>
      <c r="F58" s="171">
        <f t="shared" si="12"/>
        <v>400</v>
      </c>
      <c r="G58" s="171">
        <f t="shared" si="12"/>
        <v>400</v>
      </c>
    </row>
    <row r="59" spans="1:7">
      <c r="A59" s="146" t="s">
        <v>223</v>
      </c>
      <c r="B59" s="180"/>
      <c r="C59" s="171">
        <f t="shared" si="12"/>
        <v>2326</v>
      </c>
      <c r="D59" s="171">
        <f t="shared" si="12"/>
        <v>2326</v>
      </c>
      <c r="E59" s="171">
        <f t="shared" si="12"/>
        <v>2326</v>
      </c>
      <c r="F59" s="171">
        <f t="shared" si="12"/>
        <v>2326</v>
      </c>
      <c r="G59" s="171">
        <f t="shared" si="12"/>
        <v>2326</v>
      </c>
    </row>
    <row r="60" spans="1:7">
      <c r="A60" s="146" t="s">
        <v>224</v>
      </c>
      <c r="B60" s="180"/>
      <c r="C60" s="167"/>
      <c r="D60" s="167"/>
      <c r="E60" s="167"/>
      <c r="F60" s="167"/>
      <c r="G60" s="167">
        <f>Gastos!G43</f>
        <v>1650</v>
      </c>
    </row>
    <row r="61" spans="1:7">
      <c r="A61" s="146" t="s">
        <v>225</v>
      </c>
      <c r="B61" s="180"/>
      <c r="C61" s="167"/>
      <c r="D61" s="167"/>
      <c r="E61" s="167"/>
      <c r="F61" s="167"/>
      <c r="G61" s="167">
        <f>Gastos!G44</f>
        <v>2000</v>
      </c>
    </row>
    <row r="62" spans="1:7">
      <c r="A62" s="146" t="s">
        <v>226</v>
      </c>
      <c r="B62" s="180"/>
      <c r="C62" s="167"/>
      <c r="D62" s="167"/>
      <c r="E62" s="167"/>
      <c r="F62" s="167"/>
      <c r="G62" s="167">
        <f>SUM(Gastos!G34:G39)</f>
        <v>11630</v>
      </c>
    </row>
    <row r="63" spans="1:7">
      <c r="A63" s="145" t="s">
        <v>209</v>
      </c>
      <c r="B63" s="180"/>
      <c r="C63" s="265">
        <f>Inversion!E26</f>
        <v>16941.133394161119</v>
      </c>
      <c r="D63" s="265">
        <f>Inversion!E27</f>
        <v>13333.501904765024</v>
      </c>
      <c r="E63" s="265">
        <f>Inversion!E28</f>
        <v>9336.2462145141508</v>
      </c>
      <c r="F63" s="265">
        <f>Inversion!E29</f>
        <v>4907.2869097161838</v>
      </c>
      <c r="G63" s="172">
        <f>Inversion!E30</f>
        <v>3.637978807091713E-11</v>
      </c>
    </row>
    <row r="64" spans="1:7">
      <c r="A64" s="146" t="s">
        <v>208</v>
      </c>
      <c r="B64" s="189">
        <f>Inversion!C13</f>
        <v>20197.118492894057</v>
      </c>
      <c r="C64" s="167"/>
      <c r="D64" s="167"/>
      <c r="E64" s="167"/>
      <c r="F64" s="167"/>
      <c r="G64" s="167"/>
    </row>
    <row r="65" spans="1:8">
      <c r="A65" s="146" t="s">
        <v>38</v>
      </c>
      <c r="B65" s="189">
        <f>-Inversion!B6</f>
        <v>-46759</v>
      </c>
      <c r="C65" s="167"/>
      <c r="D65" s="167"/>
      <c r="E65" s="167"/>
      <c r="F65" s="167"/>
      <c r="G65" s="167"/>
    </row>
    <row r="66" spans="1:8">
      <c r="A66" s="146" t="s">
        <v>57</v>
      </c>
      <c r="B66" s="189">
        <f>-Inversion!B7</f>
        <v>-6760</v>
      </c>
      <c r="C66" s="167"/>
      <c r="D66" s="167"/>
      <c r="E66" s="167"/>
      <c r="F66" s="167"/>
      <c r="G66" s="167"/>
    </row>
    <row r="67" spans="1:8">
      <c r="A67" s="146" t="s">
        <v>246</v>
      </c>
      <c r="B67" s="189">
        <f>-'Capital de trabajo'!C52</f>
        <v>-13804.72830964686</v>
      </c>
      <c r="C67" s="167"/>
      <c r="D67" s="167"/>
      <c r="E67" s="167"/>
      <c r="F67" s="167"/>
      <c r="G67" s="167"/>
    </row>
    <row r="68" spans="1:8">
      <c r="A68" s="146" t="s">
        <v>247</v>
      </c>
      <c r="B68" s="189"/>
      <c r="C68" s="167"/>
      <c r="D68" s="167"/>
      <c r="E68" s="167"/>
      <c r="F68" s="167"/>
      <c r="G68" s="267">
        <f>'Capital de trabajo'!C52</f>
        <v>13804.72830964686</v>
      </c>
    </row>
    <row r="69" spans="1:8" ht="12.75" thickBot="1">
      <c r="A69" s="154" t="s">
        <v>210</v>
      </c>
      <c r="B69" s="260">
        <f>SUM(B64:B68)</f>
        <v>-47126.609816752803</v>
      </c>
      <c r="C69" s="165">
        <f>C55+SUM(C56:C63)</f>
        <v>12629.369454383021</v>
      </c>
      <c r="D69" s="165">
        <f>D55+SUM(D56:D63)</f>
        <v>19499.007119016132</v>
      </c>
      <c r="E69" s="165">
        <f>E55+SUM(E56:E63)</f>
        <v>17149.241441614711</v>
      </c>
      <c r="F69" s="165">
        <f>F55+SUM(F56:F63)</f>
        <v>18272.062681088104</v>
      </c>
      <c r="G69" s="166">
        <f>G55+SUM(G56:G68)</f>
        <v>46873.370902241128</v>
      </c>
      <c r="H69" s="268"/>
    </row>
    <row r="70" spans="1:8">
      <c r="A70" s="155" t="s">
        <v>211</v>
      </c>
      <c r="B70" s="266">
        <v>0.17080000000000001</v>
      </c>
    </row>
    <row r="71" spans="1:8">
      <c r="A71" s="155" t="s">
        <v>212</v>
      </c>
      <c r="B71" s="148">
        <f>IRR(B69:G69)</f>
        <v>0.30869267114516918</v>
      </c>
    </row>
    <row r="72" spans="1:8">
      <c r="A72" s="156" t="s">
        <v>213</v>
      </c>
      <c r="B72" s="269">
        <f>NPV(B70,C69:G69)+B69</f>
        <v>19601.51251348509</v>
      </c>
    </row>
  </sheetData>
  <pageMargins left="0.7" right="0.7" top="0.75" bottom="0.75" header="0.3" footer="0.3"/>
  <pageSetup paperSize="9" scale="8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2"/>
  <dimension ref="B1:F11"/>
  <sheetViews>
    <sheetView showGridLines="0" tabSelected="1" workbookViewId="0">
      <selection activeCell="B1" sqref="B1:F6"/>
    </sheetView>
  </sheetViews>
  <sheetFormatPr baseColWidth="10" defaultRowHeight="11.25"/>
  <cols>
    <col min="1" max="1" width="11.42578125" style="161"/>
    <col min="2" max="2" width="7.5703125" style="161" bestFit="1" customWidth="1"/>
    <col min="3" max="4" width="11.42578125" style="161"/>
    <col min="5" max="5" width="12.28515625" style="161" customWidth="1"/>
    <col min="6" max="6" width="13" style="161" customWidth="1"/>
    <col min="7" max="16384" width="11.42578125" style="161"/>
  </cols>
  <sheetData>
    <row r="1" spans="2:6" s="158" customFormat="1" ht="24.75" customHeight="1">
      <c r="B1" s="157" t="s">
        <v>214</v>
      </c>
      <c r="C1" s="157" t="s">
        <v>215</v>
      </c>
      <c r="D1" s="157" t="s">
        <v>210</v>
      </c>
      <c r="E1" s="157" t="s">
        <v>216</v>
      </c>
      <c r="F1" s="157" t="s">
        <v>217</v>
      </c>
    </row>
    <row r="2" spans="2:6" ht="12.75" customHeight="1">
      <c r="B2" s="159">
        <v>1</v>
      </c>
      <c r="C2" s="160">
        <f>Inversion!B9+'Capital de trabajo'!C52</f>
        <v>81128.45661929372</v>
      </c>
      <c r="D2" s="160">
        <f>'FLUJO CAJA'!C69</f>
        <v>12629.369454383021</v>
      </c>
      <c r="E2" s="160">
        <f>+C2*'FLUJO CAJA'!B70</f>
        <v>13856.740390575367</v>
      </c>
      <c r="F2" s="160">
        <f>+D2-E2</f>
        <v>-1227.3709361923466</v>
      </c>
    </row>
    <row r="3" spans="2:6" ht="12.75" customHeight="1">
      <c r="B3" s="159">
        <v>2</v>
      </c>
      <c r="C3" s="160">
        <f>+C2-F2</f>
        <v>82355.827555486059</v>
      </c>
      <c r="D3" s="160">
        <f>'FLUJO CAJA'!D69</f>
        <v>19499.007119016132</v>
      </c>
      <c r="E3" s="160">
        <f>+C3*'FLUJO CAJA'!B70</f>
        <v>14066.37534647702</v>
      </c>
      <c r="F3" s="160">
        <f>+D3-E3</f>
        <v>5432.6317725391127</v>
      </c>
    </row>
    <row r="4" spans="2:6" ht="12.75" customHeight="1">
      <c r="B4" s="159">
        <v>3</v>
      </c>
      <c r="C4" s="160">
        <f>+C3-F3</f>
        <v>76923.195782946947</v>
      </c>
      <c r="D4" s="160">
        <f>'FLUJO CAJA'!E69</f>
        <v>17149.241441614711</v>
      </c>
      <c r="E4" s="160">
        <f>+C4*'FLUJO CAJA'!B70</f>
        <v>13138.481839727339</v>
      </c>
      <c r="F4" s="160">
        <f>+D4-E4</f>
        <v>4010.7596018873719</v>
      </c>
    </row>
    <row r="5" spans="2:6" ht="12.75" customHeight="1">
      <c r="B5" s="159">
        <v>4</v>
      </c>
      <c r="C5" s="160">
        <f>+C4-F4</f>
        <v>72912.436181059573</v>
      </c>
      <c r="D5" s="160">
        <f>'FLUJO CAJA'!F69</f>
        <v>18272.062681088104</v>
      </c>
      <c r="E5" s="160">
        <f>+C5*'FLUJO CAJA'!B70</f>
        <v>12453.444099724975</v>
      </c>
      <c r="F5" s="160">
        <f t="shared" ref="F5:F6" si="0">+D5-E5</f>
        <v>5818.6185813631291</v>
      </c>
    </row>
    <row r="6" spans="2:6" ht="12.75" customHeight="1">
      <c r="B6" s="162">
        <v>5</v>
      </c>
      <c r="C6" s="163">
        <f t="shared" ref="C6" si="1">+C5-F5</f>
        <v>67093.817599696442</v>
      </c>
      <c r="D6" s="163">
        <f>'FLUJO CAJA'!G69</f>
        <v>46873.370902241128</v>
      </c>
      <c r="E6" s="163">
        <f>+C6*'FLUJO CAJA'!B70</f>
        <v>11459.624046028153</v>
      </c>
      <c r="F6" s="163">
        <f t="shared" si="0"/>
        <v>35413.746856212972</v>
      </c>
    </row>
    <row r="11" spans="2:6">
      <c r="B11" s="16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showGridLines="0" workbookViewId="0">
      <selection activeCell="D10" sqref="D10"/>
    </sheetView>
  </sheetViews>
  <sheetFormatPr baseColWidth="10" defaultRowHeight="15"/>
  <cols>
    <col min="1" max="1" width="13.85546875" customWidth="1"/>
    <col min="2" max="2" width="14.5703125" customWidth="1"/>
    <col min="3" max="3" width="16.7109375" customWidth="1"/>
    <col min="4" max="4" width="18.42578125" customWidth="1"/>
  </cols>
  <sheetData>
    <row r="1" spans="1:4">
      <c r="A1" s="273" t="s">
        <v>255</v>
      </c>
      <c r="B1" s="273"/>
      <c r="C1" s="12"/>
      <c r="D1" s="12"/>
    </row>
    <row r="2" spans="1:4">
      <c r="A2" s="213" t="s">
        <v>249</v>
      </c>
      <c r="B2" s="213" t="s">
        <v>250</v>
      </c>
      <c r="C2" s="213" t="s">
        <v>251</v>
      </c>
      <c r="D2" s="213" t="s">
        <v>252</v>
      </c>
    </row>
    <row r="3" spans="1:4">
      <c r="A3" s="272">
        <f>Gastos!C45</f>
        <v>46759</v>
      </c>
      <c r="B3" s="272">
        <f>'FLUJO CAJA'!C9</f>
        <v>144489.735941791</v>
      </c>
      <c r="C3" s="272">
        <f>Comercializacion!N6*CostoProduccion!H85</f>
        <v>230818.71793169723</v>
      </c>
      <c r="D3" s="272">
        <f>A3/1-(C3/B3)</f>
        <v>46757.402525159123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showGridLines="0" workbookViewId="0">
      <selection activeCell="C3" sqref="C3"/>
    </sheetView>
  </sheetViews>
  <sheetFormatPr baseColWidth="10" defaultRowHeight="15"/>
  <cols>
    <col min="1" max="1" width="12" customWidth="1"/>
    <col min="2" max="2" width="9.28515625" bestFit="1" customWidth="1"/>
    <col min="4" max="4" width="18.5703125" bestFit="1" customWidth="1"/>
  </cols>
  <sheetData>
    <row r="1" spans="1:4">
      <c r="A1" s="202" t="s">
        <v>227</v>
      </c>
      <c r="B1" s="333" t="s">
        <v>213</v>
      </c>
      <c r="C1" s="333" t="s">
        <v>212</v>
      </c>
      <c r="D1" s="333" t="s">
        <v>229</v>
      </c>
    </row>
    <row r="2" spans="1:4">
      <c r="A2" s="202" t="s">
        <v>228</v>
      </c>
      <c r="B2" s="333"/>
      <c r="C2" s="333"/>
      <c r="D2" s="333"/>
    </row>
    <row r="3" spans="1:4">
      <c r="A3" s="203">
        <v>0.1</v>
      </c>
      <c r="B3" s="204">
        <v>71969.92513614129</v>
      </c>
      <c r="C3" s="205">
        <v>0.49235445639089387</v>
      </c>
      <c r="D3" s="206" t="s">
        <v>230</v>
      </c>
    </row>
    <row r="4" spans="1:4">
      <c r="A4" s="207">
        <v>0.05</v>
      </c>
      <c r="B4" s="204">
        <v>62900.427166303358</v>
      </c>
      <c r="C4" s="205">
        <v>0.44801776490485112</v>
      </c>
      <c r="D4" s="206" t="s">
        <v>230</v>
      </c>
    </row>
    <row r="5" spans="1:4">
      <c r="A5" s="208">
        <v>0</v>
      </c>
      <c r="B5" s="204">
        <v>52762.768299989599</v>
      </c>
      <c r="C5" s="209">
        <v>0.39845514824373296</v>
      </c>
      <c r="D5" s="206" t="s">
        <v>230</v>
      </c>
    </row>
    <row r="6" spans="1:4">
      <c r="A6" s="207">
        <v>-0.05</v>
      </c>
      <c r="B6" s="204">
        <f>'FLUJO CAJA'!B72</f>
        <v>19601.51251348509</v>
      </c>
      <c r="C6" s="205">
        <f>'FLUJO CAJA'!B71</f>
        <v>0.30869267114516918</v>
      </c>
      <c r="D6" s="206" t="s">
        <v>230</v>
      </c>
    </row>
    <row r="7" spans="1:4">
      <c r="A7" s="207">
        <v>-0.25</v>
      </c>
      <c r="B7" s="204">
        <v>-14621.178440487311</v>
      </c>
      <c r="C7" s="209">
        <v>6.1240349814210726E-2</v>
      </c>
      <c r="D7" s="206" t="s">
        <v>231</v>
      </c>
    </row>
    <row r="10" spans="1:4">
      <c r="A10" s="334" t="s">
        <v>235</v>
      </c>
      <c r="B10" s="334"/>
      <c r="C10" s="334"/>
      <c r="D10" s="334"/>
    </row>
    <row r="11" spans="1:4">
      <c r="A11" s="202" t="s">
        <v>236</v>
      </c>
      <c r="B11" s="202" t="s">
        <v>213</v>
      </c>
      <c r="C11" s="202" t="s">
        <v>212</v>
      </c>
      <c r="D11" s="202" t="s">
        <v>229</v>
      </c>
    </row>
    <row r="12" spans="1:4">
      <c r="A12" s="207">
        <v>0.1</v>
      </c>
      <c r="B12" s="204">
        <v>-128090.55</v>
      </c>
      <c r="C12" s="205">
        <v>0</v>
      </c>
      <c r="D12" s="206" t="s">
        <v>231</v>
      </c>
    </row>
    <row r="13" spans="1:4">
      <c r="A13" s="207">
        <v>0.05</v>
      </c>
      <c r="B13" s="204">
        <v>-51217.63</v>
      </c>
      <c r="C13" s="205">
        <v>-5.5E-2</v>
      </c>
      <c r="D13" s="206" t="s">
        <v>231</v>
      </c>
    </row>
    <row r="14" spans="1:4">
      <c r="A14" s="207">
        <v>0</v>
      </c>
      <c r="B14" s="204">
        <v>22112.43</v>
      </c>
      <c r="C14" s="209">
        <v>0.19</v>
      </c>
      <c r="D14" s="206" t="s">
        <v>230</v>
      </c>
    </row>
    <row r="15" spans="1:4">
      <c r="A15" s="207">
        <v>-0.05</v>
      </c>
      <c r="B15" s="204">
        <v>92388.479999999996</v>
      </c>
      <c r="C15" s="211">
        <v>47.72</v>
      </c>
      <c r="D15" s="206" t="s">
        <v>230</v>
      </c>
    </row>
    <row r="17" spans="1:4" ht="15.75" thickBot="1"/>
    <row r="18" spans="1:4" ht="15.75" thickBot="1">
      <c r="A18" s="330" t="s">
        <v>237</v>
      </c>
      <c r="B18" s="331"/>
      <c r="C18" s="331"/>
      <c r="D18" s="332"/>
    </row>
    <row r="19" spans="1:4" ht="15.75" thickBot="1">
      <c r="A19" s="201" t="s">
        <v>238</v>
      </c>
      <c r="B19" s="210" t="s">
        <v>213</v>
      </c>
      <c r="C19" s="210" t="s">
        <v>212</v>
      </c>
      <c r="D19" s="210" t="s">
        <v>229</v>
      </c>
    </row>
    <row r="20" spans="1:4" ht="15.75" thickBot="1">
      <c r="A20" s="196">
        <v>0.1</v>
      </c>
      <c r="B20" s="197">
        <v>303166.02</v>
      </c>
      <c r="C20" s="198">
        <v>0</v>
      </c>
      <c r="D20" s="199" t="s">
        <v>231</v>
      </c>
    </row>
    <row r="21" spans="1:4" ht="15.75" thickBot="1">
      <c r="A21" s="196">
        <v>0.05</v>
      </c>
      <c r="B21" s="197">
        <v>145978.49</v>
      </c>
      <c r="C21" s="198">
        <v>0.70130000000000003</v>
      </c>
      <c r="D21" s="199" t="s">
        <v>230</v>
      </c>
    </row>
    <row r="22" spans="1:4" ht="15.75" thickBot="1">
      <c r="A22" s="196">
        <v>0</v>
      </c>
      <c r="B22" s="197">
        <v>22112.43</v>
      </c>
      <c r="C22" s="200">
        <v>0.19</v>
      </c>
      <c r="D22" s="199" t="s">
        <v>230</v>
      </c>
    </row>
    <row r="23" spans="1:4" ht="15.75" thickBot="1">
      <c r="A23" s="196">
        <v>-0.05</v>
      </c>
      <c r="B23" s="197">
        <v>65593.48</v>
      </c>
      <c r="C23" s="198">
        <v>0.36799999999999999</v>
      </c>
      <c r="D23" s="199" t="s">
        <v>230</v>
      </c>
    </row>
  </sheetData>
  <mergeCells count="5">
    <mergeCell ref="A18:D18"/>
    <mergeCell ref="B1:B2"/>
    <mergeCell ref="C1:C2"/>
    <mergeCell ref="D1:D2"/>
    <mergeCell ref="A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V30"/>
  <sheetViews>
    <sheetView showGridLines="0" workbookViewId="0">
      <selection activeCell="A7" sqref="A7:R14"/>
    </sheetView>
  </sheetViews>
  <sheetFormatPr baseColWidth="10" defaultRowHeight="15" outlineLevelCol="1"/>
  <cols>
    <col min="1" max="1" width="14.7109375" bestFit="1" customWidth="1"/>
    <col min="2" max="13" width="14.7109375" hidden="1" customWidth="1" outlineLevel="1"/>
    <col min="14" max="14" width="11.5703125" bestFit="1" customWidth="1" collapsed="1"/>
    <col min="15" max="18" width="11.5703125" bestFit="1" customWidth="1"/>
  </cols>
  <sheetData>
    <row r="1" spans="1:22">
      <c r="U1" t="s">
        <v>22</v>
      </c>
      <c r="V1" s="15">
        <v>0.05</v>
      </c>
    </row>
    <row r="2" spans="1:22">
      <c r="A2" s="303" t="s">
        <v>28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</row>
    <row r="3" spans="1:22">
      <c r="A3" s="18" t="s">
        <v>123</v>
      </c>
      <c r="B3" s="18" t="s">
        <v>124</v>
      </c>
      <c r="C3" s="18" t="s">
        <v>125</v>
      </c>
      <c r="D3" s="18" t="s">
        <v>126</v>
      </c>
      <c r="E3" s="18" t="s">
        <v>127</v>
      </c>
      <c r="F3" s="18" t="s">
        <v>128</v>
      </c>
      <c r="G3" s="18" t="s">
        <v>129</v>
      </c>
      <c r="H3" s="18" t="s">
        <v>130</v>
      </c>
      <c r="I3" s="18" t="s">
        <v>131</v>
      </c>
      <c r="J3" s="18" t="s">
        <v>132</v>
      </c>
      <c r="K3" s="18" t="s">
        <v>133</v>
      </c>
      <c r="L3" s="18" t="s">
        <v>134</v>
      </c>
      <c r="M3" s="18" t="s">
        <v>135</v>
      </c>
      <c r="N3" s="18" t="s">
        <v>15</v>
      </c>
      <c r="O3" s="18" t="s">
        <v>16</v>
      </c>
      <c r="P3" s="18" t="s">
        <v>17</v>
      </c>
      <c r="Q3" s="18" t="s">
        <v>18</v>
      </c>
      <c r="R3" s="18" t="s">
        <v>19</v>
      </c>
    </row>
    <row r="4" spans="1:22">
      <c r="A4" s="47" t="s">
        <v>98</v>
      </c>
      <c r="B4" s="105">
        <f>$B$19*'Calculo Demanda'!$B$16</f>
        <v>6898.3591522115557</v>
      </c>
      <c r="C4" s="105">
        <f>$B$19*'Calculo Demanda'!$B$16</f>
        <v>6898.3591522115557</v>
      </c>
      <c r="D4" s="105">
        <f>$B$19*'Calculo Demanda'!$B$16</f>
        <v>6898.3591522115557</v>
      </c>
      <c r="E4" s="105">
        <f>$B$22*'Calculo Demanda'!$B$16</f>
        <v>7959.645175628717</v>
      </c>
      <c r="F4" s="105">
        <f>$B$22*'Calculo Demanda'!$B$16</f>
        <v>7959.645175628717</v>
      </c>
      <c r="G4" s="105">
        <f>$B$22*'Calculo Demanda'!$B$16</f>
        <v>7959.645175628717</v>
      </c>
      <c r="H4" s="105">
        <f>'Calculo Demanda'!$B$16*Comercializacion!$B$25</f>
        <v>9020.9311990458791</v>
      </c>
      <c r="I4" s="105">
        <f>'Calculo Demanda'!$B$16*Comercializacion!$B$25</f>
        <v>9020.9311990458791</v>
      </c>
      <c r="J4" s="105">
        <f>'Calculo Demanda'!$B$16*Comercializacion!$B$25</f>
        <v>9020.9311990458791</v>
      </c>
      <c r="K4" s="105">
        <f>B28*'Calculo Demanda'!$B$16</f>
        <v>9551.5742107544611</v>
      </c>
      <c r="L4" s="105">
        <f>B29*'Calculo Demanda'!B16</f>
        <v>10082.217222463041</v>
      </c>
      <c r="M4" s="105">
        <f>'Calculo Demanda'!B16*Comercializacion!B30</f>
        <v>10612.860234171623</v>
      </c>
      <c r="N4" s="5">
        <f>SUM(B4:M4)</f>
        <v>101883.45824804759</v>
      </c>
      <c r="O4" s="5">
        <f>+N4*(1+$V$1)</f>
        <v>106977.63116044998</v>
      </c>
      <c r="P4" s="5">
        <f t="shared" ref="P4:R4" si="0">+O4*(1+$V$1)</f>
        <v>112326.51271847248</v>
      </c>
      <c r="Q4" s="5">
        <f t="shared" si="0"/>
        <v>117942.83835439611</v>
      </c>
      <c r="R4" s="5">
        <f t="shared" si="0"/>
        <v>123839.98027211592</v>
      </c>
    </row>
    <row r="5" spans="1:22">
      <c r="A5" s="47" t="s">
        <v>105</v>
      </c>
      <c r="B5" s="105">
        <f>$B$19*'Calculo Demanda'!$B17</f>
        <v>8424.1443067775599</v>
      </c>
      <c r="C5" s="105">
        <f>$B$19*'Calculo Demanda'!$B17</f>
        <v>8424.1443067775599</v>
      </c>
      <c r="D5" s="105">
        <f>$B$19*'Calculo Demanda'!$B17</f>
        <v>8424.1443067775599</v>
      </c>
      <c r="E5" s="105">
        <f>$B$22*'Calculo Demanda'!$B17</f>
        <v>9720.1665078202604</v>
      </c>
      <c r="F5" s="105">
        <f>$B$22*'Calculo Demanda'!$B17</f>
        <v>9720.1665078202604</v>
      </c>
      <c r="G5" s="105">
        <f>$B$22*'Calculo Demanda'!$B17</f>
        <v>9720.1665078202604</v>
      </c>
      <c r="H5" s="105">
        <f>$B$25*'Calculo Demanda'!$B17</f>
        <v>11016.188708862963</v>
      </c>
      <c r="I5" s="105">
        <f>$B$25*'Calculo Demanda'!$B17</f>
        <v>11016.188708862963</v>
      </c>
      <c r="J5" s="105">
        <f>$B$25*'Calculo Demanda'!$B17</f>
        <v>11016.188708862963</v>
      </c>
      <c r="K5" s="105">
        <f>$B$28*'Calculo Demanda'!$B17</f>
        <v>11664.199809384314</v>
      </c>
      <c r="L5" s="105">
        <f>B29*'Calculo Demanda'!$B17</f>
        <v>12312.210909905663</v>
      </c>
      <c r="M5" s="105">
        <f>B30*'Calculo Demanda'!$B17</f>
        <v>12960.222010427015</v>
      </c>
      <c r="N5" s="5">
        <f>SUM(B5:M5)</f>
        <v>124418.13130009934</v>
      </c>
      <c r="O5" s="5">
        <f t="shared" ref="O5:R5" si="1">+N5*(1+$V$1)</f>
        <v>130639.03786510431</v>
      </c>
      <c r="P5" s="5">
        <f t="shared" si="1"/>
        <v>137170.98975835953</v>
      </c>
      <c r="Q5" s="5">
        <f t="shared" si="1"/>
        <v>144029.53924627751</v>
      </c>
      <c r="R5" s="5">
        <f t="shared" si="1"/>
        <v>151231.01620859138</v>
      </c>
    </row>
    <row r="6" spans="1:22">
      <c r="A6" s="213" t="s">
        <v>6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4">
        <f>SUM(N4:N5)</f>
        <v>226301.58954814693</v>
      </c>
      <c r="O6" s="214">
        <f t="shared" ref="O6:Q6" si="2">SUM(O4:O5)</f>
        <v>237616.66902555429</v>
      </c>
      <c r="P6" s="214">
        <f t="shared" si="2"/>
        <v>249497.50247683201</v>
      </c>
      <c r="Q6" s="214">
        <f t="shared" si="2"/>
        <v>261972.37760067362</v>
      </c>
      <c r="R6" s="214">
        <f>SUM(R4:R5)</f>
        <v>275070.99648070731</v>
      </c>
    </row>
    <row r="7" spans="1:22">
      <c r="A7" s="303" t="s">
        <v>121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</row>
    <row r="8" spans="1:22">
      <c r="A8" s="18" t="s">
        <v>122</v>
      </c>
      <c r="B8" s="18" t="s">
        <v>124</v>
      </c>
      <c r="C8" s="18" t="s">
        <v>125</v>
      </c>
      <c r="D8" s="18" t="s">
        <v>126</v>
      </c>
      <c r="E8" s="18" t="s">
        <v>127</v>
      </c>
      <c r="F8" s="18" t="s">
        <v>128</v>
      </c>
      <c r="G8" s="18" t="s">
        <v>129</v>
      </c>
      <c r="H8" s="18" t="s">
        <v>130</v>
      </c>
      <c r="I8" s="18" t="s">
        <v>131</v>
      </c>
      <c r="J8" s="18" t="s">
        <v>132</v>
      </c>
      <c r="K8" s="18" t="s">
        <v>133</v>
      </c>
      <c r="L8" s="18" t="s">
        <v>134</v>
      </c>
      <c r="M8" s="18" t="s">
        <v>135</v>
      </c>
      <c r="N8" s="18" t="s">
        <v>15</v>
      </c>
      <c r="O8" s="18" t="s">
        <v>16</v>
      </c>
      <c r="P8" s="18" t="s">
        <v>17</v>
      </c>
      <c r="Q8" s="18" t="s">
        <v>18</v>
      </c>
      <c r="R8" s="18" t="s">
        <v>19</v>
      </c>
    </row>
    <row r="9" spans="1:22">
      <c r="A9" s="87" t="s">
        <v>115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8">
        <v>0.7</v>
      </c>
    </row>
    <row r="10" spans="1:22">
      <c r="A10" s="86" t="s">
        <v>98</v>
      </c>
      <c r="B10" s="106">
        <f>B4*$N$9</f>
        <v>4828.8514065480886</v>
      </c>
      <c r="C10" s="106">
        <f t="shared" ref="C10:M10" si="3">C4*$N$9</f>
        <v>4828.8514065480886</v>
      </c>
      <c r="D10" s="106">
        <f t="shared" si="3"/>
        <v>4828.8514065480886</v>
      </c>
      <c r="E10" s="106">
        <f t="shared" si="3"/>
        <v>5571.7516229401017</v>
      </c>
      <c r="F10" s="106">
        <f t="shared" si="3"/>
        <v>5571.7516229401017</v>
      </c>
      <c r="G10" s="106">
        <f t="shared" si="3"/>
        <v>5571.7516229401017</v>
      </c>
      <c r="H10" s="106">
        <f t="shared" si="3"/>
        <v>6314.6518393321148</v>
      </c>
      <c r="I10" s="106">
        <f t="shared" si="3"/>
        <v>6314.6518393321148</v>
      </c>
      <c r="J10" s="106">
        <f t="shared" si="3"/>
        <v>6314.6518393321148</v>
      </c>
      <c r="K10" s="106">
        <f t="shared" si="3"/>
        <v>6686.1019475281228</v>
      </c>
      <c r="L10" s="106">
        <f t="shared" si="3"/>
        <v>7057.5520557241289</v>
      </c>
      <c r="M10" s="106">
        <f t="shared" si="3"/>
        <v>7429.0021639201359</v>
      </c>
      <c r="N10" s="5">
        <f>SUM(B10:M10)</f>
        <v>71318.42077363329</v>
      </c>
      <c r="O10" s="5">
        <f t="shared" ref="O10:R10" si="4">$N$9*O4</f>
        <v>74884.341812314975</v>
      </c>
      <c r="P10" s="5">
        <f t="shared" si="4"/>
        <v>78628.55890293073</v>
      </c>
      <c r="Q10" s="5">
        <f t="shared" si="4"/>
        <v>82559.986848077271</v>
      </c>
      <c r="R10" s="5">
        <f t="shared" si="4"/>
        <v>86687.986190481141</v>
      </c>
    </row>
    <row r="11" spans="1:22">
      <c r="A11" s="86" t="s">
        <v>105</v>
      </c>
      <c r="B11" s="106">
        <f>B5*$N$9</f>
        <v>5896.9010147442914</v>
      </c>
      <c r="C11" s="106">
        <f t="shared" ref="C11:M11" si="5">C5*$N$9</f>
        <v>5896.9010147442914</v>
      </c>
      <c r="D11" s="106">
        <f t="shared" si="5"/>
        <v>5896.9010147442914</v>
      </c>
      <c r="E11" s="106">
        <f t="shared" si="5"/>
        <v>6804.116555474182</v>
      </c>
      <c r="F11" s="106">
        <f t="shared" si="5"/>
        <v>6804.116555474182</v>
      </c>
      <c r="G11" s="106">
        <f t="shared" si="5"/>
        <v>6804.116555474182</v>
      </c>
      <c r="H11" s="106">
        <f t="shared" si="5"/>
        <v>7711.3320962040734</v>
      </c>
      <c r="I11" s="106">
        <f t="shared" si="5"/>
        <v>7711.3320962040734</v>
      </c>
      <c r="J11" s="106">
        <f t="shared" si="5"/>
        <v>7711.3320962040734</v>
      </c>
      <c r="K11" s="106">
        <f t="shared" si="5"/>
        <v>8164.9398665690196</v>
      </c>
      <c r="L11" s="106">
        <f t="shared" si="5"/>
        <v>8618.5476369339631</v>
      </c>
      <c r="M11" s="106">
        <f t="shared" si="5"/>
        <v>9072.1554072989093</v>
      </c>
      <c r="N11" s="5">
        <f>SUM(B11:M11)</f>
        <v>87092.691910069538</v>
      </c>
      <c r="O11" s="5">
        <f t="shared" ref="O11:R11" si="6">$N$9*O5</f>
        <v>91447.326505573015</v>
      </c>
      <c r="P11" s="5">
        <f t="shared" si="6"/>
        <v>96019.692830851665</v>
      </c>
      <c r="Q11" s="5">
        <f t="shared" si="6"/>
        <v>100820.67747239425</v>
      </c>
      <c r="R11" s="5">
        <f t="shared" si="6"/>
        <v>105861.71134601395</v>
      </c>
    </row>
    <row r="12" spans="1:22">
      <c r="A12" s="87" t="s">
        <v>116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8">
        <v>0.3</v>
      </c>
    </row>
    <row r="13" spans="1:22">
      <c r="A13" s="86" t="s">
        <v>98</v>
      </c>
      <c r="B13" s="106">
        <f>B4*$N$12</f>
        <v>2069.5077456634667</v>
      </c>
      <c r="C13" s="106">
        <f t="shared" ref="C13:M13" si="7">C4*$N$12</f>
        <v>2069.5077456634667</v>
      </c>
      <c r="D13" s="106">
        <f t="shared" si="7"/>
        <v>2069.5077456634667</v>
      </c>
      <c r="E13" s="106">
        <f t="shared" si="7"/>
        <v>2387.8935526886148</v>
      </c>
      <c r="F13" s="106">
        <f t="shared" si="7"/>
        <v>2387.8935526886148</v>
      </c>
      <c r="G13" s="106">
        <f t="shared" si="7"/>
        <v>2387.8935526886148</v>
      </c>
      <c r="H13" s="106">
        <f t="shared" si="7"/>
        <v>2706.2793597137638</v>
      </c>
      <c r="I13" s="106">
        <f t="shared" si="7"/>
        <v>2706.2793597137638</v>
      </c>
      <c r="J13" s="106">
        <f t="shared" si="7"/>
        <v>2706.2793597137638</v>
      </c>
      <c r="K13" s="106">
        <f t="shared" si="7"/>
        <v>2865.4722632263383</v>
      </c>
      <c r="L13" s="106">
        <f t="shared" si="7"/>
        <v>3024.6651667389124</v>
      </c>
      <c r="M13" s="106">
        <f t="shared" si="7"/>
        <v>3183.8580702514869</v>
      </c>
      <c r="N13" s="5">
        <f>SUM(B13:M13)</f>
        <v>30565.037474414272</v>
      </c>
      <c r="O13" s="5">
        <f t="shared" ref="O13:R13" si="8">$N$12*O4</f>
        <v>32093.289348134993</v>
      </c>
      <c r="P13" s="5">
        <f t="shared" si="8"/>
        <v>33697.953815541747</v>
      </c>
      <c r="Q13" s="5">
        <f t="shared" si="8"/>
        <v>35382.851506318832</v>
      </c>
      <c r="R13" s="5">
        <f t="shared" si="8"/>
        <v>37151.994081634773</v>
      </c>
    </row>
    <row r="14" spans="1:22">
      <c r="A14" s="86" t="s">
        <v>105</v>
      </c>
      <c r="B14" s="106">
        <f t="shared" ref="B14:M14" si="9">B5*$N$12</f>
        <v>2527.2432920332681</v>
      </c>
      <c r="C14" s="106">
        <f t="shared" si="9"/>
        <v>2527.2432920332681</v>
      </c>
      <c r="D14" s="106">
        <f t="shared" si="9"/>
        <v>2527.2432920332681</v>
      </c>
      <c r="E14" s="106">
        <f t="shared" si="9"/>
        <v>2916.049952346078</v>
      </c>
      <c r="F14" s="106">
        <f t="shared" si="9"/>
        <v>2916.049952346078</v>
      </c>
      <c r="G14" s="106">
        <f t="shared" si="9"/>
        <v>2916.049952346078</v>
      </c>
      <c r="H14" s="106">
        <f t="shared" si="9"/>
        <v>3304.8566126588889</v>
      </c>
      <c r="I14" s="106">
        <f t="shared" si="9"/>
        <v>3304.8566126588889</v>
      </c>
      <c r="J14" s="106">
        <f t="shared" si="9"/>
        <v>3304.8566126588889</v>
      </c>
      <c r="K14" s="106">
        <f t="shared" si="9"/>
        <v>3499.2599428152939</v>
      </c>
      <c r="L14" s="106">
        <f t="shared" si="9"/>
        <v>3693.6632729716989</v>
      </c>
      <c r="M14" s="106">
        <f t="shared" si="9"/>
        <v>3888.0666031281044</v>
      </c>
      <c r="N14" s="5">
        <f>SUM(B14:M14)</f>
        <v>37325.439390029809</v>
      </c>
      <c r="O14" s="5">
        <f t="shared" ref="O14:R14" si="10">$N$12*O5</f>
        <v>39191.711359531291</v>
      </c>
      <c r="P14" s="5">
        <f t="shared" si="10"/>
        <v>41151.296927507858</v>
      </c>
      <c r="Q14" s="5">
        <f t="shared" si="10"/>
        <v>43208.861773883247</v>
      </c>
      <c r="R14" s="5">
        <f t="shared" si="10"/>
        <v>45369.30486257741</v>
      </c>
    </row>
    <row r="17" spans="2:18" ht="16.5" customHeight="1">
      <c r="O17" s="304"/>
      <c r="P17" s="304"/>
      <c r="Q17" s="304"/>
      <c r="R17" s="304"/>
    </row>
    <row r="18" spans="2:18">
      <c r="O18" s="93"/>
      <c r="P18" s="93"/>
      <c r="Q18" s="93"/>
      <c r="R18" s="93"/>
    </row>
    <row r="19" spans="2:18">
      <c r="B19" s="15">
        <v>0.65</v>
      </c>
    </row>
    <row r="20" spans="2:18">
      <c r="B20" s="15">
        <f>B19</f>
        <v>0.65</v>
      </c>
    </row>
    <row r="21" spans="2:18">
      <c r="B21" s="15">
        <f>B20</f>
        <v>0.65</v>
      </c>
    </row>
    <row r="22" spans="2:18">
      <c r="B22" s="15">
        <v>0.75</v>
      </c>
    </row>
    <row r="23" spans="2:18">
      <c r="B23" s="15">
        <f>B22</f>
        <v>0.75</v>
      </c>
    </row>
    <row r="24" spans="2:18">
      <c r="B24" s="15">
        <f>B23</f>
        <v>0.75</v>
      </c>
    </row>
    <row r="25" spans="2:18">
      <c r="B25" s="15">
        <v>0.85</v>
      </c>
    </row>
    <row r="26" spans="2:18">
      <c r="B26" s="15">
        <f>B25</f>
        <v>0.85</v>
      </c>
    </row>
    <row r="27" spans="2:18">
      <c r="B27" s="15">
        <f>B26</f>
        <v>0.85</v>
      </c>
    </row>
    <row r="28" spans="2:18">
      <c r="B28" s="15">
        <v>0.9</v>
      </c>
    </row>
    <row r="29" spans="2:18">
      <c r="B29" s="15">
        <v>0.95</v>
      </c>
    </row>
    <row r="30" spans="2:18">
      <c r="B30" s="15">
        <v>1</v>
      </c>
    </row>
  </sheetData>
  <mergeCells count="4">
    <mergeCell ref="A7:N7"/>
    <mergeCell ref="A2:R2"/>
    <mergeCell ref="O17:P17"/>
    <mergeCell ref="Q17:R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2:L72"/>
  <sheetViews>
    <sheetView showGridLines="0" topLeftCell="A41" workbookViewId="0">
      <selection activeCell="J37" sqref="J37"/>
    </sheetView>
  </sheetViews>
  <sheetFormatPr baseColWidth="10" defaultRowHeight="15"/>
  <cols>
    <col min="1" max="1" width="30.85546875" bestFit="1" customWidth="1"/>
    <col min="2" max="3" width="12" bestFit="1" customWidth="1"/>
    <col min="4" max="4" width="13" bestFit="1" customWidth="1"/>
    <col min="5" max="5" width="10.85546875" customWidth="1"/>
    <col min="6" max="6" width="13.140625" bestFit="1" customWidth="1"/>
    <col min="7" max="7" width="12" bestFit="1" customWidth="1"/>
  </cols>
  <sheetData>
    <row r="2" spans="1:6">
      <c r="A2" s="12" t="s">
        <v>109</v>
      </c>
    </row>
    <row r="3" spans="1:6" ht="30">
      <c r="A3" s="8" t="s">
        <v>7</v>
      </c>
      <c r="B3" s="8" t="s">
        <v>8</v>
      </c>
      <c r="C3" s="8" t="s">
        <v>12</v>
      </c>
      <c r="D3" s="8" t="s">
        <v>9</v>
      </c>
      <c r="E3" s="217" t="s">
        <v>13</v>
      </c>
      <c r="F3" s="237"/>
    </row>
    <row r="4" spans="1:6">
      <c r="A4" s="3" t="s">
        <v>0</v>
      </c>
      <c r="B4" s="4">
        <v>1</v>
      </c>
      <c r="C4" s="10">
        <v>850</v>
      </c>
      <c r="D4" s="215">
        <f>C4*B4</f>
        <v>850</v>
      </c>
      <c r="E4" s="10">
        <f>D4*12</f>
        <v>10200</v>
      </c>
      <c r="F4" s="238"/>
    </row>
    <row r="5" spans="1:6">
      <c r="A5" s="6" t="s">
        <v>4</v>
      </c>
      <c r="B5" s="7">
        <v>1</v>
      </c>
      <c r="C5" s="10">
        <v>550</v>
      </c>
      <c r="D5" s="215">
        <f>C5*B5</f>
        <v>550</v>
      </c>
      <c r="E5" s="10">
        <f>D5*12</f>
        <v>6600</v>
      </c>
      <c r="F5" s="238"/>
    </row>
    <row r="6" spans="1:6">
      <c r="A6" s="6" t="s">
        <v>1</v>
      </c>
      <c r="B6" s="7">
        <v>2</v>
      </c>
      <c r="C6" s="10">
        <v>350</v>
      </c>
      <c r="D6" s="215">
        <f t="shared" ref="D6:D13" si="0">C6*B6</f>
        <v>700</v>
      </c>
      <c r="E6" s="10">
        <f t="shared" ref="E6:E13" si="1">D6*12</f>
        <v>8400</v>
      </c>
      <c r="F6" s="238"/>
    </row>
    <row r="7" spans="1:6" ht="15.75" customHeight="1">
      <c r="A7" s="6" t="s">
        <v>10</v>
      </c>
      <c r="B7" s="7">
        <v>1</v>
      </c>
      <c r="C7" s="10">
        <v>650</v>
      </c>
      <c r="D7" s="215">
        <f t="shared" si="0"/>
        <v>650</v>
      </c>
      <c r="E7" s="10">
        <f t="shared" si="1"/>
        <v>7800</v>
      </c>
      <c r="F7" s="238"/>
    </row>
    <row r="8" spans="1:6">
      <c r="A8" s="6" t="s">
        <v>2</v>
      </c>
      <c r="B8" s="7">
        <v>1</v>
      </c>
      <c r="C8" s="10">
        <v>450</v>
      </c>
      <c r="D8" s="215">
        <f>C8*B8</f>
        <v>450</v>
      </c>
      <c r="E8" s="10">
        <f>D8*12</f>
        <v>5400</v>
      </c>
      <c r="F8" s="238"/>
    </row>
    <row r="9" spans="1:6" ht="15.75" customHeight="1">
      <c r="A9" s="6" t="s">
        <v>20</v>
      </c>
      <c r="B9" s="7">
        <v>3</v>
      </c>
      <c r="C9" s="10">
        <v>350</v>
      </c>
      <c r="D9" s="215">
        <f t="shared" ref="D9" si="2">C9*B9</f>
        <v>1050</v>
      </c>
      <c r="E9" s="10">
        <f t="shared" si="1"/>
        <v>12600</v>
      </c>
      <c r="F9" s="238"/>
    </row>
    <row r="10" spans="1:6">
      <c r="A10" s="6" t="s">
        <v>3</v>
      </c>
      <c r="B10" s="7">
        <v>1</v>
      </c>
      <c r="C10" s="10">
        <v>350</v>
      </c>
      <c r="D10" s="215">
        <f t="shared" si="0"/>
        <v>350</v>
      </c>
      <c r="E10" s="10">
        <f t="shared" si="1"/>
        <v>4200</v>
      </c>
      <c r="F10" s="238"/>
    </row>
    <row r="11" spans="1:6">
      <c r="A11" s="6" t="s">
        <v>5</v>
      </c>
      <c r="B11" s="7">
        <v>2</v>
      </c>
      <c r="C11" s="10">
        <v>300</v>
      </c>
      <c r="D11" s="215">
        <f t="shared" si="0"/>
        <v>600</v>
      </c>
      <c r="E11" s="10">
        <f t="shared" si="1"/>
        <v>7200</v>
      </c>
      <c r="F11" s="238"/>
    </row>
    <row r="12" spans="1:6">
      <c r="A12" s="6" t="s">
        <v>11</v>
      </c>
      <c r="B12" s="7">
        <v>4</v>
      </c>
      <c r="C12" s="10">
        <v>240</v>
      </c>
      <c r="D12" s="215">
        <f t="shared" si="0"/>
        <v>960</v>
      </c>
      <c r="E12" s="10">
        <f t="shared" si="1"/>
        <v>11520</v>
      </c>
      <c r="F12" s="238"/>
    </row>
    <row r="13" spans="1:6">
      <c r="A13" s="6" t="s">
        <v>159</v>
      </c>
      <c r="B13" s="7">
        <v>1</v>
      </c>
      <c r="C13" s="10">
        <v>240</v>
      </c>
      <c r="D13" s="215">
        <f t="shared" si="0"/>
        <v>240</v>
      </c>
      <c r="E13" s="10">
        <f t="shared" si="1"/>
        <v>2880</v>
      </c>
      <c r="F13" s="238"/>
    </row>
    <row r="14" spans="1:6">
      <c r="A14" s="9" t="s">
        <v>6</v>
      </c>
      <c r="B14" s="9">
        <f>SUM(B4:B13)</f>
        <v>17</v>
      </c>
      <c r="C14" s="11">
        <f>SUM(C4:C13)</f>
        <v>4330</v>
      </c>
      <c r="D14" s="216">
        <f>SUM(D4:D13)</f>
        <v>6400</v>
      </c>
      <c r="E14" s="11">
        <f>SUM(E4:E13)</f>
        <v>76800</v>
      </c>
      <c r="F14" s="238"/>
    </row>
    <row r="17" spans="1:7">
      <c r="A17" s="13" t="s">
        <v>14</v>
      </c>
      <c r="G17" s="15">
        <v>0.04</v>
      </c>
    </row>
    <row r="18" spans="1:7">
      <c r="A18" s="8" t="s">
        <v>7</v>
      </c>
      <c r="B18" s="18" t="s">
        <v>15</v>
      </c>
      <c r="C18" s="18" t="s">
        <v>16</v>
      </c>
      <c r="D18" s="18" t="s">
        <v>17</v>
      </c>
      <c r="E18" s="18" t="s">
        <v>18</v>
      </c>
      <c r="F18" s="18" t="s">
        <v>19</v>
      </c>
    </row>
    <row r="19" spans="1:7">
      <c r="A19" s="3" t="s">
        <v>0</v>
      </c>
      <c r="B19" s="19">
        <f>+E4</f>
        <v>10200</v>
      </c>
      <c r="C19" s="10">
        <f>+B19*(1+$G$17)</f>
        <v>10608</v>
      </c>
      <c r="D19" s="10">
        <f t="shared" ref="D19:F19" si="3">+C19*(1+$G$17)</f>
        <v>11032.32</v>
      </c>
      <c r="E19" s="10">
        <f t="shared" si="3"/>
        <v>11473.612800000001</v>
      </c>
      <c r="F19" s="10">
        <f t="shared" si="3"/>
        <v>11932.557312000001</v>
      </c>
    </row>
    <row r="20" spans="1:7">
      <c r="A20" s="6" t="s">
        <v>4</v>
      </c>
      <c r="B20" s="19">
        <f>+E5</f>
        <v>6600</v>
      </c>
      <c r="C20" s="10">
        <f t="shared" ref="C20:F20" si="4">+B20*(1+$G$17)</f>
        <v>6864</v>
      </c>
      <c r="D20" s="10">
        <f t="shared" si="4"/>
        <v>7138.56</v>
      </c>
      <c r="E20" s="10">
        <f t="shared" si="4"/>
        <v>7424.1024000000007</v>
      </c>
      <c r="F20" s="10">
        <f t="shared" si="4"/>
        <v>7721.0664960000013</v>
      </c>
    </row>
    <row r="21" spans="1:7">
      <c r="A21" s="6" t="s">
        <v>1</v>
      </c>
      <c r="B21" s="19">
        <f>+E6</f>
        <v>8400</v>
      </c>
      <c r="C21" s="10">
        <f t="shared" ref="C21:F22" si="5">+B21*(1+$G$17)</f>
        <v>8736</v>
      </c>
      <c r="D21" s="10">
        <f t="shared" si="5"/>
        <v>9085.44</v>
      </c>
      <c r="E21" s="10">
        <f t="shared" si="5"/>
        <v>9448.8576000000012</v>
      </c>
      <c r="F21" s="10">
        <f t="shared" si="5"/>
        <v>9826.811904000002</v>
      </c>
    </row>
    <row r="22" spans="1:7">
      <c r="A22" s="6" t="s">
        <v>10</v>
      </c>
      <c r="B22" s="19">
        <f>+E7</f>
        <v>7800</v>
      </c>
      <c r="C22" s="10">
        <f t="shared" si="5"/>
        <v>8112</v>
      </c>
      <c r="D22" s="10">
        <f t="shared" si="5"/>
        <v>8436.48</v>
      </c>
      <c r="E22" s="10">
        <f t="shared" si="5"/>
        <v>8773.9392000000007</v>
      </c>
      <c r="F22" s="10">
        <f t="shared" si="5"/>
        <v>9124.8967680000005</v>
      </c>
    </row>
    <row r="23" spans="1:7">
      <c r="A23" s="6" t="s">
        <v>2</v>
      </c>
      <c r="B23" s="19">
        <f t="shared" ref="B23:B26" si="6">+E8</f>
        <v>5400</v>
      </c>
      <c r="C23" s="10">
        <f t="shared" ref="C23:F23" si="7">+B23*(1+$G$17)</f>
        <v>5616</v>
      </c>
      <c r="D23" s="10">
        <f t="shared" si="7"/>
        <v>5840.64</v>
      </c>
      <c r="E23" s="10">
        <f t="shared" si="7"/>
        <v>6074.2656000000006</v>
      </c>
      <c r="F23" s="10">
        <f t="shared" si="7"/>
        <v>6317.2362240000011</v>
      </c>
    </row>
    <row r="24" spans="1:7">
      <c r="A24" s="6" t="s">
        <v>20</v>
      </c>
      <c r="B24" s="19">
        <f t="shared" si="6"/>
        <v>12600</v>
      </c>
      <c r="C24" s="10">
        <f t="shared" ref="C24:F24" si="8">+B24*(1+$G$17)</f>
        <v>13104</v>
      </c>
      <c r="D24" s="10">
        <f t="shared" si="8"/>
        <v>13628.16</v>
      </c>
      <c r="E24" s="10">
        <f t="shared" si="8"/>
        <v>14173.286400000001</v>
      </c>
      <c r="F24" s="10">
        <f t="shared" si="8"/>
        <v>14740.217856000001</v>
      </c>
    </row>
    <row r="25" spans="1:7">
      <c r="A25" s="6" t="s">
        <v>3</v>
      </c>
      <c r="B25" s="19">
        <f t="shared" si="6"/>
        <v>4200</v>
      </c>
      <c r="C25" s="10">
        <f t="shared" ref="C25:F25" si="9">+B25*(1+$G$17)</f>
        <v>4368</v>
      </c>
      <c r="D25" s="10">
        <f t="shared" si="9"/>
        <v>4542.72</v>
      </c>
      <c r="E25" s="10">
        <f t="shared" si="9"/>
        <v>4724.4288000000006</v>
      </c>
      <c r="F25" s="10">
        <f t="shared" si="9"/>
        <v>4913.405952000001</v>
      </c>
    </row>
    <row r="26" spans="1:7">
      <c r="A26" s="6" t="s">
        <v>5</v>
      </c>
      <c r="B26" s="19">
        <f t="shared" si="6"/>
        <v>7200</v>
      </c>
      <c r="C26" s="10">
        <f t="shared" ref="C26:F26" si="10">+B26*(1+$G$17)</f>
        <v>7488</v>
      </c>
      <c r="D26" s="10">
        <f t="shared" si="10"/>
        <v>7787.52</v>
      </c>
      <c r="E26" s="10">
        <f t="shared" si="10"/>
        <v>8099.0208000000011</v>
      </c>
      <c r="F26" s="10">
        <f t="shared" si="10"/>
        <v>8422.9816320000009</v>
      </c>
    </row>
    <row r="27" spans="1:7">
      <c r="A27" s="6" t="s">
        <v>11</v>
      </c>
      <c r="B27" s="19">
        <f t="shared" ref="B27:B28" si="11">+E12</f>
        <v>11520</v>
      </c>
      <c r="C27" s="10">
        <f>+B27*(1+$G$17)</f>
        <v>11980.800000000001</v>
      </c>
      <c r="D27" s="10">
        <f t="shared" ref="D27:F27" si="12">+C27*(1+$G$17)</f>
        <v>12460.032000000001</v>
      </c>
      <c r="E27" s="10">
        <f t="shared" si="12"/>
        <v>12958.433280000001</v>
      </c>
      <c r="F27" s="10">
        <f t="shared" si="12"/>
        <v>13476.770611200001</v>
      </c>
    </row>
    <row r="28" spans="1:7">
      <c r="A28" s="6" t="s">
        <v>159</v>
      </c>
      <c r="B28" s="19">
        <f t="shared" si="11"/>
        <v>2880</v>
      </c>
      <c r="C28" s="10">
        <f>+B28*(1+$G$17)</f>
        <v>2995.2000000000003</v>
      </c>
      <c r="D28" s="10">
        <f t="shared" ref="D28" si="13">+C28*(1+$G$17)</f>
        <v>3115.0080000000003</v>
      </c>
      <c r="E28" s="10">
        <f t="shared" ref="E28" si="14">+D28*(1+$G$17)</f>
        <v>3239.6083200000003</v>
      </c>
      <c r="F28" s="10">
        <f t="shared" ref="F28" si="15">+E28*(1+$G$17)</f>
        <v>3369.1926528000004</v>
      </c>
    </row>
    <row r="29" spans="1:7">
      <c r="A29" s="9" t="s">
        <v>6</v>
      </c>
      <c r="B29" s="27">
        <f>SUM(B19:B28)</f>
        <v>76800</v>
      </c>
      <c r="C29" s="27">
        <f t="shared" ref="C29:F29" si="16">SUM(C19:C28)</f>
        <v>79872</v>
      </c>
      <c r="D29" s="27">
        <f t="shared" si="16"/>
        <v>83066.880000000019</v>
      </c>
      <c r="E29" s="27">
        <f t="shared" si="16"/>
        <v>86389.555200000003</v>
      </c>
      <c r="F29" s="27">
        <f t="shared" si="16"/>
        <v>89845.13740800001</v>
      </c>
    </row>
    <row r="31" spans="1:7" ht="15.75" thickBot="1"/>
    <row r="32" spans="1:7" ht="29.25" customHeight="1" thickBot="1">
      <c r="A32" s="34" t="s">
        <v>38</v>
      </c>
      <c r="B32" s="35" t="s">
        <v>51</v>
      </c>
      <c r="C32" s="35" t="s">
        <v>52</v>
      </c>
      <c r="D32" s="35" t="s">
        <v>53</v>
      </c>
      <c r="E32" s="35" t="s">
        <v>54</v>
      </c>
      <c r="F32" s="35" t="s">
        <v>56</v>
      </c>
      <c r="G32" s="36" t="s">
        <v>55</v>
      </c>
    </row>
    <row r="33" spans="1:7" ht="16.5" customHeight="1" thickBot="1">
      <c r="A33" s="33" t="s">
        <v>48</v>
      </c>
    </row>
    <row r="34" spans="1:7">
      <c r="A34" s="30" t="s">
        <v>39</v>
      </c>
      <c r="B34" s="28">
        <v>1</v>
      </c>
      <c r="C34" s="10">
        <v>1400</v>
      </c>
      <c r="D34" s="28">
        <v>10</v>
      </c>
      <c r="E34" s="10">
        <f>C34/D34</f>
        <v>140</v>
      </c>
      <c r="F34" s="28"/>
      <c r="G34" s="10">
        <f t="shared" ref="G34:G39" si="17">C34-(E34*5)</f>
        <v>700</v>
      </c>
    </row>
    <row r="35" spans="1:7">
      <c r="A35" s="28" t="s">
        <v>40</v>
      </c>
      <c r="B35" s="28">
        <v>1</v>
      </c>
      <c r="C35" s="10">
        <v>5990</v>
      </c>
      <c r="D35" s="28">
        <v>10</v>
      </c>
      <c r="E35" s="10">
        <f t="shared" ref="E35:E44" si="18">C35/D35</f>
        <v>599</v>
      </c>
      <c r="F35" s="28"/>
      <c r="G35" s="10">
        <f t="shared" si="17"/>
        <v>2995</v>
      </c>
    </row>
    <row r="36" spans="1:7">
      <c r="A36" s="28" t="s">
        <v>41</v>
      </c>
      <c r="B36" s="28">
        <v>1</v>
      </c>
      <c r="C36" s="10">
        <v>3000</v>
      </c>
      <c r="D36" s="28">
        <v>10</v>
      </c>
      <c r="E36" s="10">
        <f t="shared" si="18"/>
        <v>300</v>
      </c>
      <c r="F36" s="28"/>
      <c r="G36" s="10">
        <f t="shared" si="17"/>
        <v>1500</v>
      </c>
    </row>
    <row r="37" spans="1:7">
      <c r="A37" s="28" t="s">
        <v>42</v>
      </c>
      <c r="B37" s="28">
        <v>1</v>
      </c>
      <c r="C37" s="10">
        <v>5000</v>
      </c>
      <c r="D37" s="28">
        <v>10</v>
      </c>
      <c r="E37" s="10">
        <f t="shared" si="18"/>
        <v>500</v>
      </c>
      <c r="F37" s="28"/>
      <c r="G37" s="10">
        <f t="shared" si="17"/>
        <v>2500</v>
      </c>
    </row>
    <row r="38" spans="1:7">
      <c r="A38" s="28" t="s">
        <v>43</v>
      </c>
      <c r="B38" s="28">
        <v>1</v>
      </c>
      <c r="C38" s="10">
        <v>4550</v>
      </c>
      <c r="D38" s="28">
        <v>10</v>
      </c>
      <c r="E38" s="10">
        <f t="shared" si="18"/>
        <v>455</v>
      </c>
      <c r="F38" s="28"/>
      <c r="G38" s="10">
        <f t="shared" si="17"/>
        <v>2275</v>
      </c>
    </row>
    <row r="39" spans="1:7" ht="15.75" thickBot="1">
      <c r="A39" s="29" t="s">
        <v>44</v>
      </c>
      <c r="B39" s="28">
        <v>1</v>
      </c>
      <c r="C39" s="10">
        <v>3320</v>
      </c>
      <c r="D39" s="28">
        <v>10</v>
      </c>
      <c r="E39" s="10">
        <f t="shared" si="18"/>
        <v>332</v>
      </c>
      <c r="F39" s="28"/>
      <c r="G39" s="10">
        <f t="shared" si="17"/>
        <v>1660</v>
      </c>
    </row>
    <row r="40" spans="1:7" ht="15.75" thickBot="1">
      <c r="A40" s="32" t="s">
        <v>49</v>
      </c>
      <c r="C40" s="17"/>
      <c r="E40" s="17"/>
      <c r="G40" s="17"/>
    </row>
    <row r="41" spans="1:7" ht="15.75" thickBot="1">
      <c r="A41" s="31" t="s">
        <v>47</v>
      </c>
      <c r="B41" s="28">
        <v>1</v>
      </c>
      <c r="C41" s="10">
        <v>13999</v>
      </c>
      <c r="D41" s="28">
        <v>5</v>
      </c>
      <c r="E41" s="10">
        <f t="shared" si="18"/>
        <v>2799.8</v>
      </c>
      <c r="F41" s="28"/>
      <c r="G41" s="10">
        <f>C41-(E41*5)</f>
        <v>0</v>
      </c>
    </row>
    <row r="42" spans="1:7" ht="15.75" thickBot="1">
      <c r="A42" s="32" t="s">
        <v>50</v>
      </c>
      <c r="C42" s="17"/>
      <c r="E42" s="17"/>
      <c r="G42" s="17"/>
    </row>
    <row r="43" spans="1:7">
      <c r="A43" s="30" t="s">
        <v>45</v>
      </c>
      <c r="B43" s="28">
        <v>11</v>
      </c>
      <c r="C43" s="10">
        <f>500*B43</f>
        <v>5500</v>
      </c>
      <c r="D43" s="28">
        <v>3</v>
      </c>
      <c r="E43" s="10">
        <f t="shared" si="18"/>
        <v>1833.3333333333333</v>
      </c>
      <c r="F43" s="10">
        <f>450*B43</f>
        <v>4950</v>
      </c>
      <c r="G43" s="10">
        <f>F43-(F43/3)*2</f>
        <v>1650</v>
      </c>
    </row>
    <row r="44" spans="1:7" ht="15.75" thickBot="1">
      <c r="A44" s="29" t="s">
        <v>46</v>
      </c>
      <c r="B44" s="28"/>
      <c r="C44" s="10">
        <v>4000</v>
      </c>
      <c r="D44" s="28">
        <v>10</v>
      </c>
      <c r="E44" s="10">
        <f t="shared" si="18"/>
        <v>400</v>
      </c>
      <c r="F44" s="10"/>
      <c r="G44" s="10">
        <f>C44-(E44*5)</f>
        <v>2000</v>
      </c>
    </row>
    <row r="45" spans="1:7" ht="15.75" thickBot="1">
      <c r="A45" s="37" t="s">
        <v>6</v>
      </c>
      <c r="B45" s="38"/>
      <c r="C45" s="39">
        <f>SUM(C34:C44)</f>
        <v>46759</v>
      </c>
      <c r="D45" s="38"/>
      <c r="E45" s="39">
        <f>SUM(E34:E44)</f>
        <v>7359.1333333333332</v>
      </c>
      <c r="F45" s="39"/>
      <c r="G45" s="40">
        <f>SUM(G34:G44)</f>
        <v>15280</v>
      </c>
    </row>
    <row r="48" spans="1:7">
      <c r="A48" s="305" t="s">
        <v>57</v>
      </c>
      <c r="B48" s="305"/>
    </row>
    <row r="49" spans="1:12">
      <c r="A49" s="42" t="s">
        <v>61</v>
      </c>
      <c r="B49" s="10">
        <v>70</v>
      </c>
    </row>
    <row r="50" spans="1:12">
      <c r="A50" s="28" t="s">
        <v>58</v>
      </c>
      <c r="B50" s="10">
        <v>100</v>
      </c>
    </row>
    <row r="51" spans="1:12">
      <c r="A51" s="28" t="s">
        <v>59</v>
      </c>
      <c r="B51" s="10">
        <v>90</v>
      </c>
    </row>
    <row r="52" spans="1:12">
      <c r="A52" s="28" t="s">
        <v>60</v>
      </c>
      <c r="B52" s="10">
        <v>1500</v>
      </c>
    </row>
    <row r="53" spans="1:12">
      <c r="A53" s="28" t="s">
        <v>62</v>
      </c>
      <c r="B53" s="10">
        <v>5000</v>
      </c>
    </row>
    <row r="54" spans="1:12">
      <c r="A54" s="43" t="s">
        <v>63</v>
      </c>
      <c r="B54" s="44">
        <f>SUM(B49:B53)</f>
        <v>6760</v>
      </c>
    </row>
    <row r="56" spans="1:12">
      <c r="A56" s="12" t="s">
        <v>106</v>
      </c>
      <c r="H56" s="98">
        <v>4.3099999999999999E-2</v>
      </c>
      <c r="I56" t="s">
        <v>72</v>
      </c>
    </row>
    <row r="57" spans="1:12">
      <c r="A57" s="46" t="s">
        <v>64</v>
      </c>
      <c r="B57" s="18" t="s">
        <v>15</v>
      </c>
      <c r="C57" s="18" t="s">
        <v>16</v>
      </c>
      <c r="D57" s="18" t="s">
        <v>17</v>
      </c>
      <c r="E57" s="18" t="s">
        <v>18</v>
      </c>
      <c r="F57" s="18" t="s">
        <v>19</v>
      </c>
    </row>
    <row r="58" spans="1:12">
      <c r="A58" s="47" t="s">
        <v>65</v>
      </c>
      <c r="B58" s="10">
        <f>100*12</f>
        <v>1200</v>
      </c>
      <c r="C58" s="10">
        <f>B58*(1+$H$56)</f>
        <v>1251.7199999999998</v>
      </c>
      <c r="D58" s="10">
        <f t="shared" ref="D58:F58" si="19">C58*(1+$H$56)</f>
        <v>1305.6691319999998</v>
      </c>
      <c r="E58" s="10">
        <f>D58*(1+$H$56)</f>
        <v>1361.9434715891996</v>
      </c>
      <c r="F58" s="10">
        <f t="shared" si="19"/>
        <v>1420.643235214694</v>
      </c>
      <c r="L58" s="45"/>
    </row>
    <row r="59" spans="1:12">
      <c r="A59" s="47" t="s">
        <v>66</v>
      </c>
      <c r="B59" s="10">
        <f>100*12</f>
        <v>1200</v>
      </c>
      <c r="C59" s="10">
        <f t="shared" ref="C59:F59" si="20">B59*(1+$H$56)</f>
        <v>1251.7199999999998</v>
      </c>
      <c r="D59" s="10">
        <f t="shared" si="20"/>
        <v>1305.6691319999998</v>
      </c>
      <c r="E59" s="10">
        <f t="shared" si="20"/>
        <v>1361.9434715891996</v>
      </c>
      <c r="F59" s="10">
        <f t="shared" si="20"/>
        <v>1420.643235214694</v>
      </c>
    </row>
    <row r="60" spans="1:12">
      <c r="A60" s="47" t="s">
        <v>67</v>
      </c>
      <c r="B60" s="10">
        <f>50*12</f>
        <v>600</v>
      </c>
      <c r="C60" s="10">
        <f t="shared" ref="C60:F60" si="21">B60*(1+$H$56)</f>
        <v>625.8599999999999</v>
      </c>
      <c r="D60" s="10">
        <f t="shared" si="21"/>
        <v>652.83456599999988</v>
      </c>
      <c r="E60" s="10">
        <f t="shared" si="21"/>
        <v>680.97173579459979</v>
      </c>
      <c r="F60" s="10">
        <f t="shared" si="21"/>
        <v>710.32161760734698</v>
      </c>
    </row>
    <row r="61" spans="1:12">
      <c r="A61" s="47" t="s">
        <v>68</v>
      </c>
      <c r="B61" s="10">
        <f>25*12</f>
        <v>300</v>
      </c>
      <c r="C61" s="10">
        <f t="shared" ref="C61:F61" si="22">B61*(1+$H$56)</f>
        <v>312.92999999999995</v>
      </c>
      <c r="D61" s="10">
        <f t="shared" si="22"/>
        <v>326.41728299999994</v>
      </c>
      <c r="E61" s="10">
        <f t="shared" si="22"/>
        <v>340.4858678972999</v>
      </c>
      <c r="F61" s="10">
        <f t="shared" si="22"/>
        <v>355.16080880367349</v>
      </c>
    </row>
    <row r="62" spans="1:12">
      <c r="A62" s="47" t="s">
        <v>167</v>
      </c>
      <c r="B62" s="10">
        <f>30*12</f>
        <v>360</v>
      </c>
      <c r="C62" s="10">
        <f t="shared" ref="C62" si="23">B62*(1+$H$56)</f>
        <v>375.51599999999996</v>
      </c>
      <c r="D62" s="10">
        <f t="shared" ref="D62" si="24">C62*(1+$H$56)</f>
        <v>391.70073959999991</v>
      </c>
      <c r="E62" s="10">
        <f t="shared" ref="E62" si="25">D62*(1+$H$56)</f>
        <v>408.58304147675989</v>
      </c>
      <c r="F62" s="10">
        <f t="shared" ref="F62" si="26">E62*(1+$H$56)</f>
        <v>426.1929705644082</v>
      </c>
    </row>
    <row r="63" spans="1:12">
      <c r="A63" s="48" t="s">
        <v>69</v>
      </c>
      <c r="B63" s="49">
        <f>2000*12</f>
        <v>24000</v>
      </c>
      <c r="C63" s="49">
        <f>B63</f>
        <v>24000</v>
      </c>
      <c r="D63" s="49">
        <f t="shared" ref="D63:F63" si="27">C63*(1+$H$56)</f>
        <v>25034.399999999998</v>
      </c>
      <c r="E63" s="49">
        <f>D63</f>
        <v>25034.399999999998</v>
      </c>
      <c r="F63" s="49">
        <f t="shared" si="27"/>
        <v>26113.382639999996</v>
      </c>
    </row>
    <row r="64" spans="1:12">
      <c r="A64" s="48" t="s">
        <v>70</v>
      </c>
      <c r="B64" s="49">
        <f>300*12</f>
        <v>3600</v>
      </c>
      <c r="C64" s="49">
        <f t="shared" ref="C64:F64" si="28">B64*(1+$H$56)</f>
        <v>3755.16</v>
      </c>
      <c r="D64" s="49">
        <f t="shared" si="28"/>
        <v>3917.0073959999995</v>
      </c>
      <c r="E64" s="49">
        <f t="shared" si="28"/>
        <v>4085.830414767599</v>
      </c>
      <c r="F64" s="49">
        <f t="shared" si="28"/>
        <v>4261.9297056440819</v>
      </c>
    </row>
    <row r="65" spans="1:6">
      <c r="A65" s="48" t="s">
        <v>71</v>
      </c>
      <c r="B65" s="49">
        <f>300*12</f>
        <v>3600</v>
      </c>
      <c r="C65" s="49">
        <f t="shared" ref="C65:F65" si="29">B65*(1+$H$56)</f>
        <v>3755.16</v>
      </c>
      <c r="D65" s="49">
        <f t="shared" si="29"/>
        <v>3917.0073959999995</v>
      </c>
      <c r="E65" s="49">
        <f t="shared" si="29"/>
        <v>4085.830414767599</v>
      </c>
      <c r="F65" s="49">
        <f t="shared" si="29"/>
        <v>4261.9297056440819</v>
      </c>
    </row>
    <row r="66" spans="1:6">
      <c r="A66" s="47" t="s">
        <v>164</v>
      </c>
      <c r="B66" s="49">
        <f>80*12</f>
        <v>960</v>
      </c>
      <c r="C66" s="49">
        <f t="shared" ref="C66" si="30">B66*(1+$H$56)</f>
        <v>1001.376</v>
      </c>
      <c r="D66" s="49">
        <f t="shared" ref="D66" si="31">C66*(1+$H$56)</f>
        <v>1044.5353055999999</v>
      </c>
      <c r="E66" s="49">
        <f t="shared" ref="E66" si="32">D66*(1+$H$56)</f>
        <v>1089.5547772713599</v>
      </c>
      <c r="F66" s="49">
        <f t="shared" ref="F66" si="33">E66*(1+$H$56)</f>
        <v>1136.5145881717553</v>
      </c>
    </row>
    <row r="67" spans="1:6">
      <c r="A67" s="47" t="s">
        <v>157</v>
      </c>
      <c r="B67" s="49">
        <f>60*12</f>
        <v>720</v>
      </c>
      <c r="C67" s="49">
        <f t="shared" ref="C67" si="34">B67*(1+$H$56)</f>
        <v>751.03199999999993</v>
      </c>
      <c r="D67" s="49">
        <f t="shared" ref="D67" si="35">C67*(1+$H$56)</f>
        <v>783.40147919999981</v>
      </c>
      <c r="E67" s="49">
        <f t="shared" ref="E67" si="36">D67*(1+$H$56)</f>
        <v>817.16608295351978</v>
      </c>
      <c r="F67" s="49">
        <f t="shared" ref="F67" si="37">E67*(1+$H$56)</f>
        <v>852.3859411288164</v>
      </c>
    </row>
    <row r="68" spans="1:6">
      <c r="A68" s="47" t="s">
        <v>165</v>
      </c>
      <c r="B68" s="49">
        <f>745.95</f>
        <v>745.95</v>
      </c>
      <c r="C68" s="49">
        <f>B68*(1-0.1)</f>
        <v>671.35500000000002</v>
      </c>
      <c r="D68" s="49">
        <f t="shared" ref="D68:F68" si="38">C68*(1-0.1)</f>
        <v>604.21950000000004</v>
      </c>
      <c r="E68" s="49">
        <f t="shared" si="38"/>
        <v>543.79755</v>
      </c>
      <c r="F68" s="49">
        <f t="shared" si="38"/>
        <v>489.41779500000001</v>
      </c>
    </row>
    <row r="69" spans="1:6">
      <c r="A69" s="47" t="s">
        <v>166</v>
      </c>
      <c r="B69" s="49">
        <f>100*12</f>
        <v>1200</v>
      </c>
      <c r="C69" s="49">
        <f t="shared" ref="C69" si="39">B69*(1+$H$56)</f>
        <v>1251.7199999999998</v>
      </c>
      <c r="D69" s="49">
        <f t="shared" ref="D69" si="40">C69*(1+$H$56)</f>
        <v>1305.6691319999998</v>
      </c>
      <c r="E69" s="49">
        <f t="shared" ref="E69" si="41">D69*(1+$H$56)</f>
        <v>1361.9434715891996</v>
      </c>
      <c r="F69" s="49">
        <f t="shared" ref="F69" si="42">E69*(1+$H$56)</f>
        <v>1420.643235214694</v>
      </c>
    </row>
    <row r="70" spans="1:6">
      <c r="A70" s="47" t="s">
        <v>168</v>
      </c>
      <c r="B70" s="49">
        <v>33000</v>
      </c>
      <c r="C70" s="49">
        <v>20000</v>
      </c>
      <c r="D70" s="49">
        <v>20000</v>
      </c>
      <c r="E70" s="49">
        <v>15000</v>
      </c>
      <c r="F70" s="49">
        <v>15000</v>
      </c>
    </row>
    <row r="71" spans="1:6">
      <c r="A71" s="47" t="s">
        <v>218</v>
      </c>
      <c r="B71" s="49">
        <f>333.37*12</f>
        <v>4000.44</v>
      </c>
      <c r="C71" s="49">
        <f t="shared" ref="C71:E71" si="43">333.37*12</f>
        <v>4000.44</v>
      </c>
      <c r="D71" s="49">
        <f t="shared" si="43"/>
        <v>4000.44</v>
      </c>
      <c r="E71" s="49">
        <f t="shared" si="43"/>
        <v>4000.44</v>
      </c>
      <c r="F71" s="49"/>
    </row>
    <row r="72" spans="1:6">
      <c r="A72" s="50" t="s">
        <v>63</v>
      </c>
      <c r="B72" s="27">
        <f>SUM(B58:B71)</f>
        <v>75486.39</v>
      </c>
      <c r="C72" s="27">
        <f t="shared" ref="C72:F72" si="44">SUM(C58:C71)</f>
        <v>63003.989000000001</v>
      </c>
      <c r="D72" s="27">
        <f t="shared" si="44"/>
        <v>64588.971061400007</v>
      </c>
      <c r="E72" s="27">
        <f t="shared" si="44"/>
        <v>60172.890299696337</v>
      </c>
      <c r="F72" s="27">
        <f t="shared" si="44"/>
        <v>57869.165478208248</v>
      </c>
    </row>
  </sheetData>
  <mergeCells count="1">
    <mergeCell ref="A48:B4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J95"/>
  <sheetViews>
    <sheetView showGridLines="0" topLeftCell="E29" workbookViewId="0">
      <selection activeCell="F2" sqref="F2:J30"/>
    </sheetView>
  </sheetViews>
  <sheetFormatPr baseColWidth="10" defaultRowHeight="15"/>
  <cols>
    <col min="1" max="1" width="15.140625" hidden="1" customWidth="1"/>
    <col min="2" max="2" width="11.5703125" hidden="1" customWidth="1"/>
    <col min="3" max="4" width="11.42578125" hidden="1" customWidth="1"/>
    <col min="5" max="5" width="11.42578125" customWidth="1"/>
    <col min="6" max="6" width="11.42578125" style="12"/>
  </cols>
  <sheetData>
    <row r="1" spans="1:10" ht="15.75" thickBot="1"/>
    <row r="2" spans="1:10">
      <c r="F2" s="275"/>
      <c r="G2" s="283" t="s">
        <v>21</v>
      </c>
      <c r="H2" s="276">
        <v>7</v>
      </c>
      <c r="I2" s="276">
        <v>240</v>
      </c>
      <c r="J2" s="277">
        <f>H2*I2</f>
        <v>1680</v>
      </c>
    </row>
    <row r="3" spans="1:10">
      <c r="F3" s="278"/>
      <c r="G3" s="122"/>
      <c r="H3" s="122"/>
      <c r="I3" s="122"/>
      <c r="J3" s="279"/>
    </row>
    <row r="4" spans="1:10">
      <c r="B4" s="2"/>
      <c r="D4" s="101"/>
      <c r="E4" s="101"/>
      <c r="F4" s="278"/>
      <c r="G4" s="284" t="s">
        <v>108</v>
      </c>
      <c r="H4" s="122"/>
      <c r="I4" s="122"/>
      <c r="J4" s="279"/>
    </row>
    <row r="5" spans="1:10">
      <c r="A5" s="12" t="s">
        <v>108</v>
      </c>
      <c r="B5" s="82">
        <f>J2</f>
        <v>1680</v>
      </c>
      <c r="D5" s="76"/>
      <c r="E5" s="82"/>
      <c r="F5" s="278"/>
      <c r="G5" s="5">
        <f>J2</f>
        <v>1680</v>
      </c>
      <c r="H5" s="122"/>
      <c r="I5" s="122"/>
      <c r="J5" s="279"/>
    </row>
    <row r="6" spans="1:10">
      <c r="A6" t="s">
        <v>28</v>
      </c>
      <c r="B6" s="2">
        <f>'Costos Mat. Prima'!B7</f>
        <v>2140654.6896700547</v>
      </c>
      <c r="D6" s="101"/>
      <c r="E6" s="102"/>
      <c r="F6" s="278"/>
      <c r="G6" s="5">
        <f>'Costos Mat. Prima'!B18</f>
        <v>23573.082244598638</v>
      </c>
      <c r="H6" s="122"/>
      <c r="I6" s="122"/>
      <c r="J6" s="279"/>
    </row>
    <row r="7" spans="1:10">
      <c r="A7" t="s">
        <v>113</v>
      </c>
      <c r="B7" s="1">
        <f>B5/B6</f>
        <v>7.8480663327299338E-4</v>
      </c>
      <c r="D7" s="101"/>
      <c r="E7" s="103"/>
      <c r="F7" s="278"/>
      <c r="G7" s="219">
        <f>G5/G6</f>
        <v>7.1267727426053626E-2</v>
      </c>
      <c r="H7" s="122"/>
      <c r="I7" s="122"/>
      <c r="J7" s="279"/>
    </row>
    <row r="8" spans="1:10">
      <c r="A8" s="12"/>
      <c r="B8" s="75"/>
      <c r="C8" s="12"/>
      <c r="D8" s="76"/>
      <c r="E8" s="76"/>
      <c r="F8" s="278"/>
      <c r="G8" s="122"/>
      <c r="H8" s="122"/>
      <c r="I8" s="122"/>
      <c r="J8" s="279"/>
    </row>
    <row r="9" spans="1:10">
      <c r="A9" s="12" t="s">
        <v>65</v>
      </c>
      <c r="B9" s="77">
        <v>1500</v>
      </c>
      <c r="D9" s="76"/>
      <c r="F9" s="309" t="s">
        <v>65</v>
      </c>
      <c r="G9" s="220">
        <f>B9</f>
        <v>1500</v>
      </c>
      <c r="H9" s="122"/>
      <c r="I9" s="122"/>
      <c r="J9" s="279"/>
    </row>
    <row r="10" spans="1:10">
      <c r="A10" t="s">
        <v>28</v>
      </c>
      <c r="B10" s="2">
        <f>'Costos Mat. Prima'!B7</f>
        <v>2140654.6896700547</v>
      </c>
      <c r="D10" s="101"/>
      <c r="F10" s="310"/>
      <c r="G10" s="221">
        <f>'Costos Mat. Prima'!B18</f>
        <v>23573.082244598638</v>
      </c>
      <c r="H10" s="122"/>
      <c r="I10" s="122"/>
      <c r="J10" s="279"/>
    </row>
    <row r="11" spans="1:10">
      <c r="A11" t="s">
        <v>113</v>
      </c>
      <c r="B11" s="1">
        <f>B9/B10</f>
        <v>7.007202082794583E-4</v>
      </c>
      <c r="D11" s="101"/>
      <c r="F11" s="311"/>
      <c r="G11" s="222">
        <f>G9/G10</f>
        <v>6.3631899487547883E-2</v>
      </c>
      <c r="H11" s="122"/>
      <c r="I11" s="122"/>
      <c r="J11" s="279"/>
    </row>
    <row r="12" spans="1:10">
      <c r="D12" s="101"/>
      <c r="F12" s="278"/>
      <c r="G12" s="280"/>
      <c r="H12" s="122"/>
      <c r="I12" s="122"/>
      <c r="J12" s="279"/>
    </row>
    <row r="13" spans="1:10">
      <c r="A13" s="12" t="s">
        <v>66</v>
      </c>
      <c r="B13" s="77">
        <v>2000</v>
      </c>
      <c r="D13" s="76"/>
      <c r="F13" s="309" t="s">
        <v>66</v>
      </c>
      <c r="G13" s="220">
        <f>B13</f>
        <v>2000</v>
      </c>
      <c r="H13" s="122"/>
      <c r="I13" s="122"/>
      <c r="J13" s="279"/>
    </row>
    <row r="14" spans="1:10">
      <c r="A14" t="s">
        <v>28</v>
      </c>
      <c r="B14" s="2">
        <f>B10</f>
        <v>2140654.6896700547</v>
      </c>
      <c r="D14" s="101"/>
      <c r="F14" s="310"/>
      <c r="G14" s="221">
        <f>G10</f>
        <v>23573.082244598638</v>
      </c>
      <c r="H14" s="122"/>
      <c r="I14" s="122"/>
      <c r="J14" s="279"/>
    </row>
    <row r="15" spans="1:10">
      <c r="A15" t="s">
        <v>113</v>
      </c>
      <c r="B15" s="1">
        <f>B13/B14</f>
        <v>9.3429361103927776E-4</v>
      </c>
      <c r="D15" s="101"/>
      <c r="F15" s="311"/>
      <c r="G15" s="222">
        <f>G13/G14</f>
        <v>8.4842532650063834E-2</v>
      </c>
      <c r="H15" s="122"/>
      <c r="I15" s="122"/>
      <c r="J15" s="279"/>
    </row>
    <row r="16" spans="1:10" ht="17.25" customHeight="1">
      <c r="B16" s="2"/>
      <c r="D16" s="101"/>
      <c r="F16" s="278"/>
      <c r="G16" s="280"/>
      <c r="H16" s="122"/>
      <c r="I16" s="122"/>
      <c r="J16" s="279"/>
    </row>
    <row r="17" spans="1:10" ht="17.25" customHeight="1">
      <c r="A17" s="12" t="s">
        <v>100</v>
      </c>
      <c r="B17" s="77">
        <f>'Costos Mat. Prima'!C12</f>
        <v>866.38537085053349</v>
      </c>
      <c r="D17" s="101"/>
      <c r="F17" s="309" t="s">
        <v>100</v>
      </c>
      <c r="G17" s="223">
        <f>B17</f>
        <v>866.38537085053349</v>
      </c>
      <c r="H17" s="122"/>
      <c r="I17" s="122"/>
      <c r="J17" s="279"/>
    </row>
    <row r="18" spans="1:10" ht="17.25" customHeight="1">
      <c r="A18" t="s">
        <v>28</v>
      </c>
      <c r="B18" s="2">
        <f>'Costos Mat. Prima'!B7</f>
        <v>2140654.6896700547</v>
      </c>
      <c r="D18" s="101"/>
      <c r="F18" s="310"/>
      <c r="G18" s="224">
        <f>'Costos Mat. Prima'!B18</f>
        <v>23573.082244598638</v>
      </c>
      <c r="H18" s="122"/>
      <c r="I18" s="122"/>
      <c r="J18" s="279"/>
    </row>
    <row r="19" spans="1:10" ht="17.25" customHeight="1">
      <c r="A19" t="s">
        <v>112</v>
      </c>
      <c r="B19" s="16">
        <f>B17/B18</f>
        <v>4.0472915834177436E-4</v>
      </c>
      <c r="D19" s="101"/>
      <c r="F19" s="311"/>
      <c r="G19" s="225">
        <f>G17/G18</f>
        <v>3.6753164556962023E-2</v>
      </c>
      <c r="H19" s="122"/>
      <c r="I19" s="122"/>
      <c r="J19" s="279"/>
    </row>
    <row r="20" spans="1:10" ht="17.25" customHeight="1">
      <c r="B20" s="2"/>
      <c r="D20" s="101"/>
      <c r="E20" s="101"/>
      <c r="F20" s="278"/>
      <c r="G20" s="122"/>
      <c r="H20" s="122"/>
      <c r="I20" s="122"/>
      <c r="J20" s="279"/>
    </row>
    <row r="21" spans="1:10" ht="17.25" customHeight="1">
      <c r="B21" s="2"/>
      <c r="D21" s="101"/>
      <c r="E21" s="101"/>
      <c r="F21" s="278"/>
      <c r="G21" s="122"/>
      <c r="H21" s="122"/>
      <c r="I21" s="122"/>
      <c r="J21" s="279"/>
    </row>
    <row r="22" spans="1:10" ht="17.25" customHeight="1">
      <c r="B22" s="2" t="s">
        <v>148</v>
      </c>
      <c r="D22" s="101" t="s">
        <v>149</v>
      </c>
      <c r="E22" s="101"/>
      <c r="F22" s="309" t="s">
        <v>99</v>
      </c>
      <c r="G22" s="226" t="s">
        <v>148</v>
      </c>
      <c r="H22" s="274"/>
      <c r="I22" s="227" t="s">
        <v>149</v>
      </c>
      <c r="J22" s="279"/>
    </row>
    <row r="23" spans="1:10" ht="17.25" customHeight="1">
      <c r="A23" s="12" t="s">
        <v>99</v>
      </c>
      <c r="B23" s="77">
        <f>'Costos Mat. Prima'!G5</f>
        <v>1591.9290351257432</v>
      </c>
      <c r="D23" s="77">
        <f>'Costos Mat. Prima'!G6</f>
        <v>1296.0222010427015</v>
      </c>
      <c r="E23" s="101"/>
      <c r="F23" s="310"/>
      <c r="G23" s="5">
        <f>'Costos Mat. Prima'!G5</f>
        <v>1591.9290351257432</v>
      </c>
      <c r="H23" s="28"/>
      <c r="I23" s="5">
        <f>'Costos Mat. Prima'!G6</f>
        <v>1296.0222010427015</v>
      </c>
      <c r="J23" s="279"/>
    </row>
    <row r="24" spans="1:10" ht="17.25" customHeight="1">
      <c r="A24" t="s">
        <v>28</v>
      </c>
      <c r="B24" s="2">
        <f>'Costos Mat. Prima'!B5</f>
        <v>1220478.9269297367</v>
      </c>
      <c r="D24" s="2">
        <f>'Costos Mat. Prima'!B6</f>
        <v>920175.76274031808</v>
      </c>
      <c r="E24" s="101"/>
      <c r="F24" s="310"/>
      <c r="G24" s="5">
        <f>'Costos Mat. Prima'!C5</f>
        <v>10612.860234171623</v>
      </c>
      <c r="H24" s="28"/>
      <c r="I24" s="5">
        <f>'Costos Mat. Prima'!C6</f>
        <v>12960.222010427015</v>
      </c>
      <c r="J24" s="279"/>
    </row>
    <row r="25" spans="1:10" ht="17.25" customHeight="1">
      <c r="A25" t="s">
        <v>112</v>
      </c>
      <c r="B25" s="16">
        <f>B23/B24</f>
        <v>1.3043478260869562E-3</v>
      </c>
      <c r="D25" s="16">
        <f>D23/D24</f>
        <v>1.408450704225352E-3</v>
      </c>
      <c r="E25" s="101"/>
      <c r="F25" s="311"/>
      <c r="G25" s="28">
        <f>G23/G24</f>
        <v>0.14999999999999997</v>
      </c>
      <c r="H25" s="28"/>
      <c r="I25" s="28">
        <f>I23/I24</f>
        <v>0.1</v>
      </c>
      <c r="J25" s="279"/>
    </row>
    <row r="26" spans="1:10" ht="17.25" customHeight="1">
      <c r="B26" s="2"/>
      <c r="D26" s="101"/>
      <c r="E26" s="101"/>
      <c r="F26" s="278"/>
      <c r="G26" s="122"/>
      <c r="H26" s="122"/>
      <c r="I26" s="122"/>
      <c r="J26" s="279"/>
    </row>
    <row r="27" spans="1:10">
      <c r="F27" s="278"/>
      <c r="G27" s="122"/>
      <c r="H27" s="122"/>
      <c r="I27" s="122"/>
      <c r="J27" s="279"/>
    </row>
    <row r="28" spans="1:10">
      <c r="A28" s="12" t="s">
        <v>101</v>
      </c>
      <c r="B28" s="77">
        <f>'Costos Mat. Prima'!E17</f>
        <v>955.157421075446</v>
      </c>
      <c r="D28" s="77">
        <f>'Costos Mat. Prima'!E16</f>
        <v>777.61332062562087</v>
      </c>
      <c r="F28" s="309" t="s">
        <v>248</v>
      </c>
      <c r="G28" s="5">
        <f>'Costos Mat. Prima'!E16</f>
        <v>777.61332062562087</v>
      </c>
      <c r="H28" s="5"/>
      <c r="I28" s="5">
        <f>'Costos Mat. Prima'!E17</f>
        <v>955.157421075446</v>
      </c>
      <c r="J28" s="279"/>
    </row>
    <row r="29" spans="1:10">
      <c r="A29" t="s">
        <v>28</v>
      </c>
      <c r="B29" s="2">
        <f>'Costos Mat. Prima'!B5</f>
        <v>1220478.9269297367</v>
      </c>
      <c r="D29" s="2">
        <f>'Costos Mat. Prima'!B6</f>
        <v>920175.76274031808</v>
      </c>
      <c r="F29" s="310"/>
      <c r="G29" s="5">
        <f>G24</f>
        <v>10612.860234171623</v>
      </c>
      <c r="H29" s="5"/>
      <c r="I29" s="5">
        <f>I24</f>
        <v>12960.222010427015</v>
      </c>
      <c r="J29" s="279"/>
    </row>
    <row r="30" spans="1:10" ht="15.75" thickBot="1">
      <c r="A30" t="s">
        <v>112</v>
      </c>
      <c r="B30" s="16">
        <f>B28/B29</f>
        <v>7.8260869565217374E-4</v>
      </c>
      <c r="D30" s="16">
        <f>D28/D29</f>
        <v>8.450704225352112E-4</v>
      </c>
      <c r="F30" s="312"/>
      <c r="G30" s="281">
        <f>G28/G29</f>
        <v>7.3270852858481728E-2</v>
      </c>
      <c r="H30" s="281"/>
      <c r="I30" s="281">
        <f>I28/I29</f>
        <v>7.3699155794320792E-2</v>
      </c>
      <c r="J30" s="282"/>
    </row>
    <row r="32" spans="1:10">
      <c r="G32" s="45"/>
      <c r="I32" s="45"/>
    </row>
    <row r="33" spans="1:9">
      <c r="G33" s="45"/>
      <c r="I33" s="45"/>
    </row>
    <row r="34" spans="1:9">
      <c r="A34" s="12"/>
      <c r="B34" s="76"/>
      <c r="G34" s="45"/>
      <c r="I34" s="45"/>
    </row>
    <row r="35" spans="1:9" hidden="1">
      <c r="A35" s="305" t="s">
        <v>95</v>
      </c>
      <c r="B35" s="305"/>
      <c r="C35" s="305"/>
      <c r="D35" s="83"/>
    </row>
    <row r="36" spans="1:9" hidden="1">
      <c r="A36" s="303" t="s">
        <v>107</v>
      </c>
      <c r="B36" s="303"/>
      <c r="C36" s="303"/>
      <c r="D36" s="26"/>
    </row>
    <row r="37" spans="1:9" hidden="1">
      <c r="B37" s="14" t="s">
        <v>52</v>
      </c>
    </row>
    <row r="38" spans="1:9" hidden="1">
      <c r="A38" t="s">
        <v>99</v>
      </c>
      <c r="B38" s="78">
        <f>B25</f>
        <v>1.3043478260869562E-3</v>
      </c>
    </row>
    <row r="39" spans="1:9" hidden="1">
      <c r="A39" t="s">
        <v>65</v>
      </c>
      <c r="B39" s="78">
        <f>B19</f>
        <v>4.0472915834177436E-4</v>
      </c>
    </row>
    <row r="40" spans="1:9" hidden="1">
      <c r="A40" t="s">
        <v>100</v>
      </c>
      <c r="B40" s="78">
        <f>B19</f>
        <v>4.0472915834177436E-4</v>
      </c>
    </row>
    <row r="41" spans="1:9" hidden="1">
      <c r="A41" t="s">
        <v>66</v>
      </c>
      <c r="B41" s="78">
        <f>B15</f>
        <v>9.3429361103927776E-4</v>
      </c>
    </row>
    <row r="42" spans="1:9" hidden="1">
      <c r="A42" t="s">
        <v>101</v>
      </c>
      <c r="B42" s="78">
        <f>B30</f>
        <v>7.8260869565217374E-4</v>
      </c>
    </row>
    <row r="43" spans="1:9" hidden="1">
      <c r="A43" t="s">
        <v>108</v>
      </c>
      <c r="B43" s="78">
        <f>B7</f>
        <v>7.8480663327299338E-4</v>
      </c>
    </row>
    <row r="44" spans="1:9" hidden="1">
      <c r="A44" s="12" t="s">
        <v>151</v>
      </c>
      <c r="B44" s="79">
        <f>SUM(B38:B43)</f>
        <v>4.6155150827349497E-3</v>
      </c>
    </row>
    <row r="45" spans="1:9" hidden="1">
      <c r="A45" s="12" t="s">
        <v>152</v>
      </c>
      <c r="B45" s="79">
        <f>B44*115</f>
        <v>0.53078423451451917</v>
      </c>
    </row>
    <row r="46" spans="1:9" hidden="1"/>
    <row r="47" spans="1:9" hidden="1">
      <c r="A47" t="s">
        <v>102</v>
      </c>
      <c r="B47" s="16">
        <v>0.05</v>
      </c>
    </row>
    <row r="48" spans="1:9" hidden="1">
      <c r="A48" t="s">
        <v>103</v>
      </c>
      <c r="B48" s="16">
        <v>0.01</v>
      </c>
    </row>
    <row r="49" spans="1:4" hidden="1">
      <c r="A49" s="80" t="s">
        <v>150</v>
      </c>
      <c r="B49" s="81">
        <f>B45+B47+B48</f>
        <v>0.59078423451451922</v>
      </c>
    </row>
    <row r="50" spans="1:4" hidden="1">
      <c r="C50" s="104"/>
    </row>
    <row r="51" spans="1:4" hidden="1"/>
    <row r="52" spans="1:4" hidden="1"/>
    <row r="53" spans="1:4" hidden="1">
      <c r="A53" s="305" t="s">
        <v>111</v>
      </c>
      <c r="B53" s="305"/>
      <c r="C53" s="305"/>
      <c r="D53" s="83"/>
    </row>
    <row r="54" spans="1:4" hidden="1">
      <c r="A54" s="303" t="s">
        <v>107</v>
      </c>
      <c r="B54" s="303"/>
      <c r="C54" s="303"/>
      <c r="D54" s="26"/>
    </row>
    <row r="55" spans="1:4" hidden="1">
      <c r="B55" s="14" t="s">
        <v>104</v>
      </c>
      <c r="C55" s="14" t="s">
        <v>52</v>
      </c>
    </row>
    <row r="56" spans="1:4" hidden="1">
      <c r="A56" t="s">
        <v>99</v>
      </c>
      <c r="B56" s="306">
        <f>'Costos Mat. Prima'!B6</f>
        <v>920175.76274031808</v>
      </c>
      <c r="C56" s="78">
        <f>B25</f>
        <v>1.3043478260869562E-3</v>
      </c>
    </row>
    <row r="57" spans="1:4" hidden="1">
      <c r="A57" t="s">
        <v>65</v>
      </c>
      <c r="B57" s="306"/>
      <c r="C57" s="78">
        <f>G11</f>
        <v>6.3631899487547883E-2</v>
      </c>
    </row>
    <row r="58" spans="1:4" hidden="1">
      <c r="A58" t="s">
        <v>100</v>
      </c>
      <c r="B58" s="306"/>
      <c r="C58" s="78">
        <f>B19</f>
        <v>4.0472915834177436E-4</v>
      </c>
    </row>
    <row r="59" spans="1:4" hidden="1">
      <c r="A59" t="s">
        <v>66</v>
      </c>
      <c r="B59" s="306"/>
      <c r="C59" s="78">
        <f>G15</f>
        <v>8.4842532650063834E-2</v>
      </c>
    </row>
    <row r="60" spans="1:4" hidden="1">
      <c r="A60" t="s">
        <v>101</v>
      </c>
      <c r="B60" s="306"/>
      <c r="C60" s="78">
        <f>B30</f>
        <v>7.8260869565217374E-4</v>
      </c>
    </row>
    <row r="61" spans="1:4" hidden="1">
      <c r="A61" t="s">
        <v>108</v>
      </c>
      <c r="B61" s="306"/>
      <c r="C61" s="78">
        <f>E7</f>
        <v>0</v>
      </c>
    </row>
    <row r="62" spans="1:4" hidden="1">
      <c r="C62" s="79">
        <f>SUM(C56:C61)</f>
        <v>0.15096611781769262</v>
      </c>
    </row>
    <row r="63" spans="1:4" hidden="1"/>
    <row r="64" spans="1:4" hidden="1">
      <c r="A64" t="s">
        <v>102</v>
      </c>
      <c r="C64" s="16">
        <v>0.03</v>
      </c>
    </row>
    <row r="65" spans="1:6" hidden="1">
      <c r="A65" t="s">
        <v>103</v>
      </c>
      <c r="C65" s="16">
        <v>0.01</v>
      </c>
    </row>
    <row r="66" spans="1:6" hidden="1">
      <c r="A66" s="80" t="s">
        <v>110</v>
      </c>
      <c r="B66" s="22"/>
      <c r="C66" s="81">
        <f>C62+C64+C65</f>
        <v>0.19096611781769263</v>
      </c>
    </row>
    <row r="67" spans="1:6" hidden="1"/>
    <row r="68" spans="1:6" hidden="1"/>
    <row r="74" spans="1:6">
      <c r="E74" s="307" t="s">
        <v>148</v>
      </c>
      <c r="F74" s="308"/>
    </row>
    <row r="75" spans="1:6">
      <c r="E75" s="42" t="s">
        <v>108</v>
      </c>
      <c r="F75" s="222">
        <f>G7</f>
        <v>7.1267727426053626E-2</v>
      </c>
    </row>
    <row r="76" spans="1:6">
      <c r="E76" s="42" t="s">
        <v>65</v>
      </c>
      <c r="F76" s="222">
        <f>G11</f>
        <v>6.3631899487547883E-2</v>
      </c>
    </row>
    <row r="77" spans="1:6">
      <c r="E77" s="42" t="s">
        <v>66</v>
      </c>
      <c r="F77" s="222">
        <f>G15</f>
        <v>8.4842532650063834E-2</v>
      </c>
    </row>
    <row r="78" spans="1:6">
      <c r="E78" s="42" t="s">
        <v>100</v>
      </c>
      <c r="F78" s="222">
        <f>G19</f>
        <v>3.6753164556962023E-2</v>
      </c>
    </row>
    <row r="79" spans="1:6">
      <c r="E79" s="42" t="s">
        <v>99</v>
      </c>
      <c r="F79" s="222">
        <f>G25</f>
        <v>0.14999999999999997</v>
      </c>
    </row>
    <row r="80" spans="1:6">
      <c r="E80" s="28" t="s">
        <v>254</v>
      </c>
      <c r="F80" s="222">
        <f>G30</f>
        <v>7.3270852858481728E-2</v>
      </c>
    </row>
    <row r="81" spans="5:10">
      <c r="E81" s="42" t="s">
        <v>102</v>
      </c>
      <c r="F81" s="222">
        <v>0.05</v>
      </c>
    </row>
    <row r="82" spans="5:10">
      <c r="E82" s="42" t="s">
        <v>103</v>
      </c>
      <c r="F82" s="222">
        <v>0.01</v>
      </c>
    </row>
    <row r="83" spans="5:10">
      <c r="E83" s="213" t="s">
        <v>63</v>
      </c>
      <c r="F83" s="228">
        <f>SUM(F75:F82)</f>
        <v>0.53976617697910911</v>
      </c>
    </row>
    <row r="84" spans="5:10" ht="15.75" thickBot="1">
      <c r="H84" s="303" t="s">
        <v>253</v>
      </c>
      <c r="I84" s="303"/>
      <c r="J84" s="303"/>
    </row>
    <row r="85" spans="5:10" ht="15.75" thickBot="1">
      <c r="H85" s="271">
        <f>F83+F95</f>
        <v>1.0199606568940571</v>
      </c>
    </row>
    <row r="86" spans="5:10">
      <c r="E86" s="307" t="s">
        <v>149</v>
      </c>
      <c r="F86" s="308"/>
    </row>
    <row r="87" spans="5:10">
      <c r="E87" s="42" t="s">
        <v>108</v>
      </c>
      <c r="F87" s="222">
        <f>G7</f>
        <v>7.1267727426053626E-2</v>
      </c>
    </row>
    <row r="88" spans="5:10">
      <c r="E88" s="42" t="s">
        <v>65</v>
      </c>
      <c r="F88" s="222">
        <f>G11</f>
        <v>6.3631899487547883E-2</v>
      </c>
    </row>
    <row r="89" spans="5:10">
      <c r="E89" s="42" t="s">
        <v>66</v>
      </c>
      <c r="F89" s="222">
        <f>G15</f>
        <v>8.4842532650063834E-2</v>
      </c>
    </row>
    <row r="90" spans="5:10">
      <c r="E90" s="42" t="s">
        <v>100</v>
      </c>
      <c r="F90" s="222">
        <f>G19</f>
        <v>3.6753164556962023E-2</v>
      </c>
    </row>
    <row r="91" spans="5:10">
      <c r="E91" s="42" t="s">
        <v>99</v>
      </c>
      <c r="F91" s="222">
        <f>I25</f>
        <v>0.1</v>
      </c>
    </row>
    <row r="92" spans="5:10">
      <c r="E92" s="28" t="s">
        <v>254</v>
      </c>
      <c r="F92" s="222">
        <f>I30</f>
        <v>7.3699155794320792E-2</v>
      </c>
    </row>
    <row r="93" spans="5:10">
      <c r="E93" s="42" t="s">
        <v>102</v>
      </c>
      <c r="F93" s="222">
        <v>0.04</v>
      </c>
    </row>
    <row r="94" spans="5:10">
      <c r="E94" s="42" t="s">
        <v>103</v>
      </c>
      <c r="F94" s="222">
        <v>0.01</v>
      </c>
    </row>
    <row r="95" spans="5:10">
      <c r="E95" s="213" t="s">
        <v>63</v>
      </c>
      <c r="F95" s="228">
        <f>SUM(F87:F94)</f>
        <v>0.48019447991494812</v>
      </c>
    </row>
  </sheetData>
  <mergeCells count="13">
    <mergeCell ref="E86:F86"/>
    <mergeCell ref="E74:F74"/>
    <mergeCell ref="F9:F11"/>
    <mergeCell ref="F13:F15"/>
    <mergeCell ref="F17:F19"/>
    <mergeCell ref="F22:F25"/>
    <mergeCell ref="F28:F30"/>
    <mergeCell ref="H84:J84"/>
    <mergeCell ref="B56:B61"/>
    <mergeCell ref="A36:C36"/>
    <mergeCell ref="A35:C35"/>
    <mergeCell ref="A54:C54"/>
    <mergeCell ref="A53:C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1:G32"/>
  <sheetViews>
    <sheetView showGridLines="0" workbookViewId="0">
      <selection activeCell="B4" sqref="B4"/>
    </sheetView>
  </sheetViews>
  <sheetFormatPr baseColWidth="10" defaultRowHeight="15"/>
  <cols>
    <col min="1" max="1" width="15" bestFit="1" customWidth="1"/>
  </cols>
  <sheetData>
    <row r="1" spans="1:7">
      <c r="A1" s="213" t="s">
        <v>154</v>
      </c>
      <c r="B1" s="28"/>
    </row>
    <row r="2" spans="1:7">
      <c r="A2" s="28" t="s">
        <v>155</v>
      </c>
      <c r="B2" s="28"/>
    </row>
    <row r="3" spans="1:7">
      <c r="A3" s="28" t="s">
        <v>98</v>
      </c>
      <c r="B3" s="229">
        <f>B14/CostoProduccion!$F$83-1</f>
        <v>0.27462599426015566</v>
      </c>
    </row>
    <row r="4" spans="1:7">
      <c r="A4" s="28" t="s">
        <v>105</v>
      </c>
      <c r="B4" s="229">
        <f>B15/CostoProduccion!$F$95-1</f>
        <v>0.25365872616158769</v>
      </c>
    </row>
    <row r="5" spans="1:7">
      <c r="A5" s="314"/>
      <c r="B5" s="315"/>
    </row>
    <row r="6" spans="1:7">
      <c r="A6" s="28" t="s">
        <v>156</v>
      </c>
      <c r="B6" s="28"/>
    </row>
    <row r="7" spans="1:7">
      <c r="A7" s="28" t="s">
        <v>98</v>
      </c>
      <c r="B7" s="229">
        <f>B19/CostoProduccion!$F$83-1</f>
        <v>0.25980476176875844</v>
      </c>
    </row>
    <row r="8" spans="1:7">
      <c r="A8" s="28" t="s">
        <v>105</v>
      </c>
      <c r="B8" s="229">
        <f>B20/CostoProduccion!$F$95-1</f>
        <v>0.2390812991131972</v>
      </c>
    </row>
    <row r="11" spans="1:7">
      <c r="A11" s="303" t="s">
        <v>114</v>
      </c>
      <c r="B11" s="303"/>
      <c r="F11" s="313" t="s">
        <v>118</v>
      </c>
      <c r="G11" s="313"/>
    </row>
    <row r="12" spans="1:7">
      <c r="A12" s="14"/>
      <c r="B12" s="14"/>
      <c r="C12" s="218" t="s">
        <v>119</v>
      </c>
      <c r="F12" s="28" t="s">
        <v>98</v>
      </c>
      <c r="G12" s="28">
        <v>0.8</v>
      </c>
    </row>
    <row r="13" spans="1:7">
      <c r="A13" s="213" t="s">
        <v>115</v>
      </c>
      <c r="B13" s="230"/>
      <c r="C13" s="232">
        <v>0.14000000000000001</v>
      </c>
      <c r="F13" s="28" t="s">
        <v>105</v>
      </c>
      <c r="G13" s="28">
        <v>0.7</v>
      </c>
    </row>
    <row r="14" spans="1:7">
      <c r="A14" s="28" t="s">
        <v>98</v>
      </c>
      <c r="B14" s="231">
        <f>((G12*(1-$C$13)))*(1+$B$30)</f>
        <v>0.68800000000000006</v>
      </c>
      <c r="F14" s="270"/>
      <c r="G14" s="122"/>
    </row>
    <row r="15" spans="1:7">
      <c r="A15" s="28" t="s">
        <v>105</v>
      </c>
      <c r="B15" s="231">
        <f>((G13*(1-$C$13)))*(1+$B$30)</f>
        <v>0.60199999999999998</v>
      </c>
    </row>
    <row r="18" spans="1:2">
      <c r="A18" s="316" t="s">
        <v>156</v>
      </c>
      <c r="B18" s="317"/>
    </row>
    <row r="19" spans="1:2">
      <c r="A19" s="28" t="s">
        <v>98</v>
      </c>
      <c r="B19" s="28">
        <f>(G12*(1-($B$25)))*(1+B30)</f>
        <v>0.68</v>
      </c>
    </row>
    <row r="20" spans="1:2">
      <c r="A20" s="28" t="s">
        <v>105</v>
      </c>
      <c r="B20" s="231">
        <f>(G13*(1-($B$25)))*(1+B30)</f>
        <v>0.59499999999999997</v>
      </c>
    </row>
    <row r="23" spans="1:2">
      <c r="A23" s="213" t="s">
        <v>120</v>
      </c>
      <c r="B23" s="28"/>
    </row>
    <row r="24" spans="1:2">
      <c r="A24" s="28" t="s">
        <v>116</v>
      </c>
      <c r="B24" s="130">
        <v>0.2</v>
      </c>
    </row>
    <row r="25" spans="1:2">
      <c r="A25" s="28" t="s">
        <v>117</v>
      </c>
      <c r="B25" s="130">
        <v>0.15</v>
      </c>
    </row>
    <row r="29" spans="1:2">
      <c r="A29" s="313" t="s">
        <v>232</v>
      </c>
      <c r="B29" s="313"/>
    </row>
    <row r="30" spans="1:2">
      <c r="A30" s="28" t="s">
        <v>146</v>
      </c>
      <c r="B30" s="130">
        <v>0</v>
      </c>
    </row>
    <row r="31" spans="1:2">
      <c r="A31" s="28" t="s">
        <v>233</v>
      </c>
      <c r="B31" s="130">
        <v>0</v>
      </c>
    </row>
    <row r="32" spans="1:2">
      <c r="A32" s="28" t="s">
        <v>234</v>
      </c>
      <c r="B32" s="130">
        <v>0</v>
      </c>
    </row>
  </sheetData>
  <mergeCells count="5">
    <mergeCell ref="A11:B11"/>
    <mergeCell ref="F11:G11"/>
    <mergeCell ref="A29:B29"/>
    <mergeCell ref="A5:B5"/>
    <mergeCell ref="A18:B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1:O52"/>
  <sheetViews>
    <sheetView showGridLines="0" workbookViewId="0"/>
  </sheetViews>
  <sheetFormatPr baseColWidth="10" defaultRowHeight="15"/>
  <cols>
    <col min="1" max="1" width="32.42578125" bestFit="1" customWidth="1"/>
    <col min="2" max="2" width="11" customWidth="1"/>
  </cols>
  <sheetData>
    <row r="1" spans="1:14" ht="15.75" thickBot="1">
      <c r="A1" s="71" t="s">
        <v>89</v>
      </c>
      <c r="B1" s="52" t="s">
        <v>94</v>
      </c>
      <c r="C1" s="52" t="s">
        <v>74</v>
      </c>
      <c r="D1" s="53" t="s">
        <v>75</v>
      </c>
      <c r="E1" s="52" t="s">
        <v>76</v>
      </c>
      <c r="F1" s="53" t="s">
        <v>77</v>
      </c>
      <c r="G1" s="52" t="s">
        <v>78</v>
      </c>
      <c r="H1" s="53" t="s">
        <v>79</v>
      </c>
      <c r="I1" s="52" t="s">
        <v>80</v>
      </c>
      <c r="J1" s="53" t="s">
        <v>81</v>
      </c>
      <c r="K1" s="52" t="s">
        <v>82</v>
      </c>
      <c r="L1" s="53" t="s">
        <v>83</v>
      </c>
      <c r="M1" s="52" t="s">
        <v>84</v>
      </c>
      <c r="N1" s="54" t="s">
        <v>85</v>
      </c>
    </row>
    <row r="2" spans="1:14">
      <c r="A2" s="72" t="s">
        <v>115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>
      <c r="A3" s="89" t="s">
        <v>96</v>
      </c>
      <c r="B3" s="89"/>
      <c r="C3" s="90">
        <f>Comercializacion!B10*Precios!$B$14</f>
        <v>3322.2497677050851</v>
      </c>
      <c r="D3" s="90">
        <f>Comercializacion!C10*Precios!$B$14</f>
        <v>3322.2497677050851</v>
      </c>
      <c r="E3" s="90">
        <f>Comercializacion!D10*Precios!$B$14</f>
        <v>3322.2497677050851</v>
      </c>
      <c r="F3" s="90">
        <f>Comercializacion!E10*Precios!$B$14</f>
        <v>3833.3651165827905</v>
      </c>
      <c r="G3" s="90">
        <f>Comercializacion!F10*Precios!$B$14</f>
        <v>3833.3651165827905</v>
      </c>
      <c r="H3" s="90">
        <f>Comercializacion!G10*Precios!$B$14</f>
        <v>3833.3651165827905</v>
      </c>
      <c r="I3" s="90">
        <f>Comercializacion!H10*Precios!$B$14</f>
        <v>4344.480465460495</v>
      </c>
      <c r="J3" s="90">
        <f>Comercializacion!I10*Precios!$B$14</f>
        <v>4344.480465460495</v>
      </c>
      <c r="K3" s="90">
        <f>Comercializacion!J10*Precios!$B$14</f>
        <v>4344.480465460495</v>
      </c>
      <c r="L3" s="90">
        <f>Comercializacion!K10*Precios!$B$14</f>
        <v>4600.0381398993486</v>
      </c>
      <c r="M3" s="90">
        <f>Comercializacion!L10*Precios!$B$14</f>
        <v>4855.5958143382013</v>
      </c>
      <c r="N3" s="90">
        <f>Comercializacion!M10*Precios!$B$14</f>
        <v>5111.153488777054</v>
      </c>
    </row>
    <row r="4" spans="1:14">
      <c r="A4" s="89" t="s">
        <v>97</v>
      </c>
      <c r="B4" s="89"/>
      <c r="C4" s="90">
        <f>Comercializacion!B5*Precios!$B$15</f>
        <v>5071.3348726800905</v>
      </c>
      <c r="D4" s="90">
        <f>Comercializacion!C5*Precios!$B$15</f>
        <v>5071.3348726800905</v>
      </c>
      <c r="E4" s="90">
        <f>Comercializacion!D5*Precios!$B$15</f>
        <v>5071.3348726800905</v>
      </c>
      <c r="F4" s="90">
        <f>Comercializacion!E5*Precios!$B$15</f>
        <v>5851.5402377077962</v>
      </c>
      <c r="G4" s="90">
        <f>Comercializacion!F5*Precios!$B$15</f>
        <v>5851.5402377077962</v>
      </c>
      <c r="H4" s="90">
        <f>Comercializacion!G5*Precios!$B$15</f>
        <v>5851.5402377077962</v>
      </c>
      <c r="I4" s="90">
        <f>Comercializacion!H5*Precios!$B$15</f>
        <v>6631.7456027355038</v>
      </c>
      <c r="J4" s="90">
        <f>Comercializacion!I5*Precios!$B$15</f>
        <v>6631.7456027355038</v>
      </c>
      <c r="K4" s="90">
        <f>Comercializacion!J5*Precios!$B$15</f>
        <v>6631.7456027355038</v>
      </c>
      <c r="L4" s="90">
        <f>Comercializacion!K5*Precios!$B$15</f>
        <v>7021.8482852493571</v>
      </c>
      <c r="M4" s="90">
        <f>Comercializacion!L5*Precios!$B$15</f>
        <v>7411.9509677632095</v>
      </c>
      <c r="N4" s="90">
        <f>Comercializacion!M5*Precios!$B$15</f>
        <v>7802.0536502770628</v>
      </c>
    </row>
    <row r="5" spans="1:14">
      <c r="A5" s="72" t="s">
        <v>156</v>
      </c>
      <c r="B5" s="74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>
      <c r="A6" s="89" t="s">
        <v>96</v>
      </c>
      <c r="B6" s="89"/>
      <c r="C6" s="90">
        <f>Precios!$B$19*Comercializacion!B13</f>
        <v>1407.2652670511575</v>
      </c>
      <c r="D6" s="90">
        <f>Precios!$B$19*Comercializacion!C13</f>
        <v>1407.2652670511575</v>
      </c>
      <c r="E6" s="90">
        <f>Precios!$B$19*Comercializacion!D13</f>
        <v>1407.2652670511575</v>
      </c>
      <c r="F6" s="90">
        <f>Precios!$B$19*Comercializacion!E13</f>
        <v>1623.7676158282582</v>
      </c>
      <c r="G6" s="90">
        <f>Precios!$B$19*Comercializacion!F13</f>
        <v>1623.7676158282582</v>
      </c>
      <c r="H6" s="90">
        <f>Precios!$B$19*Comercializacion!G13</f>
        <v>1623.7676158282582</v>
      </c>
      <c r="I6" s="90">
        <f>Precios!$B$19*Comercializacion!H13</f>
        <v>1840.2699646053595</v>
      </c>
      <c r="J6" s="90">
        <f>Precios!$B$19*Comercializacion!I13</f>
        <v>1840.2699646053595</v>
      </c>
      <c r="K6" s="90">
        <f>Precios!$B$19*Comercializacion!J13</f>
        <v>1840.2699646053595</v>
      </c>
      <c r="L6" s="90">
        <f>Precios!$B$19*Comercializacion!K13</f>
        <v>1948.5211389939102</v>
      </c>
      <c r="M6" s="90">
        <f>Precios!$B$19*Comercializacion!L13</f>
        <v>2056.7723133824607</v>
      </c>
      <c r="N6" s="90">
        <f>Precios!$B$19*Comercializacion!M13</f>
        <v>2165.0234877710113</v>
      </c>
    </row>
    <row r="7" spans="1:14" ht="15.75" thickBot="1">
      <c r="A7" s="91" t="s">
        <v>97</v>
      </c>
      <c r="B7" s="91"/>
      <c r="C7" s="92">
        <f>Comercializacion!B14*Precios!$B$20</f>
        <v>1503.7097587597943</v>
      </c>
      <c r="D7" s="92">
        <f>Comercializacion!C14*Precios!$B$20</f>
        <v>1503.7097587597943</v>
      </c>
      <c r="E7" s="92">
        <f>Comercializacion!D14*Precios!$B$20</f>
        <v>1503.7097587597943</v>
      </c>
      <c r="F7" s="92">
        <f>Comercializacion!E14*Precios!$B$20</f>
        <v>1735.0497216459164</v>
      </c>
      <c r="G7" s="92">
        <f>Comercializacion!F14*Precios!$B$20</f>
        <v>1735.0497216459164</v>
      </c>
      <c r="H7" s="92">
        <f>Comercializacion!G14*Precios!$B$20</f>
        <v>1735.0497216459164</v>
      </c>
      <c r="I7" s="92">
        <f>Comercializacion!H14*Precios!$B$20</f>
        <v>1966.3896845320389</v>
      </c>
      <c r="J7" s="92">
        <f>Comercializacion!I14*Precios!$B$20</f>
        <v>1966.3896845320389</v>
      </c>
      <c r="K7" s="92">
        <f>Comercializacion!J14*Precios!$B$20</f>
        <v>1966.3896845320389</v>
      </c>
      <c r="L7" s="92">
        <f>Comercializacion!K14*Precios!$B$20</f>
        <v>2082.0596659751</v>
      </c>
      <c r="M7" s="92">
        <f>Comercializacion!L14*Precios!$B$20</f>
        <v>2197.7296474181608</v>
      </c>
      <c r="N7" s="92">
        <f>Comercializacion!M14*Precios!$B$20</f>
        <v>2313.399628861222</v>
      </c>
    </row>
    <row r="8" spans="1:14" ht="15.75" thickBot="1">
      <c r="A8" s="71" t="s">
        <v>93</v>
      </c>
      <c r="B8" s="51"/>
      <c r="C8" s="107">
        <f>SUM(C3:C7)</f>
        <v>11304.559666196128</v>
      </c>
      <c r="D8" s="107">
        <f t="shared" ref="D8:N8" si="0">SUM(D3:D7)</f>
        <v>11304.559666196128</v>
      </c>
      <c r="E8" s="107">
        <f t="shared" si="0"/>
        <v>11304.559666196128</v>
      </c>
      <c r="F8" s="107">
        <f t="shared" si="0"/>
        <v>13043.72269176476</v>
      </c>
      <c r="G8" s="107">
        <f t="shared" si="0"/>
        <v>13043.72269176476</v>
      </c>
      <c r="H8" s="107">
        <f t="shared" si="0"/>
        <v>13043.72269176476</v>
      </c>
      <c r="I8" s="107">
        <f t="shared" si="0"/>
        <v>14782.885717333398</v>
      </c>
      <c r="J8" s="107">
        <f t="shared" si="0"/>
        <v>14782.885717333398</v>
      </c>
      <c r="K8" s="107">
        <f t="shared" si="0"/>
        <v>14782.885717333398</v>
      </c>
      <c r="L8" s="107">
        <f t="shared" si="0"/>
        <v>15652.467230117716</v>
      </c>
      <c r="M8" s="107">
        <f t="shared" si="0"/>
        <v>16522.048742902032</v>
      </c>
      <c r="N8" s="108">
        <f t="shared" si="0"/>
        <v>17391.630255686352</v>
      </c>
    </row>
    <row r="10" spans="1:14" ht="15.75" thickBot="1"/>
    <row r="11" spans="1:14" ht="15.75" thickBot="1">
      <c r="A11" s="123" t="s">
        <v>73</v>
      </c>
      <c r="B11" s="52" t="s">
        <v>94</v>
      </c>
      <c r="C11" s="52" t="s">
        <v>74</v>
      </c>
      <c r="D11" s="53" t="s">
        <v>75</v>
      </c>
      <c r="E11" s="52" t="s">
        <v>76</v>
      </c>
      <c r="F11" s="53" t="s">
        <v>77</v>
      </c>
      <c r="G11" s="52" t="s">
        <v>78</v>
      </c>
      <c r="H11" s="53" t="s">
        <v>79</v>
      </c>
      <c r="I11" s="52" t="s">
        <v>80</v>
      </c>
      <c r="J11" s="53" t="s">
        <v>81</v>
      </c>
      <c r="K11" s="52" t="s">
        <v>82</v>
      </c>
      <c r="L11" s="53" t="s">
        <v>83</v>
      </c>
      <c r="M11" s="52" t="s">
        <v>84</v>
      </c>
      <c r="N11" s="54" t="s">
        <v>85</v>
      </c>
    </row>
    <row r="12" spans="1:14">
      <c r="A12" s="124" t="s">
        <v>86</v>
      </c>
      <c r="B12" s="72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4">
      <c r="A13" s="111" t="s">
        <v>0</v>
      </c>
      <c r="B13" s="55"/>
      <c r="C13" s="55">
        <f>Gastos!$D4</f>
        <v>850</v>
      </c>
      <c r="D13" s="55">
        <f>Gastos!$D4</f>
        <v>850</v>
      </c>
      <c r="E13" s="55">
        <f>Gastos!$D4</f>
        <v>850</v>
      </c>
      <c r="F13" s="55">
        <f>Gastos!$D4</f>
        <v>850</v>
      </c>
      <c r="G13" s="55">
        <f>Gastos!$D4</f>
        <v>850</v>
      </c>
      <c r="H13" s="55">
        <f>Gastos!$D4</f>
        <v>850</v>
      </c>
      <c r="I13" s="55">
        <f>Gastos!$D4</f>
        <v>850</v>
      </c>
      <c r="J13" s="55">
        <f>Gastos!$D4</f>
        <v>850</v>
      </c>
      <c r="K13" s="55">
        <f>Gastos!$D4</f>
        <v>850</v>
      </c>
      <c r="L13" s="55">
        <f>Gastos!$D4</f>
        <v>850</v>
      </c>
      <c r="M13" s="55">
        <f>Gastos!$D4</f>
        <v>850</v>
      </c>
      <c r="N13" s="55">
        <f>Gastos!$D4</f>
        <v>850</v>
      </c>
    </row>
    <row r="14" spans="1:14">
      <c r="A14" s="112" t="s">
        <v>4</v>
      </c>
      <c r="B14" s="55"/>
      <c r="C14" s="55">
        <f>Gastos!$D5</f>
        <v>550</v>
      </c>
      <c r="D14" s="55">
        <f>Gastos!$D5</f>
        <v>550</v>
      </c>
      <c r="E14" s="55">
        <f>Gastos!$D5</f>
        <v>550</v>
      </c>
      <c r="F14" s="55">
        <f>Gastos!$D5</f>
        <v>550</v>
      </c>
      <c r="G14" s="55">
        <f>Gastos!$D5</f>
        <v>550</v>
      </c>
      <c r="H14" s="55">
        <f>Gastos!$D5</f>
        <v>550</v>
      </c>
      <c r="I14" s="55">
        <f>Gastos!$D5</f>
        <v>550</v>
      </c>
      <c r="J14" s="55">
        <f>Gastos!$D5</f>
        <v>550</v>
      </c>
      <c r="K14" s="55">
        <f>Gastos!$D5</f>
        <v>550</v>
      </c>
      <c r="L14" s="55">
        <f>Gastos!$D5</f>
        <v>550</v>
      </c>
      <c r="M14" s="55">
        <f>Gastos!$D5</f>
        <v>550</v>
      </c>
      <c r="N14" s="55">
        <f>Gastos!$D5</f>
        <v>550</v>
      </c>
    </row>
    <row r="15" spans="1:14">
      <c r="A15" s="112" t="s">
        <v>1</v>
      </c>
      <c r="B15" s="55"/>
      <c r="C15" s="55">
        <f>Gastos!$D6</f>
        <v>700</v>
      </c>
      <c r="D15" s="55">
        <f>Gastos!$D6</f>
        <v>700</v>
      </c>
      <c r="E15" s="55">
        <f>Gastos!$D6</f>
        <v>700</v>
      </c>
      <c r="F15" s="55">
        <f>Gastos!$D6</f>
        <v>700</v>
      </c>
      <c r="G15" s="55">
        <f>Gastos!$D6</f>
        <v>700</v>
      </c>
      <c r="H15" s="55">
        <f>Gastos!$D6</f>
        <v>700</v>
      </c>
      <c r="I15" s="55">
        <f>Gastos!$D6</f>
        <v>700</v>
      </c>
      <c r="J15" s="55">
        <f>Gastos!$D6</f>
        <v>700</v>
      </c>
      <c r="K15" s="55">
        <f>Gastos!$D6</f>
        <v>700</v>
      </c>
      <c r="L15" s="55">
        <f>Gastos!$D6</f>
        <v>700</v>
      </c>
      <c r="M15" s="55">
        <f>Gastos!$D6</f>
        <v>700</v>
      </c>
      <c r="N15" s="55">
        <f>Gastos!$D6</f>
        <v>700</v>
      </c>
    </row>
    <row r="16" spans="1:14">
      <c r="A16" s="112" t="s">
        <v>10</v>
      </c>
      <c r="B16" s="55"/>
      <c r="C16" s="55">
        <f>Gastos!$D7</f>
        <v>650</v>
      </c>
      <c r="D16" s="55">
        <f>Gastos!$D7</f>
        <v>650</v>
      </c>
      <c r="E16" s="55">
        <f>Gastos!$D7</f>
        <v>650</v>
      </c>
      <c r="F16" s="55">
        <f>Gastos!$D7</f>
        <v>650</v>
      </c>
      <c r="G16" s="55">
        <f>Gastos!$D7</f>
        <v>650</v>
      </c>
      <c r="H16" s="55">
        <f>Gastos!$D7</f>
        <v>650</v>
      </c>
      <c r="I16" s="55">
        <f>Gastos!$D7</f>
        <v>650</v>
      </c>
      <c r="J16" s="55">
        <f>Gastos!$D7</f>
        <v>650</v>
      </c>
      <c r="K16" s="55">
        <f>Gastos!$D7</f>
        <v>650</v>
      </c>
      <c r="L16" s="55">
        <f>Gastos!$D7</f>
        <v>650</v>
      </c>
      <c r="M16" s="55">
        <f>Gastos!$D7</f>
        <v>650</v>
      </c>
      <c r="N16" s="55">
        <f>Gastos!$D7</f>
        <v>650</v>
      </c>
    </row>
    <row r="17" spans="1:15">
      <c r="A17" s="112" t="s">
        <v>2</v>
      </c>
      <c r="B17" s="55"/>
      <c r="C17" s="55">
        <f>Gastos!$D8</f>
        <v>450</v>
      </c>
      <c r="D17" s="55">
        <f>Gastos!$D8</f>
        <v>450</v>
      </c>
      <c r="E17" s="55">
        <f>Gastos!$D8</f>
        <v>450</v>
      </c>
      <c r="F17" s="55">
        <f>Gastos!$D8</f>
        <v>450</v>
      </c>
      <c r="G17" s="55">
        <f>Gastos!$D8</f>
        <v>450</v>
      </c>
      <c r="H17" s="55">
        <f>Gastos!$D8</f>
        <v>450</v>
      </c>
      <c r="I17" s="55">
        <f>Gastos!$D8</f>
        <v>450</v>
      </c>
      <c r="J17" s="55">
        <f>Gastos!$D8</f>
        <v>450</v>
      </c>
      <c r="K17" s="55">
        <f>Gastos!$D8</f>
        <v>450</v>
      </c>
      <c r="L17" s="55">
        <f>Gastos!$D8</f>
        <v>450</v>
      </c>
      <c r="M17" s="55">
        <f>Gastos!$D8</f>
        <v>450</v>
      </c>
      <c r="N17" s="55">
        <f>Gastos!$D8</f>
        <v>450</v>
      </c>
    </row>
    <row r="18" spans="1:15">
      <c r="A18" s="112" t="s">
        <v>20</v>
      </c>
      <c r="B18" s="55"/>
      <c r="C18" s="55">
        <f>Gastos!$D9</f>
        <v>1050</v>
      </c>
      <c r="D18" s="55">
        <f>Gastos!$D9</f>
        <v>1050</v>
      </c>
      <c r="E18" s="55">
        <f>Gastos!$D9</f>
        <v>1050</v>
      </c>
      <c r="F18" s="55">
        <f>Gastos!$D9</f>
        <v>1050</v>
      </c>
      <c r="G18" s="55">
        <f>Gastos!$D9</f>
        <v>1050</v>
      </c>
      <c r="H18" s="55">
        <f>Gastos!$D9</f>
        <v>1050</v>
      </c>
      <c r="I18" s="55">
        <f>Gastos!$D9</f>
        <v>1050</v>
      </c>
      <c r="J18" s="55">
        <f>Gastos!$D9</f>
        <v>1050</v>
      </c>
      <c r="K18" s="55">
        <f>Gastos!$D9</f>
        <v>1050</v>
      </c>
      <c r="L18" s="55">
        <f>Gastos!$D9</f>
        <v>1050</v>
      </c>
      <c r="M18" s="55">
        <f>Gastos!$D9</f>
        <v>1050</v>
      </c>
      <c r="N18" s="55">
        <f>Gastos!$D9</f>
        <v>1050</v>
      </c>
    </row>
    <row r="19" spans="1:15">
      <c r="A19" s="112" t="s">
        <v>3</v>
      </c>
      <c r="B19" s="55"/>
      <c r="C19" s="55">
        <f>Gastos!$D10</f>
        <v>350</v>
      </c>
      <c r="D19" s="55">
        <f>Gastos!$D10</f>
        <v>350</v>
      </c>
      <c r="E19" s="55">
        <f>Gastos!$D10</f>
        <v>350</v>
      </c>
      <c r="F19" s="55">
        <f>Gastos!$D10</f>
        <v>350</v>
      </c>
      <c r="G19" s="55">
        <f>Gastos!$D10</f>
        <v>350</v>
      </c>
      <c r="H19" s="55">
        <f>Gastos!$D10</f>
        <v>350</v>
      </c>
      <c r="I19" s="55">
        <f>Gastos!$D10</f>
        <v>350</v>
      </c>
      <c r="J19" s="55">
        <f>Gastos!$D10</f>
        <v>350</v>
      </c>
      <c r="K19" s="55">
        <f>Gastos!$D10</f>
        <v>350</v>
      </c>
      <c r="L19" s="55">
        <f>Gastos!$D10</f>
        <v>350</v>
      </c>
      <c r="M19" s="55">
        <f>Gastos!$D10</f>
        <v>350</v>
      </c>
      <c r="N19" s="55">
        <f>Gastos!$D10</f>
        <v>350</v>
      </c>
    </row>
    <row r="20" spans="1:15">
      <c r="A20" s="112" t="s">
        <v>5</v>
      </c>
      <c r="B20" s="55"/>
      <c r="C20" s="55">
        <f>Gastos!$D11</f>
        <v>600</v>
      </c>
      <c r="D20" s="55">
        <f>Gastos!$D11</f>
        <v>600</v>
      </c>
      <c r="E20" s="55">
        <f>Gastos!$D11</f>
        <v>600</v>
      </c>
      <c r="F20" s="55">
        <f>Gastos!$D11</f>
        <v>600</v>
      </c>
      <c r="G20" s="55">
        <f>Gastos!$D11</f>
        <v>600</v>
      </c>
      <c r="H20" s="55">
        <f>Gastos!$D11</f>
        <v>600</v>
      </c>
      <c r="I20" s="55">
        <f>Gastos!$D11</f>
        <v>600</v>
      </c>
      <c r="J20" s="55">
        <f>Gastos!$D11</f>
        <v>600</v>
      </c>
      <c r="K20" s="55">
        <f>Gastos!$D11</f>
        <v>600</v>
      </c>
      <c r="L20" s="55">
        <f>Gastos!$D11</f>
        <v>600</v>
      </c>
      <c r="M20" s="55">
        <f>Gastos!$D11</f>
        <v>600</v>
      </c>
      <c r="N20" s="55">
        <f>Gastos!$D11</f>
        <v>600</v>
      </c>
    </row>
    <row r="21" spans="1:15">
      <c r="A21" s="112" t="s">
        <v>11</v>
      </c>
      <c r="B21" s="55"/>
      <c r="C21" s="55">
        <f>Gastos!$D12</f>
        <v>960</v>
      </c>
      <c r="D21" s="55">
        <f>Gastos!$D12</f>
        <v>960</v>
      </c>
      <c r="E21" s="55">
        <f>Gastos!$D12</f>
        <v>960</v>
      </c>
      <c r="F21" s="55">
        <f>Gastos!$D12</f>
        <v>960</v>
      </c>
      <c r="G21" s="55">
        <f>Gastos!$D12</f>
        <v>960</v>
      </c>
      <c r="H21" s="55">
        <f>Gastos!$D12</f>
        <v>960</v>
      </c>
      <c r="I21" s="55">
        <f>Gastos!$D12</f>
        <v>960</v>
      </c>
      <c r="J21" s="55">
        <f>Gastos!$D12</f>
        <v>960</v>
      </c>
      <c r="K21" s="55">
        <f>Gastos!$D12</f>
        <v>960</v>
      </c>
      <c r="L21" s="55">
        <f>Gastos!$D12</f>
        <v>960</v>
      </c>
      <c r="M21" s="55">
        <f>Gastos!$D12</f>
        <v>960</v>
      </c>
      <c r="N21" s="55">
        <f>Gastos!$D12</f>
        <v>960</v>
      </c>
    </row>
    <row r="22" spans="1:15">
      <c r="A22" s="112" t="s">
        <v>159</v>
      </c>
      <c r="B22" s="55"/>
      <c r="C22" s="55">
        <f>Gastos!$D13</f>
        <v>240</v>
      </c>
      <c r="D22" s="55">
        <f>Gastos!$D13</f>
        <v>240</v>
      </c>
      <c r="E22" s="55">
        <f>Gastos!$D13</f>
        <v>240</v>
      </c>
      <c r="F22" s="55">
        <f>Gastos!$D13</f>
        <v>240</v>
      </c>
      <c r="G22" s="55">
        <f>Gastos!$D13</f>
        <v>240</v>
      </c>
      <c r="H22" s="55">
        <f>Gastos!$D13</f>
        <v>240</v>
      </c>
      <c r="I22" s="55">
        <f>Gastos!$D13</f>
        <v>240</v>
      </c>
      <c r="J22" s="55">
        <f>Gastos!$D13</f>
        <v>240</v>
      </c>
      <c r="K22" s="55">
        <f>Gastos!$D13</f>
        <v>240</v>
      </c>
      <c r="L22" s="55">
        <f>Gastos!$D13</f>
        <v>240</v>
      </c>
      <c r="M22" s="55">
        <f>Gastos!$D13</f>
        <v>240</v>
      </c>
      <c r="N22" s="55">
        <f>Gastos!$D13</f>
        <v>240</v>
      </c>
    </row>
    <row r="23" spans="1:15">
      <c r="A23" s="115" t="s">
        <v>160</v>
      </c>
      <c r="B23" s="110"/>
      <c r="C23" s="110">
        <f>SUM(C13:C22)</f>
        <v>6400</v>
      </c>
      <c r="D23" s="110">
        <f t="shared" ref="D23:N23" si="1">SUM(D13:D22)</f>
        <v>6400</v>
      </c>
      <c r="E23" s="110">
        <f t="shared" si="1"/>
        <v>6400</v>
      </c>
      <c r="F23" s="110">
        <f t="shared" si="1"/>
        <v>6400</v>
      </c>
      <c r="G23" s="110">
        <f t="shared" si="1"/>
        <v>6400</v>
      </c>
      <c r="H23" s="110">
        <f t="shared" si="1"/>
        <v>6400</v>
      </c>
      <c r="I23" s="110">
        <f t="shared" si="1"/>
        <v>6400</v>
      </c>
      <c r="J23" s="110">
        <f t="shared" si="1"/>
        <v>6400</v>
      </c>
      <c r="K23" s="110">
        <f t="shared" si="1"/>
        <v>6400</v>
      </c>
      <c r="L23" s="110">
        <f t="shared" si="1"/>
        <v>6400</v>
      </c>
      <c r="M23" s="110">
        <f t="shared" si="1"/>
        <v>6400</v>
      </c>
      <c r="N23" s="110">
        <f t="shared" si="1"/>
        <v>6400</v>
      </c>
    </row>
    <row r="24" spans="1:15">
      <c r="A24" s="10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</row>
    <row r="25" spans="1:15">
      <c r="A25" s="116" t="s">
        <v>161</v>
      </c>
      <c r="B25" s="120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5">
      <c r="A26" s="112" t="s">
        <v>65</v>
      </c>
      <c r="B26" s="55"/>
      <c r="C26" s="55">
        <f>Gastos!$B$58/12</f>
        <v>100</v>
      </c>
      <c r="D26" s="55">
        <f>Gastos!$B$58/12</f>
        <v>100</v>
      </c>
      <c r="E26" s="55">
        <f>Gastos!$B$58/12</f>
        <v>100</v>
      </c>
      <c r="F26" s="55">
        <f>Gastos!$B$58/12</f>
        <v>100</v>
      </c>
      <c r="G26" s="55">
        <f>Gastos!$B$58/12</f>
        <v>100</v>
      </c>
      <c r="H26" s="55">
        <f>Gastos!$B$58/12</f>
        <v>100</v>
      </c>
      <c r="I26" s="55">
        <f>Gastos!$B$58/12</f>
        <v>100</v>
      </c>
      <c r="J26" s="55">
        <f>Gastos!$B$58/12</f>
        <v>100</v>
      </c>
      <c r="K26" s="55">
        <f>Gastos!$B$58/12</f>
        <v>100</v>
      </c>
      <c r="L26" s="55">
        <f>Gastos!$B$58/12</f>
        <v>100</v>
      </c>
      <c r="M26" s="55">
        <f>Gastos!$B$58/12</f>
        <v>100</v>
      </c>
      <c r="N26" s="55">
        <f>Gastos!$B$58/12</f>
        <v>100</v>
      </c>
    </row>
    <row r="27" spans="1:15">
      <c r="A27" s="112" t="s">
        <v>87</v>
      </c>
      <c r="B27" s="55"/>
      <c r="C27" s="55">
        <f>Gastos!$B$59/12</f>
        <v>100</v>
      </c>
      <c r="D27" s="55">
        <f>Gastos!$B$59/12</f>
        <v>100</v>
      </c>
      <c r="E27" s="55">
        <f>Gastos!$B$59/12</f>
        <v>100</v>
      </c>
      <c r="F27" s="55">
        <f>Gastos!$B$59/12</f>
        <v>100</v>
      </c>
      <c r="G27" s="55">
        <f>Gastos!$B$59/12</f>
        <v>100</v>
      </c>
      <c r="H27" s="55">
        <f>Gastos!$B$59/12</f>
        <v>100</v>
      </c>
      <c r="I27" s="55">
        <f>Gastos!$B$59/12</f>
        <v>100</v>
      </c>
      <c r="J27" s="55">
        <f>Gastos!$B$59/12</f>
        <v>100</v>
      </c>
      <c r="K27" s="55">
        <f>Gastos!$B$59/12</f>
        <v>100</v>
      </c>
      <c r="L27" s="55">
        <f>Gastos!$B$59/12</f>
        <v>100</v>
      </c>
      <c r="M27" s="55">
        <f>Gastos!$B$59/12</f>
        <v>100</v>
      </c>
      <c r="N27" s="55">
        <f>Gastos!$B$59/12</f>
        <v>100</v>
      </c>
    </row>
    <row r="28" spans="1:15">
      <c r="A28" s="112" t="s">
        <v>67</v>
      </c>
      <c r="B28" s="55"/>
      <c r="C28" s="55">
        <f>Gastos!$B$60/12</f>
        <v>50</v>
      </c>
      <c r="D28" s="55">
        <f>Gastos!$B$60/12</f>
        <v>50</v>
      </c>
      <c r="E28" s="55">
        <f>Gastos!$B$60/12</f>
        <v>50</v>
      </c>
      <c r="F28" s="55">
        <f>Gastos!$B$60/12</f>
        <v>50</v>
      </c>
      <c r="G28" s="55">
        <f>Gastos!$B$60/12</f>
        <v>50</v>
      </c>
      <c r="H28" s="55">
        <f>Gastos!$B$60/12</f>
        <v>50</v>
      </c>
      <c r="I28" s="55">
        <f>Gastos!$B$60/12</f>
        <v>50</v>
      </c>
      <c r="J28" s="55">
        <f>Gastos!$B$60/12</f>
        <v>50</v>
      </c>
      <c r="K28" s="55">
        <f>Gastos!$B$60/12</f>
        <v>50</v>
      </c>
      <c r="L28" s="55">
        <f>Gastos!$B$60/12</f>
        <v>50</v>
      </c>
      <c r="M28" s="55">
        <f>Gastos!$B$60/12</f>
        <v>50</v>
      </c>
      <c r="N28" s="55">
        <f>Gastos!$B$60/12</f>
        <v>50</v>
      </c>
    </row>
    <row r="29" spans="1:15" ht="13.5" customHeight="1">
      <c r="A29" s="112" t="s">
        <v>68</v>
      </c>
      <c r="B29" s="55"/>
      <c r="C29" s="55">
        <f>Gastos!$B$61/12</f>
        <v>25</v>
      </c>
      <c r="D29" s="55">
        <f>Gastos!$B$61/12</f>
        <v>25</v>
      </c>
      <c r="E29" s="55">
        <f>Gastos!$B$61/12</f>
        <v>25</v>
      </c>
      <c r="F29" s="55">
        <f>Gastos!$B$61/12</f>
        <v>25</v>
      </c>
      <c r="G29" s="55">
        <f>Gastos!$B$61/12</f>
        <v>25</v>
      </c>
      <c r="H29" s="55">
        <f>Gastos!$B$61/12</f>
        <v>25</v>
      </c>
      <c r="I29" s="55">
        <f>Gastos!$B$61/12</f>
        <v>25</v>
      </c>
      <c r="J29" s="55">
        <f>Gastos!$B$61/12</f>
        <v>25</v>
      </c>
      <c r="K29" s="55">
        <f>Gastos!$B$61/12</f>
        <v>25</v>
      </c>
      <c r="L29" s="55">
        <f>Gastos!$B$61/12</f>
        <v>25</v>
      </c>
      <c r="M29" s="55">
        <f>Gastos!$B$61/12</f>
        <v>25</v>
      </c>
      <c r="N29" s="55">
        <f>Gastos!$B$61/12</f>
        <v>25</v>
      </c>
    </row>
    <row r="30" spans="1:15">
      <c r="A30" s="117" t="s">
        <v>162</v>
      </c>
      <c r="B30" s="110"/>
      <c r="C30" s="110">
        <f>SUM(C26:C29)</f>
        <v>275</v>
      </c>
      <c r="D30" s="110">
        <f t="shared" ref="D30:N30" si="2">SUM(D26:D29)</f>
        <v>275</v>
      </c>
      <c r="E30" s="110">
        <f t="shared" si="2"/>
        <v>275</v>
      </c>
      <c r="F30" s="110">
        <f t="shared" si="2"/>
        <v>275</v>
      </c>
      <c r="G30" s="110">
        <f t="shared" si="2"/>
        <v>275</v>
      </c>
      <c r="H30" s="110">
        <f t="shared" si="2"/>
        <v>275</v>
      </c>
      <c r="I30" s="110">
        <f t="shared" si="2"/>
        <v>275</v>
      </c>
      <c r="J30" s="110">
        <f t="shared" si="2"/>
        <v>275</v>
      </c>
      <c r="K30" s="110">
        <f t="shared" si="2"/>
        <v>275</v>
      </c>
      <c r="L30" s="110">
        <f t="shared" si="2"/>
        <v>275</v>
      </c>
      <c r="M30" s="110">
        <f t="shared" si="2"/>
        <v>275</v>
      </c>
      <c r="N30" s="110">
        <f t="shared" si="2"/>
        <v>275</v>
      </c>
    </row>
    <row r="31" spans="1:15">
      <c r="A31" s="113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57"/>
      <c r="O31" s="122"/>
    </row>
    <row r="32" spans="1:15">
      <c r="A32" s="118" t="s">
        <v>163</v>
      </c>
      <c r="B32" s="120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>
      <c r="A33" s="112" t="s">
        <v>168</v>
      </c>
      <c r="B33" s="55">
        <v>6000</v>
      </c>
      <c r="C33" s="55">
        <f>1500*4</f>
        <v>6000</v>
      </c>
      <c r="D33" s="55">
        <v>1000</v>
      </c>
      <c r="E33" s="55">
        <v>1000</v>
      </c>
      <c r="F33" s="55">
        <f>1500*3</f>
        <v>4500</v>
      </c>
      <c r="G33" s="55">
        <v>1000</v>
      </c>
      <c r="H33" s="55">
        <v>1000</v>
      </c>
      <c r="K33" s="55">
        <v>6000</v>
      </c>
      <c r="L33" s="55">
        <v>1000</v>
      </c>
      <c r="M33" s="55">
        <v>1000</v>
      </c>
      <c r="N33" s="55">
        <v>4500</v>
      </c>
    </row>
    <row r="34" spans="1:14">
      <c r="A34" s="112" t="s">
        <v>69</v>
      </c>
      <c r="B34" s="55">
        <f>C34</f>
        <v>2000</v>
      </c>
      <c r="C34" s="55">
        <f>Gastos!$B$63/12</f>
        <v>2000</v>
      </c>
      <c r="D34" s="55">
        <f>Gastos!$B$63/12</f>
        <v>2000</v>
      </c>
      <c r="E34" s="55">
        <f>Gastos!$B$63/12</f>
        <v>2000</v>
      </c>
      <c r="F34" s="55">
        <f>Gastos!$B$63/12</f>
        <v>2000</v>
      </c>
      <c r="G34" s="55">
        <f>Gastos!$B$63/12</f>
        <v>2000</v>
      </c>
      <c r="H34" s="55">
        <f>Gastos!$B$63/12</f>
        <v>2000</v>
      </c>
      <c r="I34" s="55">
        <f>Gastos!$B$63/12</f>
        <v>2000</v>
      </c>
      <c r="J34" s="55">
        <f>Gastos!$B$63/12</f>
        <v>2000</v>
      </c>
      <c r="K34" s="55">
        <f>Gastos!$B$63/12</f>
        <v>2000</v>
      </c>
      <c r="L34" s="55">
        <f>Gastos!$B$63/12</f>
        <v>2000</v>
      </c>
      <c r="M34" s="55">
        <f>Gastos!$B$63/12</f>
        <v>2000</v>
      </c>
      <c r="N34" s="55">
        <f>Gastos!$B$63/12</f>
        <v>2000</v>
      </c>
    </row>
    <row r="35" spans="1:14">
      <c r="A35" s="112" t="s">
        <v>70</v>
      </c>
      <c r="B35" s="55"/>
      <c r="C35" s="55">
        <f>Gastos!$B$64/12</f>
        <v>300</v>
      </c>
      <c r="D35" s="55">
        <f>Gastos!$B$64/12</f>
        <v>300</v>
      </c>
      <c r="E35" s="55">
        <f>Gastos!$B$64/12</f>
        <v>300</v>
      </c>
      <c r="F35" s="55">
        <f>Gastos!$B$64/12</f>
        <v>300</v>
      </c>
      <c r="G35" s="55">
        <f>Gastos!$B$64/12</f>
        <v>300</v>
      </c>
      <c r="H35" s="55">
        <f>Gastos!$B$64/12</f>
        <v>300</v>
      </c>
      <c r="I35" s="55">
        <f>Gastos!$B$64/12</f>
        <v>300</v>
      </c>
      <c r="J35" s="55">
        <f>Gastos!$B$64/12</f>
        <v>300</v>
      </c>
      <c r="K35" s="55">
        <f>Gastos!$B$64/12</f>
        <v>300</v>
      </c>
      <c r="L35" s="55">
        <f>Gastos!$B$64/12</f>
        <v>300</v>
      </c>
      <c r="M35" s="55">
        <f>Gastos!$B$64/12</f>
        <v>300</v>
      </c>
      <c r="N35" s="55">
        <f>Gastos!$B$64/12</f>
        <v>300</v>
      </c>
    </row>
    <row r="36" spans="1:14">
      <c r="A36" s="112" t="s">
        <v>71</v>
      </c>
      <c r="B36" s="55"/>
      <c r="C36" s="55">
        <f>Gastos!$B$65/12</f>
        <v>300</v>
      </c>
      <c r="D36" s="55">
        <f>Gastos!$B$65/12</f>
        <v>300</v>
      </c>
      <c r="E36" s="55">
        <f>Gastos!$B$65/12</f>
        <v>300</v>
      </c>
      <c r="F36" s="55">
        <f>Gastos!$B$65/12</f>
        <v>300</v>
      </c>
      <c r="G36" s="55">
        <f>Gastos!$B$65/12</f>
        <v>300</v>
      </c>
      <c r="H36" s="55">
        <f>Gastos!$B$65/12</f>
        <v>300</v>
      </c>
      <c r="I36" s="55">
        <f>Gastos!$B$65/12</f>
        <v>300</v>
      </c>
      <c r="J36" s="55">
        <f>Gastos!$B$65/12</f>
        <v>300</v>
      </c>
      <c r="K36" s="55">
        <f>Gastos!$B$65/12</f>
        <v>300</v>
      </c>
      <c r="L36" s="55">
        <f>Gastos!$B$65/12</f>
        <v>300</v>
      </c>
      <c r="M36" s="55">
        <f>Gastos!$B$65/12</f>
        <v>300</v>
      </c>
      <c r="N36" s="55">
        <f>Gastos!$B$65/12</f>
        <v>300</v>
      </c>
    </row>
    <row r="37" spans="1:14">
      <c r="A37" s="112" t="s">
        <v>167</v>
      </c>
      <c r="B37" s="55"/>
      <c r="C37" s="55">
        <f>Gastos!$B$62/12</f>
        <v>30</v>
      </c>
      <c r="D37" s="55">
        <f>Gastos!$B$62/12</f>
        <v>30</v>
      </c>
      <c r="E37" s="55">
        <f>Gastos!$B$62/12</f>
        <v>30</v>
      </c>
      <c r="F37" s="55">
        <f>Gastos!$B$62/12</f>
        <v>30</v>
      </c>
      <c r="G37" s="55">
        <f>Gastos!$B$62/12</f>
        <v>30</v>
      </c>
      <c r="H37" s="55">
        <f>Gastos!$B$62/12</f>
        <v>30</v>
      </c>
      <c r="I37" s="55">
        <f>Gastos!$B$62/12</f>
        <v>30</v>
      </c>
      <c r="J37" s="55">
        <f>Gastos!$B$62/12</f>
        <v>30</v>
      </c>
      <c r="K37" s="55">
        <f>Gastos!$B$62/12</f>
        <v>30</v>
      </c>
      <c r="L37" s="55">
        <f>Gastos!$B$62/12</f>
        <v>30</v>
      </c>
      <c r="M37" s="55">
        <f>Gastos!$B$62/12</f>
        <v>30</v>
      </c>
      <c r="N37" s="55">
        <f>Gastos!$B$62/12</f>
        <v>30</v>
      </c>
    </row>
    <row r="38" spans="1:14" ht="14.25" customHeight="1">
      <c r="A38" s="112" t="s">
        <v>158</v>
      </c>
      <c r="B38" s="55"/>
      <c r="C38" s="55">
        <f>333.37</f>
        <v>333.37</v>
      </c>
      <c r="D38" s="55">
        <f t="shared" ref="D38:N38" si="3">333.37</f>
        <v>333.37</v>
      </c>
      <c r="E38" s="55">
        <f t="shared" si="3"/>
        <v>333.37</v>
      </c>
      <c r="F38" s="55">
        <f t="shared" si="3"/>
        <v>333.37</v>
      </c>
      <c r="G38" s="55">
        <f t="shared" si="3"/>
        <v>333.37</v>
      </c>
      <c r="H38" s="55">
        <f t="shared" si="3"/>
        <v>333.37</v>
      </c>
      <c r="I38" s="55">
        <f t="shared" si="3"/>
        <v>333.37</v>
      </c>
      <c r="J38" s="55">
        <f t="shared" si="3"/>
        <v>333.37</v>
      </c>
      <c r="K38" s="55">
        <f t="shared" si="3"/>
        <v>333.37</v>
      </c>
      <c r="L38" s="55">
        <f t="shared" si="3"/>
        <v>333.37</v>
      </c>
      <c r="M38" s="55">
        <f t="shared" si="3"/>
        <v>333.37</v>
      </c>
      <c r="N38" s="55">
        <f t="shared" si="3"/>
        <v>333.37</v>
      </c>
    </row>
    <row r="39" spans="1:14">
      <c r="A39" s="112" t="s">
        <v>164</v>
      </c>
      <c r="B39" s="55"/>
      <c r="C39" s="55">
        <f>Gastos!$B$66/12</f>
        <v>80</v>
      </c>
      <c r="D39" s="55">
        <f>Gastos!$B$66/12</f>
        <v>80</v>
      </c>
      <c r="E39" s="55">
        <f>Gastos!$B$66/12</f>
        <v>80</v>
      </c>
      <c r="F39" s="55">
        <f>Gastos!$B$66/12</f>
        <v>80</v>
      </c>
      <c r="G39" s="55">
        <f>Gastos!$B$66/12</f>
        <v>80</v>
      </c>
      <c r="H39" s="55">
        <f>Gastos!$B$66/12</f>
        <v>80</v>
      </c>
      <c r="I39" s="55">
        <f>Gastos!$B$66/12</f>
        <v>80</v>
      </c>
      <c r="J39" s="55">
        <f>Gastos!$B$66/12</f>
        <v>80</v>
      </c>
      <c r="K39" s="55">
        <f>Gastos!$B$66/12</f>
        <v>80</v>
      </c>
      <c r="L39" s="55">
        <f>Gastos!$B$66/12</f>
        <v>80</v>
      </c>
      <c r="M39" s="55">
        <f>Gastos!$B$66/12</f>
        <v>80</v>
      </c>
      <c r="N39" s="55">
        <f>Gastos!$B$66/12</f>
        <v>80</v>
      </c>
    </row>
    <row r="40" spans="1:14">
      <c r="A40" s="112" t="s">
        <v>157</v>
      </c>
      <c r="B40" s="55"/>
      <c r="C40" s="55">
        <f>Gastos!$B$67/12</f>
        <v>60</v>
      </c>
      <c r="D40" s="55">
        <f>Gastos!$B$67/12</f>
        <v>60</v>
      </c>
      <c r="E40" s="55">
        <f>Gastos!$B$67/12</f>
        <v>60</v>
      </c>
      <c r="F40" s="55">
        <f>Gastos!$B$67/12</f>
        <v>60</v>
      </c>
      <c r="G40" s="55">
        <f>Gastos!$B$67/12</f>
        <v>60</v>
      </c>
      <c r="H40" s="55">
        <f>Gastos!$B$67/12</f>
        <v>60</v>
      </c>
      <c r="I40" s="55">
        <f>Gastos!$B$67/12</f>
        <v>60</v>
      </c>
      <c r="J40" s="55">
        <f>Gastos!$B$67/12</f>
        <v>60</v>
      </c>
      <c r="K40" s="55">
        <f>Gastos!$B$67/12</f>
        <v>60</v>
      </c>
      <c r="L40" s="55">
        <f>Gastos!$B$67/12</f>
        <v>60</v>
      </c>
      <c r="M40" s="55">
        <f>Gastos!$B$67/12</f>
        <v>60</v>
      </c>
      <c r="N40" s="55">
        <f>Gastos!$B$67/12</f>
        <v>60</v>
      </c>
    </row>
    <row r="41" spans="1:14">
      <c r="A41" s="112" t="s">
        <v>165</v>
      </c>
      <c r="B41" s="55"/>
      <c r="C41" s="55">
        <f>Gastos!$B$68/12</f>
        <v>62.162500000000001</v>
      </c>
      <c r="D41" s="55">
        <f>Gastos!$B$68/12</f>
        <v>62.162500000000001</v>
      </c>
      <c r="E41" s="55">
        <f>Gastos!$B$68/12</f>
        <v>62.162500000000001</v>
      </c>
      <c r="F41" s="55">
        <f>Gastos!$B$68/12</f>
        <v>62.162500000000001</v>
      </c>
      <c r="G41" s="55">
        <f>Gastos!$B$68/12</f>
        <v>62.162500000000001</v>
      </c>
      <c r="H41" s="55">
        <f>Gastos!$B$68/12</f>
        <v>62.162500000000001</v>
      </c>
      <c r="I41" s="55">
        <f>Gastos!$B$68/12</f>
        <v>62.162500000000001</v>
      </c>
      <c r="J41" s="55">
        <f>Gastos!$B$68/12</f>
        <v>62.162500000000001</v>
      </c>
      <c r="K41" s="55">
        <f>Gastos!$B$68/12</f>
        <v>62.162500000000001</v>
      </c>
      <c r="L41" s="55">
        <f>Gastos!$B$68/12</f>
        <v>62.162500000000001</v>
      </c>
      <c r="M41" s="55">
        <f>Gastos!$B$68/12</f>
        <v>62.162500000000001</v>
      </c>
      <c r="N41" s="55">
        <f>Gastos!$B$68/12</f>
        <v>62.162500000000001</v>
      </c>
    </row>
    <row r="42" spans="1:14">
      <c r="A42" s="112" t="s">
        <v>88</v>
      </c>
      <c r="B42" s="55">
        <v>500</v>
      </c>
      <c r="C42" s="55">
        <f>Gastos!$B$69/12</f>
        <v>100</v>
      </c>
      <c r="D42" s="55">
        <f>Gastos!$B$69/12</f>
        <v>100</v>
      </c>
      <c r="E42" s="55">
        <f>Gastos!$B$69/12</f>
        <v>100</v>
      </c>
      <c r="F42" s="55">
        <f>Gastos!$B$69/12</f>
        <v>100</v>
      </c>
      <c r="G42" s="55">
        <f>Gastos!$B$69/12</f>
        <v>100</v>
      </c>
      <c r="H42" s="55">
        <f>Gastos!$B$69/12</f>
        <v>100</v>
      </c>
      <c r="I42" s="55">
        <f>Gastos!$B$69/12</f>
        <v>100</v>
      </c>
      <c r="J42" s="55">
        <f>Gastos!$B$69/12</f>
        <v>100</v>
      </c>
      <c r="K42" s="55">
        <f>Gastos!$B$69/12</f>
        <v>100</v>
      </c>
      <c r="L42" s="55">
        <f>Gastos!$B$69/12</f>
        <v>100</v>
      </c>
      <c r="M42" s="55">
        <f>Gastos!$B$69/12</f>
        <v>100</v>
      </c>
      <c r="N42" s="55">
        <f>Gastos!$B$69/12</f>
        <v>100</v>
      </c>
    </row>
    <row r="43" spans="1:14" ht="15.75" thickBot="1">
      <c r="A43" s="126" t="s">
        <v>163</v>
      </c>
      <c r="B43" s="121">
        <f>SUM(B33:B42)</f>
        <v>8500</v>
      </c>
      <c r="C43" s="121">
        <f>SUM(C33:C42)</f>
        <v>9265.5325000000012</v>
      </c>
      <c r="D43" s="121">
        <f t="shared" ref="D43:N43" si="4">SUM(D33:D42)</f>
        <v>4265.5325000000003</v>
      </c>
      <c r="E43" s="121">
        <f t="shared" si="4"/>
        <v>4265.5325000000003</v>
      </c>
      <c r="F43" s="121">
        <f t="shared" si="4"/>
        <v>7765.5325000000003</v>
      </c>
      <c r="G43" s="121">
        <f t="shared" si="4"/>
        <v>4265.5325000000003</v>
      </c>
      <c r="H43" s="121">
        <f t="shared" si="4"/>
        <v>4265.5325000000003</v>
      </c>
      <c r="I43" s="121">
        <f t="shared" si="4"/>
        <v>3265.5324999999998</v>
      </c>
      <c r="J43" s="121">
        <f t="shared" si="4"/>
        <v>3265.5324999999998</v>
      </c>
      <c r="K43" s="121">
        <f t="shared" si="4"/>
        <v>9265.5325000000012</v>
      </c>
      <c r="L43" s="121">
        <f t="shared" si="4"/>
        <v>4265.5325000000003</v>
      </c>
      <c r="M43" s="121">
        <f t="shared" si="4"/>
        <v>4265.5325000000003</v>
      </c>
      <c r="N43" s="121">
        <f t="shared" si="4"/>
        <v>7765.5325000000003</v>
      </c>
    </row>
    <row r="44" spans="1:14" ht="15.75" thickBot="1">
      <c r="A44" s="129" t="s">
        <v>169</v>
      </c>
      <c r="B44" s="127">
        <f>B43+B30+B23</f>
        <v>8500</v>
      </c>
      <c r="C44" s="127">
        <f t="shared" ref="C44:N44" si="5">C43+C30+C23</f>
        <v>15940.532500000001</v>
      </c>
      <c r="D44" s="127">
        <f t="shared" si="5"/>
        <v>10940.532500000001</v>
      </c>
      <c r="E44" s="127">
        <f t="shared" si="5"/>
        <v>10940.532500000001</v>
      </c>
      <c r="F44" s="127">
        <f t="shared" si="5"/>
        <v>14440.532500000001</v>
      </c>
      <c r="G44" s="127">
        <f t="shared" si="5"/>
        <v>10940.532500000001</v>
      </c>
      <c r="H44" s="127">
        <f t="shared" si="5"/>
        <v>10940.532500000001</v>
      </c>
      <c r="I44" s="127">
        <f t="shared" si="5"/>
        <v>9940.5324999999993</v>
      </c>
      <c r="J44" s="127">
        <f t="shared" si="5"/>
        <v>9940.5324999999993</v>
      </c>
      <c r="K44" s="127">
        <f t="shared" si="5"/>
        <v>15940.532500000001</v>
      </c>
      <c r="L44" s="127">
        <f t="shared" si="5"/>
        <v>10940.532500000001</v>
      </c>
      <c r="M44" s="127">
        <f t="shared" si="5"/>
        <v>10940.532500000001</v>
      </c>
      <c r="N44" s="128">
        <f t="shared" si="5"/>
        <v>14440.532500000001</v>
      </c>
    </row>
    <row r="45" spans="1:14">
      <c r="A45" s="73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</row>
    <row r="46" spans="1:14" ht="15.75" thickBot="1">
      <c r="A46" s="56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</row>
    <row r="47" spans="1:14" ht="15.75" thickBot="1">
      <c r="A47" s="58" t="s">
        <v>89</v>
      </c>
      <c r="B47" s="58">
        <f>B8</f>
        <v>0</v>
      </c>
      <c r="C47" s="59">
        <f>C8</f>
        <v>11304.559666196128</v>
      </c>
      <c r="D47" s="59">
        <f t="shared" ref="D47:N47" si="6">D8</f>
        <v>11304.559666196128</v>
      </c>
      <c r="E47" s="59">
        <f t="shared" si="6"/>
        <v>11304.559666196128</v>
      </c>
      <c r="F47" s="59">
        <f t="shared" si="6"/>
        <v>13043.72269176476</v>
      </c>
      <c r="G47" s="59">
        <f t="shared" si="6"/>
        <v>13043.72269176476</v>
      </c>
      <c r="H47" s="59">
        <f t="shared" si="6"/>
        <v>13043.72269176476</v>
      </c>
      <c r="I47" s="59">
        <f t="shared" si="6"/>
        <v>14782.885717333398</v>
      </c>
      <c r="J47" s="59">
        <f t="shared" si="6"/>
        <v>14782.885717333398</v>
      </c>
      <c r="K47" s="59">
        <f t="shared" si="6"/>
        <v>14782.885717333398</v>
      </c>
      <c r="L47" s="59">
        <f t="shared" si="6"/>
        <v>15652.467230117716</v>
      </c>
      <c r="M47" s="59">
        <f t="shared" si="6"/>
        <v>16522.048742902032</v>
      </c>
      <c r="N47" s="59">
        <f t="shared" si="6"/>
        <v>17391.630255686352</v>
      </c>
    </row>
    <row r="48" spans="1:14" ht="15.75" thickBot="1">
      <c r="A48" s="60" t="s">
        <v>73</v>
      </c>
      <c r="B48" s="114">
        <f>B43</f>
        <v>8500</v>
      </c>
      <c r="C48" s="61">
        <f>C43+C30+C23</f>
        <v>15940.532500000001</v>
      </c>
      <c r="D48" s="61">
        <f t="shared" ref="D48:N48" si="7">D43+D30+D23</f>
        <v>10940.532500000001</v>
      </c>
      <c r="E48" s="61">
        <f t="shared" si="7"/>
        <v>10940.532500000001</v>
      </c>
      <c r="F48" s="61">
        <f t="shared" si="7"/>
        <v>14440.532500000001</v>
      </c>
      <c r="G48" s="61">
        <f t="shared" si="7"/>
        <v>10940.532500000001</v>
      </c>
      <c r="H48" s="61">
        <f t="shared" si="7"/>
        <v>10940.532500000001</v>
      </c>
      <c r="I48" s="61">
        <f t="shared" si="7"/>
        <v>9940.5324999999993</v>
      </c>
      <c r="J48" s="61">
        <f t="shared" si="7"/>
        <v>9940.5324999999993</v>
      </c>
      <c r="K48" s="61">
        <f t="shared" si="7"/>
        <v>15940.532500000001</v>
      </c>
      <c r="L48" s="61">
        <f t="shared" si="7"/>
        <v>10940.532500000001</v>
      </c>
      <c r="M48" s="61">
        <f t="shared" si="7"/>
        <v>10940.532500000001</v>
      </c>
      <c r="N48" s="61">
        <f t="shared" si="7"/>
        <v>14440.532500000001</v>
      </c>
    </row>
    <row r="49" spans="1:14" ht="16.5" thickTop="1" thickBot="1">
      <c r="A49" s="62" t="s">
        <v>90</v>
      </c>
      <c r="B49" s="63">
        <f>B47-B48</f>
        <v>-8500</v>
      </c>
      <c r="C49" s="64">
        <f>C47-C48</f>
        <v>-4635.9728338038731</v>
      </c>
      <c r="D49" s="64">
        <f>D47-D48</f>
        <v>364.02716619612693</v>
      </c>
      <c r="E49" s="63">
        <f t="shared" ref="E49:N49" si="8">E47-E48</f>
        <v>364.02716619612693</v>
      </c>
      <c r="F49" s="64">
        <f t="shared" si="8"/>
        <v>-1396.8098082352408</v>
      </c>
      <c r="G49" s="63">
        <f t="shared" si="8"/>
        <v>2103.1901917647592</v>
      </c>
      <c r="H49" s="64">
        <f t="shared" si="8"/>
        <v>2103.1901917647592</v>
      </c>
      <c r="I49" s="63">
        <f t="shared" si="8"/>
        <v>4842.3532173333988</v>
      </c>
      <c r="J49" s="64">
        <f t="shared" si="8"/>
        <v>4842.3532173333988</v>
      </c>
      <c r="K49" s="63">
        <f t="shared" si="8"/>
        <v>-1157.646782666603</v>
      </c>
      <c r="L49" s="64">
        <f t="shared" si="8"/>
        <v>4711.9347301177149</v>
      </c>
      <c r="M49" s="63">
        <f t="shared" si="8"/>
        <v>5581.5162429020311</v>
      </c>
      <c r="N49" s="65">
        <f t="shared" si="8"/>
        <v>2951.0977556863509</v>
      </c>
    </row>
    <row r="50" spans="1:14" ht="15.75" thickBot="1">
      <c r="A50" s="66" t="s">
        <v>91</v>
      </c>
      <c r="B50" s="67">
        <f>B49</f>
        <v>-8500</v>
      </c>
      <c r="C50" s="68">
        <f>C49+B50</f>
        <v>-13135.972833803873</v>
      </c>
      <c r="D50" s="67">
        <f>D49+C50</f>
        <v>-12771.945667607746</v>
      </c>
      <c r="E50" s="67">
        <f>E49+D50</f>
        <v>-12407.918501411619</v>
      </c>
      <c r="F50" s="69">
        <f>F49+E50</f>
        <v>-13804.72830964686</v>
      </c>
      <c r="G50" s="67">
        <f>G49+F50</f>
        <v>-11701.538117882101</v>
      </c>
      <c r="H50" s="67">
        <f t="shared" ref="H50:N50" si="9">H49+G50</f>
        <v>-9598.3479261173416</v>
      </c>
      <c r="I50" s="67">
        <f t="shared" si="9"/>
        <v>-4755.9947087839428</v>
      </c>
      <c r="J50" s="69">
        <f t="shared" si="9"/>
        <v>86.358508549456019</v>
      </c>
      <c r="K50" s="67">
        <f t="shared" si="9"/>
        <v>-1071.288274117147</v>
      </c>
      <c r="L50" s="69">
        <f t="shared" si="9"/>
        <v>3640.6464560005679</v>
      </c>
      <c r="M50" s="67">
        <f t="shared" si="9"/>
        <v>9222.162698902599</v>
      </c>
      <c r="N50" s="70">
        <f t="shared" si="9"/>
        <v>12173.26045458895</v>
      </c>
    </row>
    <row r="51" spans="1:14">
      <c r="A51" s="56"/>
      <c r="B51" s="56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1:14">
      <c r="A52" s="318" t="s">
        <v>92</v>
      </c>
      <c r="B52" s="319"/>
      <c r="C52" s="233">
        <f>-MIN(C50:N50)</f>
        <v>13804.72830964686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</sheetData>
  <mergeCells count="1">
    <mergeCell ref="A52:B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G18"/>
  <sheetViews>
    <sheetView showGridLines="0" workbookViewId="0">
      <selection sqref="A1:G18"/>
    </sheetView>
  </sheetViews>
  <sheetFormatPr baseColWidth="10" defaultRowHeight="15"/>
  <cols>
    <col min="1" max="1" width="13.42578125" bestFit="1" customWidth="1"/>
    <col min="3" max="3" width="13.28515625" bestFit="1" customWidth="1"/>
  </cols>
  <sheetData>
    <row r="1" spans="1:7">
      <c r="A1" s="12" t="s">
        <v>145</v>
      </c>
    </row>
    <row r="4" spans="1:7">
      <c r="A4" s="213" t="s">
        <v>99</v>
      </c>
      <c r="B4" s="218" t="s">
        <v>136</v>
      </c>
      <c r="C4" s="213" t="s">
        <v>153</v>
      </c>
      <c r="D4" s="213" t="s">
        <v>144</v>
      </c>
      <c r="E4" s="218" t="s">
        <v>143</v>
      </c>
      <c r="F4" s="218" t="s">
        <v>146</v>
      </c>
      <c r="G4" s="218" t="s">
        <v>52</v>
      </c>
    </row>
    <row r="5" spans="1:7">
      <c r="A5" s="28" t="s">
        <v>148</v>
      </c>
      <c r="B5" s="5">
        <f>'Calculo Demanda'!B16*115</f>
        <v>1220478.9269297367</v>
      </c>
      <c r="C5" s="212">
        <f>B17</f>
        <v>10612.860234171623</v>
      </c>
      <c r="D5" s="5">
        <f>C5*3</f>
        <v>31838.580702514868</v>
      </c>
      <c r="E5" s="5">
        <f>D5/200</f>
        <v>159.19290351257433</v>
      </c>
      <c r="F5" s="5">
        <v>10</v>
      </c>
      <c r="G5" s="5">
        <f>E5*F5</f>
        <v>1591.9290351257432</v>
      </c>
    </row>
    <row r="6" spans="1:7">
      <c r="A6" s="28" t="s">
        <v>149</v>
      </c>
      <c r="B6" s="5">
        <f>+'Calculo Demanda'!B17*71</f>
        <v>920175.76274031808</v>
      </c>
      <c r="C6" s="212">
        <f>B16</f>
        <v>12960.222010427015</v>
      </c>
      <c r="D6" s="5">
        <f>C6*2</f>
        <v>25920.444020854029</v>
      </c>
      <c r="E6" s="5">
        <f>D6/200</f>
        <v>129.60222010427015</v>
      </c>
      <c r="F6" s="5">
        <v>10</v>
      </c>
      <c r="G6" s="5">
        <f t="shared" ref="G6" si="0">E6*F6</f>
        <v>1296.0222010427015</v>
      </c>
    </row>
    <row r="7" spans="1:7">
      <c r="A7" s="213" t="s">
        <v>63</v>
      </c>
      <c r="B7" s="234">
        <f>SUM(B5:B6)</f>
        <v>2140654.6896700547</v>
      </c>
      <c r="C7" s="234">
        <f t="shared" ref="C7:G7" si="1">SUM(C5:C6)</f>
        <v>23573.082244598638</v>
      </c>
      <c r="D7" s="234">
        <f t="shared" si="1"/>
        <v>57759.024723368901</v>
      </c>
      <c r="E7" s="234">
        <f t="shared" si="1"/>
        <v>288.79512361684448</v>
      </c>
      <c r="F7" s="234"/>
      <c r="G7" s="234">
        <f t="shared" si="1"/>
        <v>2887.9512361684447</v>
      </c>
    </row>
    <row r="10" spans="1:7">
      <c r="A10" s="213" t="s">
        <v>100</v>
      </c>
      <c r="B10" s="320"/>
      <c r="C10" s="320"/>
    </row>
    <row r="11" spans="1:7">
      <c r="A11" s="218" t="s">
        <v>143</v>
      </c>
      <c r="B11" s="218" t="s">
        <v>146</v>
      </c>
      <c r="C11" s="218" t="s">
        <v>52</v>
      </c>
    </row>
    <row r="12" spans="1:7">
      <c r="A12" s="212">
        <f>20%*E7</f>
        <v>57.759024723368896</v>
      </c>
      <c r="B12" s="28">
        <v>15</v>
      </c>
      <c r="C12" s="212">
        <f>B12*A12</f>
        <v>866.38537085053349</v>
      </c>
    </row>
    <row r="13" spans="1:7" ht="15.75" thickBot="1"/>
    <row r="14" spans="1:7" ht="15.75" thickBot="1">
      <c r="A14" s="123" t="s">
        <v>254</v>
      </c>
      <c r="B14" s="122"/>
      <c r="C14" s="122"/>
      <c r="D14" s="122"/>
      <c r="E14" s="122"/>
    </row>
    <row r="15" spans="1:7">
      <c r="A15" s="30"/>
      <c r="B15" s="218" t="s">
        <v>147</v>
      </c>
      <c r="C15" s="235" t="s">
        <v>254</v>
      </c>
      <c r="D15" s="218" t="s">
        <v>146</v>
      </c>
      <c r="E15" s="218" t="s">
        <v>52</v>
      </c>
    </row>
    <row r="16" spans="1:7">
      <c r="A16" s="28" t="s">
        <v>111</v>
      </c>
      <c r="B16" s="5">
        <f>'Calculo Demanda'!B17</f>
        <v>12960.222010427015</v>
      </c>
      <c r="C16" s="28">
        <v>1</v>
      </c>
      <c r="D16" s="28">
        <v>0.06</v>
      </c>
      <c r="E16" s="212">
        <f>B16*C16*D16</f>
        <v>777.61332062562087</v>
      </c>
    </row>
    <row r="17" spans="1:6">
      <c r="A17" s="28" t="s">
        <v>95</v>
      </c>
      <c r="B17" s="5">
        <f>'Calculo Demanda'!B16</f>
        <v>10612.860234171623</v>
      </c>
      <c r="C17" s="28">
        <v>1.5</v>
      </c>
      <c r="D17" s="28">
        <v>0.06</v>
      </c>
      <c r="E17" s="212">
        <f t="shared" ref="E17" si="2">B17*C17*D17</f>
        <v>955.157421075446</v>
      </c>
    </row>
    <row r="18" spans="1:6">
      <c r="A18" s="213" t="s">
        <v>63</v>
      </c>
      <c r="B18" s="234">
        <f>SUM(B16:B17)</f>
        <v>23573.082244598638</v>
      </c>
      <c r="C18" s="234">
        <f t="shared" ref="C18:E18" si="3">SUM(C16:C17)</f>
        <v>2.5</v>
      </c>
      <c r="D18" s="234"/>
      <c r="E18" s="234">
        <f t="shared" si="3"/>
        <v>1732.770741701067</v>
      </c>
      <c r="F18" s="75"/>
    </row>
  </sheetData>
  <mergeCells count="1">
    <mergeCell ref="B10:C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L85"/>
  <sheetViews>
    <sheetView showGridLines="0" workbookViewId="0">
      <selection activeCell="H27" sqref="H27"/>
    </sheetView>
  </sheetViews>
  <sheetFormatPr baseColWidth="10" defaultRowHeight="15"/>
  <cols>
    <col min="1" max="1" width="23.7109375" customWidth="1"/>
    <col min="2" max="2" width="15.5703125" customWidth="1"/>
    <col min="3" max="3" width="12" bestFit="1" customWidth="1"/>
    <col min="9" max="9" width="12.5703125" customWidth="1"/>
    <col min="12" max="12" width="12" bestFit="1" customWidth="1"/>
  </cols>
  <sheetData>
    <row r="1" spans="1:5">
      <c r="A1" s="321"/>
      <c r="B1" s="321"/>
    </row>
    <row r="2" spans="1:5">
      <c r="A2" s="122"/>
      <c r="B2" s="243"/>
    </row>
    <row r="3" spans="1:5">
      <c r="A3" s="122"/>
      <c r="B3" s="243"/>
      <c r="D3" s="326"/>
      <c r="E3" s="326"/>
    </row>
    <row r="4" spans="1:5">
      <c r="A4" s="244"/>
      <c r="B4" s="243"/>
      <c r="D4" s="239"/>
      <c r="E4" s="240"/>
    </row>
    <row r="5" spans="1:5">
      <c r="A5" s="313" t="s">
        <v>170</v>
      </c>
      <c r="B5" s="313"/>
      <c r="D5" s="239"/>
      <c r="E5" s="240"/>
    </row>
    <row r="6" spans="1:5">
      <c r="A6" s="28" t="s">
        <v>242</v>
      </c>
      <c r="B6" s="10">
        <f>Gastos!C45</f>
        <v>46759</v>
      </c>
      <c r="D6" s="239"/>
      <c r="E6" s="240"/>
    </row>
    <row r="7" spans="1:5">
      <c r="A7" s="28" t="s">
        <v>241</v>
      </c>
      <c r="B7" s="10">
        <f>Gastos!B54</f>
        <v>6760</v>
      </c>
      <c r="D7" s="241"/>
      <c r="E7" s="242"/>
    </row>
    <row r="8" spans="1:5">
      <c r="A8" s="28" t="s">
        <v>240</v>
      </c>
      <c r="B8" s="10">
        <f>'Capital de trabajo'!C52</f>
        <v>13804.72830964686</v>
      </c>
    </row>
    <row r="9" spans="1:5">
      <c r="A9" s="236" t="s">
        <v>63</v>
      </c>
      <c r="B9" s="245">
        <f>SUM(B6:B8)</f>
        <v>67323.72830964686</v>
      </c>
    </row>
    <row r="11" spans="1:5" ht="15.75" thickBot="1"/>
    <row r="12" spans="1:5" ht="15.75" thickBot="1">
      <c r="A12" s="322" t="s">
        <v>171</v>
      </c>
      <c r="B12" s="323"/>
      <c r="C12" s="324"/>
    </row>
    <row r="13" spans="1:5">
      <c r="A13" s="30" t="s">
        <v>172</v>
      </c>
      <c r="B13" s="131">
        <v>0.3</v>
      </c>
      <c r="C13" s="132">
        <f>B13*$B$9</f>
        <v>20197.118492894057</v>
      </c>
    </row>
    <row r="14" spans="1:5">
      <c r="A14" s="28" t="s">
        <v>173</v>
      </c>
      <c r="B14" s="130">
        <v>0.7</v>
      </c>
      <c r="C14" s="10">
        <f>B9*$B$14</f>
        <v>47126.609816752796</v>
      </c>
    </row>
    <row r="18" spans="1:12">
      <c r="A18" s="325" t="s">
        <v>174</v>
      </c>
      <c r="B18" s="325"/>
      <c r="C18" s="133"/>
      <c r="D18" s="262" t="s">
        <v>244</v>
      </c>
      <c r="E18" s="134"/>
      <c r="F18" s="134"/>
    </row>
    <row r="19" spans="1:12">
      <c r="A19" s="135" t="s">
        <v>175</v>
      </c>
      <c r="B19" s="136">
        <v>0.108</v>
      </c>
      <c r="C19" s="246"/>
      <c r="D19" s="261">
        <f>B19/12</f>
        <v>8.9999999999999993E-3</v>
      </c>
      <c r="E19" s="134"/>
      <c r="F19" s="134"/>
    </row>
    <row r="20" spans="1:12">
      <c r="A20" s="135" t="s">
        <v>176</v>
      </c>
      <c r="B20" s="138" t="s">
        <v>245</v>
      </c>
      <c r="C20" s="134"/>
      <c r="D20" s="138" t="s">
        <v>243</v>
      </c>
      <c r="E20" s="134"/>
      <c r="F20" s="134"/>
    </row>
    <row r="21" spans="1:12">
      <c r="A21" s="135" t="s">
        <v>177</v>
      </c>
      <c r="B21" s="138">
        <v>5</v>
      </c>
      <c r="C21" s="134"/>
      <c r="D21" s="138">
        <v>60</v>
      </c>
      <c r="E21" s="134"/>
      <c r="F21" s="134"/>
    </row>
    <row r="22" spans="1:12">
      <c r="A22" s="134"/>
      <c r="B22" s="134"/>
      <c r="C22" s="134"/>
      <c r="D22" s="134"/>
      <c r="E22" s="134"/>
      <c r="F22" s="134"/>
    </row>
    <row r="23" spans="1:12">
      <c r="A23" s="134"/>
      <c r="B23" s="134"/>
      <c r="C23" s="134"/>
      <c r="D23" s="134"/>
      <c r="E23" s="134"/>
      <c r="F23" s="137"/>
    </row>
    <row r="24" spans="1:12">
      <c r="A24" s="250" t="s">
        <v>178</v>
      </c>
      <c r="B24" s="250" t="s">
        <v>214</v>
      </c>
      <c r="C24" s="250" t="s">
        <v>180</v>
      </c>
      <c r="D24" s="250" t="s">
        <v>181</v>
      </c>
      <c r="E24" s="250" t="s">
        <v>179</v>
      </c>
      <c r="F24" s="249"/>
      <c r="H24" s="250" t="s">
        <v>178</v>
      </c>
      <c r="I24" s="250" t="s">
        <v>214</v>
      </c>
      <c r="J24" s="250" t="s">
        <v>180</v>
      </c>
      <c r="K24" s="250" t="s">
        <v>181</v>
      </c>
      <c r="L24" s="250" t="s">
        <v>179</v>
      </c>
    </row>
    <row r="25" spans="1:12">
      <c r="A25" s="254">
        <v>0</v>
      </c>
      <c r="B25" s="255"/>
      <c r="C25" s="256"/>
      <c r="D25" s="256"/>
      <c r="E25" s="256">
        <f>C13</f>
        <v>20197.118492894057</v>
      </c>
      <c r="F25" s="247"/>
      <c r="H25" s="28">
        <v>0</v>
      </c>
      <c r="I25" s="28"/>
      <c r="J25" s="28"/>
      <c r="K25" s="28"/>
      <c r="L25" s="19">
        <f>C13</f>
        <v>20197.118492894057</v>
      </c>
    </row>
    <row r="26" spans="1:12">
      <c r="A26" s="254">
        <v>1</v>
      </c>
      <c r="B26" s="257">
        <f>PMT($B$19,5,-$E$25)</f>
        <v>5437.2738959654953</v>
      </c>
      <c r="C26" s="263">
        <f>+E25*$B$19</f>
        <v>2181.288797232558</v>
      </c>
      <c r="D26" s="264">
        <f>+B26-C26</f>
        <v>3255.9850987329373</v>
      </c>
      <c r="E26" s="264">
        <f>+E25-D26</f>
        <v>16941.133394161119</v>
      </c>
      <c r="F26" s="248"/>
      <c r="H26" s="28">
        <v>1</v>
      </c>
      <c r="I26" s="251">
        <f>PMT($D$19,60,-$L$25)</f>
        <v>437.12248482235771</v>
      </c>
      <c r="J26" s="252">
        <f>+L25*$D$19</f>
        <v>181.7740664360465</v>
      </c>
      <c r="K26" s="253">
        <f>+I26-J26</f>
        <v>255.34841838631121</v>
      </c>
      <c r="L26" s="253">
        <f>+L25-K26</f>
        <v>19941.770074507745</v>
      </c>
    </row>
    <row r="27" spans="1:12">
      <c r="A27" s="254">
        <v>2</v>
      </c>
      <c r="B27" s="257">
        <f t="shared" ref="B27:B30" si="0">PMT($B$19,5,-$E$25)</f>
        <v>5437.2738959654953</v>
      </c>
      <c r="C27" s="263">
        <f t="shared" ref="C27:C30" si="1">+E26*$B$19</f>
        <v>1829.6424065694009</v>
      </c>
      <c r="D27" s="264">
        <f t="shared" ref="D27:D30" si="2">+B27-C27</f>
        <v>3607.6314893960944</v>
      </c>
      <c r="E27" s="264">
        <f t="shared" ref="E27:E30" si="3">+E26-D27</f>
        <v>13333.501904765024</v>
      </c>
      <c r="F27" s="248"/>
      <c r="H27" s="28">
        <v>2</v>
      </c>
      <c r="I27" s="251">
        <f t="shared" ref="I27:I85" si="4">PMT($D$19,60,-$L$25)</f>
        <v>437.12248482235771</v>
      </c>
      <c r="J27" s="252">
        <f t="shared" ref="J27:J85" si="5">+L26*$D$19</f>
        <v>179.47593067056968</v>
      </c>
      <c r="K27" s="253">
        <f t="shared" ref="K27:K85" si="6">+I27-J27</f>
        <v>257.646554151788</v>
      </c>
      <c r="L27" s="253">
        <f t="shared" ref="L27:L85" si="7">+L26-K27</f>
        <v>19684.123520355959</v>
      </c>
    </row>
    <row r="28" spans="1:12">
      <c r="A28" s="254">
        <v>3</v>
      </c>
      <c r="B28" s="257">
        <f t="shared" si="0"/>
        <v>5437.2738959654953</v>
      </c>
      <c r="C28" s="263">
        <f t="shared" si="1"/>
        <v>1440.0182057146226</v>
      </c>
      <c r="D28" s="264">
        <f t="shared" si="2"/>
        <v>3997.2556902508727</v>
      </c>
      <c r="E28" s="264">
        <f t="shared" si="3"/>
        <v>9336.2462145141508</v>
      </c>
      <c r="F28" s="248"/>
      <c r="H28" s="28">
        <v>3</v>
      </c>
      <c r="I28" s="251">
        <f t="shared" si="4"/>
        <v>437.12248482235771</v>
      </c>
      <c r="J28" s="252">
        <f t="shared" si="5"/>
        <v>177.15711168320362</v>
      </c>
      <c r="K28" s="253">
        <f t="shared" si="6"/>
        <v>259.96537313915405</v>
      </c>
      <c r="L28" s="253">
        <f t="shared" si="7"/>
        <v>19424.158147216804</v>
      </c>
    </row>
    <row r="29" spans="1:12">
      <c r="A29" s="254">
        <v>4</v>
      </c>
      <c r="B29" s="257">
        <f t="shared" si="0"/>
        <v>5437.2738959654953</v>
      </c>
      <c r="C29" s="263">
        <f t="shared" si="1"/>
        <v>1008.3145911675283</v>
      </c>
      <c r="D29" s="264">
        <f t="shared" si="2"/>
        <v>4428.959304797967</v>
      </c>
      <c r="E29" s="264">
        <f t="shared" si="3"/>
        <v>4907.2869097161838</v>
      </c>
      <c r="F29" s="248"/>
      <c r="H29" s="28">
        <v>4</v>
      </c>
      <c r="I29" s="251">
        <f t="shared" si="4"/>
        <v>437.12248482235771</v>
      </c>
      <c r="J29" s="252">
        <f t="shared" si="5"/>
        <v>174.81742332495122</v>
      </c>
      <c r="K29" s="253">
        <f t="shared" si="6"/>
        <v>262.30506149740648</v>
      </c>
      <c r="L29" s="253">
        <f t="shared" si="7"/>
        <v>19161.853085719398</v>
      </c>
    </row>
    <row r="30" spans="1:12">
      <c r="A30" s="254">
        <v>5</v>
      </c>
      <c r="B30" s="257">
        <f t="shared" si="0"/>
        <v>5437.2738959654953</v>
      </c>
      <c r="C30" s="263">
        <f t="shared" si="1"/>
        <v>529.98698624934786</v>
      </c>
      <c r="D30" s="264">
        <f t="shared" si="2"/>
        <v>4907.2869097161474</v>
      </c>
      <c r="E30" s="264">
        <f t="shared" si="3"/>
        <v>3.637978807091713E-11</v>
      </c>
      <c r="F30" s="248"/>
      <c r="H30" s="28">
        <v>5</v>
      </c>
      <c r="I30" s="251">
        <f t="shared" si="4"/>
        <v>437.12248482235771</v>
      </c>
      <c r="J30" s="252">
        <f t="shared" si="5"/>
        <v>172.45667777147457</v>
      </c>
      <c r="K30" s="253">
        <f t="shared" si="6"/>
        <v>264.66580705088313</v>
      </c>
      <c r="L30" s="253">
        <f t="shared" si="7"/>
        <v>18897.187278668516</v>
      </c>
    </row>
    <row r="31" spans="1:12">
      <c r="A31" s="258"/>
      <c r="B31" s="259"/>
      <c r="C31" s="259"/>
      <c r="D31" s="259"/>
      <c r="E31" s="259"/>
      <c r="H31" s="28">
        <v>6</v>
      </c>
      <c r="I31" s="251">
        <f t="shared" si="4"/>
        <v>437.12248482235771</v>
      </c>
      <c r="J31" s="252">
        <f t="shared" si="5"/>
        <v>170.07468550801664</v>
      </c>
      <c r="K31" s="253">
        <f t="shared" si="6"/>
        <v>267.04779931434109</v>
      </c>
      <c r="L31" s="253">
        <f t="shared" si="7"/>
        <v>18630.139479354177</v>
      </c>
    </row>
    <row r="32" spans="1:12">
      <c r="A32" s="258"/>
      <c r="B32" s="259"/>
      <c r="C32" s="259"/>
      <c r="D32" s="259"/>
      <c r="E32" s="259"/>
      <c r="H32" s="28">
        <v>7</v>
      </c>
      <c r="I32" s="251">
        <f t="shared" si="4"/>
        <v>437.12248482235771</v>
      </c>
      <c r="J32" s="252">
        <f t="shared" si="5"/>
        <v>167.67125531418759</v>
      </c>
      <c r="K32" s="253">
        <f t="shared" si="6"/>
        <v>269.45122950817012</v>
      </c>
      <c r="L32" s="253">
        <f t="shared" si="7"/>
        <v>18360.688249846007</v>
      </c>
    </row>
    <row r="33" spans="1:12">
      <c r="A33" s="258"/>
      <c r="B33" s="259"/>
      <c r="C33" s="259"/>
      <c r="D33" s="259"/>
      <c r="E33" s="259"/>
      <c r="H33" s="28">
        <v>8</v>
      </c>
      <c r="I33" s="251">
        <f t="shared" si="4"/>
        <v>437.12248482235771</v>
      </c>
      <c r="J33" s="252">
        <f t="shared" si="5"/>
        <v>165.24619424861405</v>
      </c>
      <c r="K33" s="253">
        <f t="shared" si="6"/>
        <v>271.87629057374363</v>
      </c>
      <c r="L33" s="253">
        <f t="shared" si="7"/>
        <v>18088.811959272265</v>
      </c>
    </row>
    <row r="34" spans="1:12">
      <c r="A34" s="258"/>
      <c r="B34" s="259"/>
      <c r="C34" s="259"/>
      <c r="D34" s="259"/>
      <c r="E34" s="259"/>
      <c r="H34" s="28">
        <v>9</v>
      </c>
      <c r="I34" s="251">
        <f t="shared" si="4"/>
        <v>437.12248482235771</v>
      </c>
      <c r="J34" s="252">
        <f t="shared" si="5"/>
        <v>162.79930763345038</v>
      </c>
      <c r="K34" s="253">
        <f t="shared" si="6"/>
        <v>274.32317718890732</v>
      </c>
      <c r="L34" s="253">
        <f t="shared" si="7"/>
        <v>17814.488782083357</v>
      </c>
    </row>
    <row r="35" spans="1:12">
      <c r="A35" s="258"/>
      <c r="B35" s="259"/>
      <c r="C35" s="259"/>
      <c r="D35" s="259"/>
      <c r="E35" s="259"/>
      <c r="H35" s="28">
        <v>10</v>
      </c>
      <c r="I35" s="251">
        <f t="shared" si="4"/>
        <v>437.12248482235771</v>
      </c>
      <c r="J35" s="252">
        <f t="shared" si="5"/>
        <v>160.33039903875022</v>
      </c>
      <c r="K35" s="253">
        <f t="shared" si="6"/>
        <v>276.79208578360749</v>
      </c>
      <c r="L35" s="253">
        <f t="shared" si="7"/>
        <v>17537.69669629975</v>
      </c>
    </row>
    <row r="36" spans="1:12">
      <c r="A36" s="258"/>
      <c r="B36" s="259"/>
      <c r="C36" s="259"/>
      <c r="D36" s="259"/>
      <c r="E36" s="259"/>
      <c r="H36" s="28">
        <v>11</v>
      </c>
      <c r="I36" s="251">
        <f t="shared" si="4"/>
        <v>437.12248482235771</v>
      </c>
      <c r="J36" s="252">
        <f t="shared" si="5"/>
        <v>157.83927026669775</v>
      </c>
      <c r="K36" s="253">
        <f t="shared" si="6"/>
        <v>279.28321455565992</v>
      </c>
      <c r="L36" s="253">
        <f t="shared" si="7"/>
        <v>17258.41348174409</v>
      </c>
    </row>
    <row r="37" spans="1:12">
      <c r="A37" s="258"/>
      <c r="B37" s="259"/>
      <c r="C37" s="259"/>
      <c r="D37" s="259"/>
      <c r="E37" s="259"/>
      <c r="H37" s="28">
        <v>12</v>
      </c>
      <c r="I37" s="251">
        <f t="shared" si="4"/>
        <v>437.12248482235771</v>
      </c>
      <c r="J37" s="252">
        <f t="shared" si="5"/>
        <v>155.32572133569678</v>
      </c>
      <c r="K37" s="253">
        <f t="shared" si="6"/>
        <v>281.79676348666089</v>
      </c>
      <c r="L37" s="253">
        <f t="shared" si="7"/>
        <v>16976.616718257428</v>
      </c>
    </row>
    <row r="38" spans="1:12">
      <c r="A38" s="258"/>
      <c r="B38" s="259"/>
      <c r="C38" s="259"/>
      <c r="D38" s="259"/>
      <c r="E38" s="259"/>
      <c r="H38" s="28">
        <v>13</v>
      </c>
      <c r="I38" s="251">
        <f t="shared" si="4"/>
        <v>437.12248482235771</v>
      </c>
      <c r="J38" s="252">
        <f t="shared" si="5"/>
        <v>152.78955046431685</v>
      </c>
      <c r="K38" s="253">
        <f t="shared" si="6"/>
        <v>284.33293435804086</v>
      </c>
      <c r="L38" s="253">
        <f t="shared" si="7"/>
        <v>16692.283783899387</v>
      </c>
    </row>
    <row r="39" spans="1:12">
      <c r="A39" s="258"/>
      <c r="B39" s="259"/>
      <c r="C39" s="259"/>
      <c r="D39" s="259"/>
      <c r="E39" s="259"/>
      <c r="H39" s="28">
        <v>14</v>
      </c>
      <c r="I39" s="251">
        <f t="shared" si="4"/>
        <v>437.12248482235771</v>
      </c>
      <c r="J39" s="252">
        <f t="shared" si="5"/>
        <v>150.23055405509447</v>
      </c>
      <c r="K39" s="253">
        <f t="shared" si="6"/>
        <v>286.89193076726326</v>
      </c>
      <c r="L39" s="253">
        <f t="shared" si="7"/>
        <v>16405.391853132125</v>
      </c>
    </row>
    <row r="40" spans="1:12">
      <c r="A40" s="258"/>
      <c r="B40" s="259"/>
      <c r="C40" s="259"/>
      <c r="D40" s="259"/>
      <c r="E40" s="259"/>
      <c r="H40" s="28">
        <v>15</v>
      </c>
      <c r="I40" s="251">
        <f t="shared" si="4"/>
        <v>437.12248482235771</v>
      </c>
      <c r="J40" s="252">
        <f t="shared" si="5"/>
        <v>147.64852667818911</v>
      </c>
      <c r="K40" s="253">
        <f t="shared" si="6"/>
        <v>289.47395814416859</v>
      </c>
      <c r="L40" s="253">
        <f t="shared" si="7"/>
        <v>16115.917894987957</v>
      </c>
    </row>
    <row r="41" spans="1:12">
      <c r="A41" s="258"/>
      <c r="B41" s="259"/>
      <c r="C41" s="259"/>
      <c r="D41" s="259"/>
      <c r="E41" s="259"/>
      <c r="H41" s="28">
        <v>16</v>
      </c>
      <c r="I41" s="251">
        <f t="shared" si="4"/>
        <v>437.12248482235771</v>
      </c>
      <c r="J41" s="252">
        <f t="shared" si="5"/>
        <v>145.04326105489162</v>
      </c>
      <c r="K41" s="253">
        <f t="shared" si="6"/>
        <v>292.07922376746609</v>
      </c>
      <c r="L41" s="253">
        <f t="shared" si="7"/>
        <v>15823.83867122049</v>
      </c>
    </row>
    <row r="42" spans="1:12">
      <c r="A42" s="258"/>
      <c r="B42" s="259"/>
      <c r="C42" s="259"/>
      <c r="D42" s="259"/>
      <c r="E42" s="259"/>
      <c r="H42" s="28">
        <v>17</v>
      </c>
      <c r="I42" s="251">
        <f t="shared" si="4"/>
        <v>437.12248482235771</v>
      </c>
      <c r="J42" s="252">
        <f t="shared" si="5"/>
        <v>142.41454804098441</v>
      </c>
      <c r="K42" s="253">
        <f t="shared" si="6"/>
        <v>294.70793678137329</v>
      </c>
      <c r="L42" s="253">
        <f t="shared" si="7"/>
        <v>15529.130734439117</v>
      </c>
    </row>
    <row r="43" spans="1:12">
      <c r="A43" s="258"/>
      <c r="B43" s="259"/>
      <c r="C43" s="259"/>
      <c r="D43" s="259"/>
      <c r="E43" s="259"/>
      <c r="H43" s="28">
        <v>18</v>
      </c>
      <c r="I43" s="251">
        <f t="shared" si="4"/>
        <v>437.12248482235771</v>
      </c>
      <c r="J43" s="252">
        <f t="shared" si="5"/>
        <v>139.76217660995204</v>
      </c>
      <c r="K43" s="253">
        <f t="shared" si="6"/>
        <v>297.3603082124057</v>
      </c>
      <c r="L43" s="253">
        <f t="shared" si="7"/>
        <v>15231.770426226711</v>
      </c>
    </row>
    <row r="44" spans="1:12">
      <c r="A44" s="258"/>
      <c r="B44" s="259"/>
      <c r="C44" s="259"/>
      <c r="D44" s="259"/>
      <c r="E44" s="259"/>
      <c r="H44" s="28">
        <v>19</v>
      </c>
      <c r="I44" s="251">
        <f t="shared" si="4"/>
        <v>437.12248482235771</v>
      </c>
      <c r="J44" s="252">
        <f t="shared" si="5"/>
        <v>137.0859338360404</v>
      </c>
      <c r="K44" s="253">
        <f t="shared" si="6"/>
        <v>300.03655098631731</v>
      </c>
      <c r="L44" s="253">
        <f t="shared" si="7"/>
        <v>14931.733875240394</v>
      </c>
    </row>
    <row r="45" spans="1:12">
      <c r="A45" s="258"/>
      <c r="B45" s="259"/>
      <c r="C45" s="259"/>
      <c r="D45" s="259"/>
      <c r="E45" s="259"/>
      <c r="H45" s="28">
        <v>20</v>
      </c>
      <c r="I45" s="251">
        <f t="shared" si="4"/>
        <v>437.12248482235771</v>
      </c>
      <c r="J45" s="252">
        <f t="shared" si="5"/>
        <v>134.38560487716353</v>
      </c>
      <c r="K45" s="253">
        <f t="shared" si="6"/>
        <v>302.73687994519418</v>
      </c>
      <c r="L45" s="253">
        <f t="shared" si="7"/>
        <v>14628.9969952952</v>
      </c>
    </row>
    <row r="46" spans="1:12">
      <c r="A46" s="258"/>
      <c r="B46" s="259"/>
      <c r="C46" s="259"/>
      <c r="D46" s="259"/>
      <c r="E46" s="259"/>
      <c r="H46" s="28">
        <v>21</v>
      </c>
      <c r="I46" s="251">
        <f t="shared" si="4"/>
        <v>437.12248482235771</v>
      </c>
      <c r="J46" s="252">
        <f t="shared" si="5"/>
        <v>131.66097295765678</v>
      </c>
      <c r="K46" s="253">
        <f t="shared" si="6"/>
        <v>305.46151186470092</v>
      </c>
      <c r="L46" s="253">
        <f t="shared" si="7"/>
        <v>14323.535483430498</v>
      </c>
    </row>
    <row r="47" spans="1:12">
      <c r="A47" s="258"/>
      <c r="B47" s="259"/>
      <c r="C47" s="259"/>
      <c r="D47" s="259"/>
      <c r="E47" s="259"/>
      <c r="H47" s="28">
        <v>22</v>
      </c>
      <c r="I47" s="251">
        <f t="shared" si="4"/>
        <v>437.12248482235771</v>
      </c>
      <c r="J47" s="252">
        <f t="shared" si="5"/>
        <v>128.91181935087448</v>
      </c>
      <c r="K47" s="253">
        <f t="shared" si="6"/>
        <v>308.21066547148325</v>
      </c>
      <c r="L47" s="253">
        <f t="shared" si="7"/>
        <v>14015.324817959015</v>
      </c>
    </row>
    <row r="48" spans="1:12">
      <c r="A48" s="258"/>
      <c r="B48" s="259"/>
      <c r="C48" s="259"/>
      <c r="D48" s="259"/>
      <c r="E48" s="259"/>
      <c r="H48" s="28">
        <v>23</v>
      </c>
      <c r="I48" s="251">
        <f t="shared" si="4"/>
        <v>437.12248482235771</v>
      </c>
      <c r="J48" s="252">
        <f t="shared" si="5"/>
        <v>126.13792336163112</v>
      </c>
      <c r="K48" s="253">
        <f t="shared" si="6"/>
        <v>310.98456146072658</v>
      </c>
      <c r="L48" s="253">
        <f t="shared" si="7"/>
        <v>13704.34025649829</v>
      </c>
    </row>
    <row r="49" spans="1:12">
      <c r="A49" s="258"/>
      <c r="B49" s="259"/>
      <c r="C49" s="259"/>
      <c r="D49" s="259"/>
      <c r="E49" s="259"/>
      <c r="H49" s="28">
        <v>24</v>
      </c>
      <c r="I49" s="251">
        <f t="shared" si="4"/>
        <v>437.12248482235771</v>
      </c>
      <c r="J49" s="252">
        <f t="shared" si="5"/>
        <v>123.3390623084846</v>
      </c>
      <c r="K49" s="253">
        <f t="shared" si="6"/>
        <v>313.78342251387312</v>
      </c>
      <c r="L49" s="253">
        <f t="shared" si="7"/>
        <v>13390.556833984418</v>
      </c>
    </row>
    <row r="50" spans="1:12">
      <c r="A50" s="258"/>
      <c r="B50" s="259"/>
      <c r="C50" s="259"/>
      <c r="D50" s="259"/>
      <c r="E50" s="259"/>
      <c r="H50" s="28">
        <v>25</v>
      </c>
      <c r="I50" s="251">
        <f t="shared" si="4"/>
        <v>437.12248482235771</v>
      </c>
      <c r="J50" s="252">
        <f t="shared" si="5"/>
        <v>120.51501150585975</v>
      </c>
      <c r="K50" s="253">
        <f t="shared" si="6"/>
        <v>316.60747331649793</v>
      </c>
      <c r="L50" s="253">
        <f t="shared" si="7"/>
        <v>13073.949360667919</v>
      </c>
    </row>
    <row r="51" spans="1:12">
      <c r="A51" s="258"/>
      <c r="B51" s="259"/>
      <c r="C51" s="259"/>
      <c r="D51" s="259"/>
      <c r="E51" s="259"/>
      <c r="H51" s="28">
        <v>26</v>
      </c>
      <c r="I51" s="251">
        <f t="shared" si="4"/>
        <v>437.12248482235771</v>
      </c>
      <c r="J51" s="252">
        <f t="shared" si="5"/>
        <v>117.66554424601127</v>
      </c>
      <c r="K51" s="253">
        <f t="shared" si="6"/>
        <v>319.45694057634643</v>
      </c>
      <c r="L51" s="253">
        <f t="shared" si="7"/>
        <v>12754.492420091572</v>
      </c>
    </row>
    <row r="52" spans="1:12">
      <c r="A52" s="258"/>
      <c r="B52" s="259"/>
      <c r="C52" s="259"/>
      <c r="D52" s="259"/>
      <c r="E52" s="259"/>
      <c r="H52" s="28">
        <v>27</v>
      </c>
      <c r="I52" s="251">
        <f t="shared" si="4"/>
        <v>437.12248482235771</v>
      </c>
      <c r="J52" s="252">
        <f t="shared" si="5"/>
        <v>114.79043178082414</v>
      </c>
      <c r="K52" s="253">
        <f t="shared" si="6"/>
        <v>322.33205304153358</v>
      </c>
      <c r="L52" s="253">
        <f t="shared" si="7"/>
        <v>12432.160367050039</v>
      </c>
    </row>
    <row r="53" spans="1:12">
      <c r="A53" s="258"/>
      <c r="B53" s="259"/>
      <c r="C53" s="259"/>
      <c r="D53" s="259"/>
      <c r="E53" s="259"/>
      <c r="H53" s="28">
        <v>28</v>
      </c>
      <c r="I53" s="251">
        <f t="shared" si="4"/>
        <v>437.12248482235771</v>
      </c>
      <c r="J53" s="252">
        <f t="shared" si="5"/>
        <v>111.88944330345035</v>
      </c>
      <c r="K53" s="253">
        <f t="shared" si="6"/>
        <v>325.23304151890738</v>
      </c>
      <c r="L53" s="253">
        <f t="shared" si="7"/>
        <v>12106.927325531131</v>
      </c>
    </row>
    <row r="54" spans="1:12">
      <c r="A54" s="258"/>
      <c r="B54" s="259"/>
      <c r="C54" s="259"/>
      <c r="D54" s="259"/>
      <c r="E54" s="259"/>
      <c r="H54" s="28">
        <v>29</v>
      </c>
      <c r="I54" s="251">
        <f t="shared" si="4"/>
        <v>437.12248482235771</v>
      </c>
      <c r="J54" s="252">
        <f t="shared" si="5"/>
        <v>108.96234592978017</v>
      </c>
      <c r="K54" s="253">
        <f t="shared" si="6"/>
        <v>328.16013889257755</v>
      </c>
      <c r="L54" s="253">
        <f t="shared" si="7"/>
        <v>11778.767186638554</v>
      </c>
    </row>
    <row r="55" spans="1:12">
      <c r="A55" s="258"/>
      <c r="B55" s="259"/>
      <c r="C55" s="259"/>
      <c r="D55" s="259"/>
      <c r="E55" s="259"/>
      <c r="H55" s="28">
        <v>30</v>
      </c>
      <c r="I55" s="251">
        <f t="shared" si="4"/>
        <v>437.12248482235771</v>
      </c>
      <c r="J55" s="252">
        <f t="shared" si="5"/>
        <v>106.00890467974698</v>
      </c>
      <c r="K55" s="253">
        <f t="shared" si="6"/>
        <v>331.11358014261072</v>
      </c>
      <c r="L55" s="253">
        <f t="shared" si="7"/>
        <v>11447.653606495944</v>
      </c>
    </row>
    <row r="56" spans="1:12">
      <c r="A56" s="258"/>
      <c r="B56" s="259"/>
      <c r="C56" s="259"/>
      <c r="D56" s="259"/>
      <c r="E56" s="259"/>
      <c r="H56" s="28">
        <v>31</v>
      </c>
      <c r="I56" s="251">
        <f t="shared" si="4"/>
        <v>437.12248482235771</v>
      </c>
      <c r="J56" s="252">
        <f t="shared" si="5"/>
        <v>103.02888245846349</v>
      </c>
      <c r="K56" s="253">
        <f t="shared" si="6"/>
        <v>334.09360236389421</v>
      </c>
      <c r="L56" s="253">
        <f t="shared" si="7"/>
        <v>11113.56000413205</v>
      </c>
    </row>
    <row r="57" spans="1:12">
      <c r="A57" s="258"/>
      <c r="B57" s="259"/>
      <c r="C57" s="259"/>
      <c r="D57" s="259"/>
      <c r="E57" s="259"/>
      <c r="H57" s="28">
        <v>32</v>
      </c>
      <c r="I57" s="251">
        <f t="shared" si="4"/>
        <v>437.12248482235771</v>
      </c>
      <c r="J57" s="252">
        <f t="shared" si="5"/>
        <v>100.02204003718845</v>
      </c>
      <c r="K57" s="253">
        <f t="shared" si="6"/>
        <v>337.10044478516926</v>
      </c>
      <c r="L57" s="253">
        <f t="shared" si="7"/>
        <v>10776.45955934688</v>
      </c>
    </row>
    <row r="58" spans="1:12">
      <c r="A58" s="258"/>
      <c r="B58" s="259"/>
      <c r="C58" s="259"/>
      <c r="D58" s="259"/>
      <c r="E58" s="259"/>
      <c r="H58" s="28">
        <v>33</v>
      </c>
      <c r="I58" s="251">
        <f t="shared" si="4"/>
        <v>437.12248482235771</v>
      </c>
      <c r="J58" s="252">
        <f t="shared" si="5"/>
        <v>96.988136034121922</v>
      </c>
      <c r="K58" s="253">
        <f t="shared" si="6"/>
        <v>340.1343487882358</v>
      </c>
      <c r="L58" s="253">
        <f t="shared" si="7"/>
        <v>10436.325210558645</v>
      </c>
    </row>
    <row r="59" spans="1:12">
      <c r="A59" s="258"/>
      <c r="B59" s="259"/>
      <c r="C59" s="259"/>
      <c r="D59" s="259"/>
      <c r="E59" s="259"/>
      <c r="H59" s="28">
        <v>34</v>
      </c>
      <c r="I59" s="251">
        <f t="shared" si="4"/>
        <v>437.12248482235771</v>
      </c>
      <c r="J59" s="252">
        <f t="shared" si="5"/>
        <v>93.926926895027805</v>
      </c>
      <c r="K59" s="253">
        <f t="shared" si="6"/>
        <v>343.1955579273299</v>
      </c>
      <c r="L59" s="253">
        <f t="shared" si="7"/>
        <v>10093.129652631316</v>
      </c>
    </row>
    <row r="60" spans="1:12">
      <c r="A60" s="258"/>
      <c r="B60" s="259"/>
      <c r="C60" s="259"/>
      <c r="D60" s="259"/>
      <c r="E60" s="259"/>
      <c r="H60" s="28">
        <v>35</v>
      </c>
      <c r="I60" s="251">
        <f t="shared" si="4"/>
        <v>437.12248482235771</v>
      </c>
      <c r="J60" s="252">
        <f t="shared" si="5"/>
        <v>90.838166873681843</v>
      </c>
      <c r="K60" s="253">
        <f t="shared" si="6"/>
        <v>346.28431794867583</v>
      </c>
      <c r="L60" s="253">
        <f t="shared" si="7"/>
        <v>9746.8453346826409</v>
      </c>
    </row>
    <row r="61" spans="1:12">
      <c r="A61" s="258"/>
      <c r="B61" s="259"/>
      <c r="C61" s="259"/>
      <c r="D61" s="259"/>
      <c r="E61" s="259"/>
      <c r="H61" s="28">
        <v>36</v>
      </c>
      <c r="I61" s="251">
        <f t="shared" si="4"/>
        <v>437.12248482235771</v>
      </c>
      <c r="J61" s="252">
        <f t="shared" si="5"/>
        <v>87.721608012143761</v>
      </c>
      <c r="K61" s="253">
        <f t="shared" si="6"/>
        <v>349.40087681021396</v>
      </c>
      <c r="L61" s="253">
        <f t="shared" si="7"/>
        <v>9397.4444578724269</v>
      </c>
    </row>
    <row r="62" spans="1:12">
      <c r="A62" s="258"/>
      <c r="B62" s="259"/>
      <c r="C62" s="259"/>
      <c r="D62" s="259"/>
      <c r="E62" s="259"/>
      <c r="H62" s="28">
        <v>37</v>
      </c>
      <c r="I62" s="251">
        <f t="shared" si="4"/>
        <v>437.12248482235771</v>
      </c>
      <c r="J62" s="252">
        <f t="shared" si="5"/>
        <v>84.577000120851835</v>
      </c>
      <c r="K62" s="253">
        <f t="shared" si="6"/>
        <v>352.54548470150587</v>
      </c>
      <c r="L62" s="253">
        <f t="shared" si="7"/>
        <v>9044.8989731709207</v>
      </c>
    </row>
    <row r="63" spans="1:12">
      <c r="A63" s="258"/>
      <c r="B63" s="259"/>
      <c r="C63" s="259"/>
      <c r="D63" s="259"/>
      <c r="E63" s="259"/>
      <c r="H63" s="28">
        <v>38</v>
      </c>
      <c r="I63" s="251">
        <f t="shared" si="4"/>
        <v>437.12248482235771</v>
      </c>
      <c r="J63" s="252">
        <f t="shared" si="5"/>
        <v>81.404090758538274</v>
      </c>
      <c r="K63" s="253">
        <f t="shared" si="6"/>
        <v>355.71839406381946</v>
      </c>
      <c r="L63" s="253">
        <f t="shared" si="7"/>
        <v>8689.1805791071019</v>
      </c>
    </row>
    <row r="64" spans="1:12">
      <c r="A64" s="258"/>
      <c r="B64" s="259"/>
      <c r="C64" s="259"/>
      <c r="D64" s="259"/>
      <c r="E64" s="259"/>
      <c r="H64" s="28">
        <v>39</v>
      </c>
      <c r="I64" s="251">
        <f t="shared" si="4"/>
        <v>437.12248482235771</v>
      </c>
      <c r="J64" s="252">
        <f t="shared" si="5"/>
        <v>78.202625211963905</v>
      </c>
      <c r="K64" s="253">
        <f t="shared" si="6"/>
        <v>358.91985961039381</v>
      </c>
      <c r="L64" s="253">
        <f t="shared" si="7"/>
        <v>8330.2607194967077</v>
      </c>
    </row>
    <row r="65" spans="1:12">
      <c r="A65" s="258"/>
      <c r="B65" s="259"/>
      <c r="C65" s="259"/>
      <c r="D65" s="259"/>
      <c r="E65" s="259"/>
      <c r="H65" s="28">
        <v>40</v>
      </c>
      <c r="I65" s="251">
        <f t="shared" si="4"/>
        <v>437.12248482235771</v>
      </c>
      <c r="J65" s="252">
        <f t="shared" si="5"/>
        <v>74.97234647547036</v>
      </c>
      <c r="K65" s="253">
        <f t="shared" si="6"/>
        <v>362.15013834688733</v>
      </c>
      <c r="L65" s="253">
        <f t="shared" si="7"/>
        <v>7968.1105811498201</v>
      </c>
    </row>
    <row r="66" spans="1:12">
      <c r="A66" s="258"/>
      <c r="B66" s="259"/>
      <c r="C66" s="259"/>
      <c r="D66" s="259"/>
      <c r="E66" s="259"/>
      <c r="H66" s="28">
        <v>41</v>
      </c>
      <c r="I66" s="251">
        <f t="shared" si="4"/>
        <v>437.12248482235771</v>
      </c>
      <c r="J66" s="252">
        <f t="shared" si="5"/>
        <v>71.712995230348369</v>
      </c>
      <c r="K66" s="253">
        <f t="shared" si="6"/>
        <v>365.40948959200932</v>
      </c>
      <c r="L66" s="253">
        <f t="shared" si="7"/>
        <v>7602.7010915578103</v>
      </c>
    </row>
    <row r="67" spans="1:12">
      <c r="A67" s="258"/>
      <c r="B67" s="259"/>
      <c r="C67" s="259"/>
      <c r="D67" s="259"/>
      <c r="E67" s="259"/>
      <c r="H67" s="28">
        <v>42</v>
      </c>
      <c r="I67" s="251">
        <f t="shared" si="4"/>
        <v>437.12248482235771</v>
      </c>
      <c r="J67" s="252">
        <f t="shared" si="5"/>
        <v>68.424309824020284</v>
      </c>
      <c r="K67" s="253">
        <f t="shared" si="6"/>
        <v>368.69817499833744</v>
      </c>
      <c r="L67" s="253">
        <f t="shared" si="7"/>
        <v>7234.0029165594733</v>
      </c>
    </row>
    <row r="68" spans="1:12">
      <c r="A68" s="258"/>
      <c r="B68" s="259"/>
      <c r="C68" s="259"/>
      <c r="D68" s="259"/>
      <c r="E68" s="259"/>
      <c r="H68" s="28">
        <v>43</v>
      </c>
      <c r="I68" s="251">
        <f t="shared" si="4"/>
        <v>437.12248482235771</v>
      </c>
      <c r="J68" s="252">
        <f t="shared" si="5"/>
        <v>65.106026249035253</v>
      </c>
      <c r="K68" s="253">
        <f t="shared" si="6"/>
        <v>372.01645857332244</v>
      </c>
      <c r="L68" s="253">
        <f t="shared" si="7"/>
        <v>6861.9864579861505</v>
      </c>
    </row>
    <row r="69" spans="1:12">
      <c r="A69" s="258"/>
      <c r="B69" s="259"/>
      <c r="C69" s="259"/>
      <c r="D69" s="259"/>
      <c r="E69" s="259"/>
      <c r="H69" s="28">
        <v>44</v>
      </c>
      <c r="I69" s="251">
        <f t="shared" si="4"/>
        <v>437.12248482235771</v>
      </c>
      <c r="J69" s="252">
        <f t="shared" si="5"/>
        <v>61.757878121875351</v>
      </c>
      <c r="K69" s="253">
        <f t="shared" si="6"/>
        <v>375.36460670048234</v>
      </c>
      <c r="L69" s="253">
        <f t="shared" si="7"/>
        <v>6486.6218512856685</v>
      </c>
    </row>
    <row r="70" spans="1:12">
      <c r="A70" s="258"/>
      <c r="B70" s="259"/>
      <c r="C70" s="259"/>
      <c r="D70" s="259"/>
      <c r="E70" s="259"/>
      <c r="H70" s="28">
        <v>45</v>
      </c>
      <c r="I70" s="251">
        <f t="shared" si="4"/>
        <v>437.12248482235771</v>
      </c>
      <c r="J70" s="252">
        <f t="shared" si="5"/>
        <v>58.379596661571014</v>
      </c>
      <c r="K70" s="253">
        <f t="shared" si="6"/>
        <v>378.74288816078672</v>
      </c>
      <c r="L70" s="253">
        <f t="shared" si="7"/>
        <v>6107.8789631248819</v>
      </c>
    </row>
    <row r="71" spans="1:12">
      <c r="A71" s="258"/>
      <c r="B71" s="259"/>
      <c r="C71" s="259"/>
      <c r="D71" s="259"/>
      <c r="E71" s="259"/>
      <c r="H71" s="28">
        <v>46</v>
      </c>
      <c r="I71" s="251">
        <f t="shared" si="4"/>
        <v>437.12248482235771</v>
      </c>
      <c r="J71" s="252">
        <f t="shared" si="5"/>
        <v>54.970910668123935</v>
      </c>
      <c r="K71" s="253">
        <f t="shared" si="6"/>
        <v>382.1515741542338</v>
      </c>
      <c r="L71" s="253">
        <f t="shared" si="7"/>
        <v>5725.7273889706485</v>
      </c>
    </row>
    <row r="72" spans="1:12">
      <c r="A72" s="258"/>
      <c r="B72" s="259"/>
      <c r="C72" s="259"/>
      <c r="D72" s="259"/>
      <c r="E72" s="259"/>
      <c r="H72" s="28">
        <v>47</v>
      </c>
      <c r="I72" s="251">
        <f t="shared" si="4"/>
        <v>437.12248482235771</v>
      </c>
      <c r="J72" s="252">
        <f t="shared" si="5"/>
        <v>51.531546500735836</v>
      </c>
      <c r="K72" s="253">
        <f t="shared" si="6"/>
        <v>385.59093832162188</v>
      </c>
      <c r="L72" s="253">
        <f t="shared" si="7"/>
        <v>5340.1364506490263</v>
      </c>
    </row>
    <row r="73" spans="1:12">
      <c r="A73" s="258"/>
      <c r="B73" s="259"/>
      <c r="C73" s="259"/>
      <c r="D73" s="259"/>
      <c r="E73" s="259"/>
      <c r="H73" s="28">
        <v>48</v>
      </c>
      <c r="I73" s="251">
        <f t="shared" si="4"/>
        <v>437.12248482235771</v>
      </c>
      <c r="J73" s="252">
        <f t="shared" si="5"/>
        <v>48.061228055841234</v>
      </c>
      <c r="K73" s="253">
        <f t="shared" si="6"/>
        <v>389.06125676651646</v>
      </c>
      <c r="L73" s="253">
        <f t="shared" si="7"/>
        <v>4951.0751938825097</v>
      </c>
    </row>
    <row r="74" spans="1:12">
      <c r="A74" s="258"/>
      <c r="B74" s="259"/>
      <c r="C74" s="259"/>
      <c r="D74" s="259"/>
      <c r="E74" s="259"/>
      <c r="H74" s="28">
        <v>49</v>
      </c>
      <c r="I74" s="251">
        <f t="shared" si="4"/>
        <v>437.12248482235771</v>
      </c>
      <c r="J74" s="252">
        <f t="shared" si="5"/>
        <v>44.559676744942585</v>
      </c>
      <c r="K74" s="253">
        <f t="shared" si="6"/>
        <v>392.56280807741513</v>
      </c>
      <c r="L74" s="253">
        <f t="shared" si="7"/>
        <v>4558.5123858050947</v>
      </c>
    </row>
    <row r="75" spans="1:12">
      <c r="A75" s="258"/>
      <c r="B75" s="259"/>
      <c r="C75" s="259"/>
      <c r="D75" s="259"/>
      <c r="E75" s="259"/>
      <c r="H75" s="28">
        <v>50</v>
      </c>
      <c r="I75" s="251">
        <f t="shared" si="4"/>
        <v>437.12248482235771</v>
      </c>
      <c r="J75" s="252">
        <f t="shared" si="5"/>
        <v>41.026611472245847</v>
      </c>
      <c r="K75" s="253">
        <f t="shared" si="6"/>
        <v>396.09587335011184</v>
      </c>
      <c r="L75" s="253">
        <f t="shared" si="7"/>
        <v>4162.4165124549827</v>
      </c>
    </row>
    <row r="76" spans="1:12">
      <c r="A76" s="258"/>
      <c r="B76" s="259"/>
      <c r="C76" s="259"/>
      <c r="D76" s="259"/>
      <c r="E76" s="259"/>
      <c r="H76" s="28">
        <v>51</v>
      </c>
      <c r="I76" s="251">
        <f t="shared" si="4"/>
        <v>437.12248482235771</v>
      </c>
      <c r="J76" s="252">
        <f t="shared" si="5"/>
        <v>37.461748612094844</v>
      </c>
      <c r="K76" s="253">
        <f t="shared" si="6"/>
        <v>399.66073621026288</v>
      </c>
      <c r="L76" s="253">
        <f t="shared" si="7"/>
        <v>3762.75577624472</v>
      </c>
    </row>
    <row r="77" spans="1:12">
      <c r="A77" s="258"/>
      <c r="B77" s="259"/>
      <c r="C77" s="259"/>
      <c r="D77" s="259"/>
      <c r="E77" s="259"/>
      <c r="H77" s="28">
        <v>52</v>
      </c>
      <c r="I77" s="251">
        <f t="shared" si="4"/>
        <v>437.12248482235771</v>
      </c>
      <c r="J77" s="252">
        <f t="shared" si="5"/>
        <v>33.86480198620248</v>
      </c>
      <c r="K77" s="253">
        <f t="shared" si="6"/>
        <v>403.25768283615525</v>
      </c>
      <c r="L77" s="253">
        <f t="shared" si="7"/>
        <v>3359.4980934085647</v>
      </c>
    </row>
    <row r="78" spans="1:12">
      <c r="A78" s="258"/>
      <c r="B78" s="259"/>
      <c r="C78" s="259"/>
      <c r="D78" s="259"/>
      <c r="E78" s="259"/>
      <c r="H78" s="28">
        <v>53</v>
      </c>
      <c r="I78" s="251">
        <f t="shared" si="4"/>
        <v>437.12248482235771</v>
      </c>
      <c r="J78" s="252">
        <f t="shared" si="5"/>
        <v>30.235482840677079</v>
      </c>
      <c r="K78" s="253">
        <f t="shared" si="6"/>
        <v>406.88700198168061</v>
      </c>
      <c r="L78" s="253">
        <f t="shared" si="7"/>
        <v>2952.6110914268843</v>
      </c>
    </row>
    <row r="79" spans="1:12">
      <c r="A79" s="258"/>
      <c r="B79" s="259"/>
      <c r="C79" s="259"/>
      <c r="D79" s="259"/>
      <c r="E79" s="259"/>
      <c r="H79" s="28">
        <v>54</v>
      </c>
      <c r="I79" s="251">
        <f t="shared" si="4"/>
        <v>437.12248482235771</v>
      </c>
      <c r="J79" s="252">
        <f t="shared" si="5"/>
        <v>26.573499822841956</v>
      </c>
      <c r="K79" s="253">
        <f t="shared" si="6"/>
        <v>410.54898499951577</v>
      </c>
      <c r="L79" s="253">
        <f t="shared" si="7"/>
        <v>2542.0621064273687</v>
      </c>
    </row>
    <row r="80" spans="1:12">
      <c r="A80" s="258"/>
      <c r="B80" s="259"/>
      <c r="C80" s="259"/>
      <c r="D80" s="259"/>
      <c r="E80" s="259"/>
      <c r="H80" s="28">
        <v>55</v>
      </c>
      <c r="I80" s="251">
        <f t="shared" si="4"/>
        <v>437.12248482235771</v>
      </c>
      <c r="J80" s="252">
        <f t="shared" si="5"/>
        <v>22.878558957846316</v>
      </c>
      <c r="K80" s="253">
        <f t="shared" si="6"/>
        <v>414.24392586451137</v>
      </c>
      <c r="L80" s="253">
        <f t="shared" si="7"/>
        <v>2127.8181805628574</v>
      </c>
    </row>
    <row r="81" spans="1:12">
      <c r="A81" s="258"/>
      <c r="B81" s="259"/>
      <c r="C81" s="259"/>
      <c r="D81" s="259"/>
      <c r="E81" s="259"/>
      <c r="H81" s="28">
        <v>56</v>
      </c>
      <c r="I81" s="251">
        <f t="shared" si="4"/>
        <v>437.12248482235771</v>
      </c>
      <c r="J81" s="252">
        <f t="shared" si="5"/>
        <v>19.150363625065715</v>
      </c>
      <c r="K81" s="253">
        <f t="shared" si="6"/>
        <v>417.97212119729198</v>
      </c>
      <c r="L81" s="253">
        <f t="shared" si="7"/>
        <v>1709.8460593655655</v>
      </c>
    </row>
    <row r="82" spans="1:12">
      <c r="A82" s="258"/>
      <c r="B82" s="259"/>
      <c r="C82" s="259"/>
      <c r="D82" s="259"/>
      <c r="E82" s="259"/>
      <c r="H82" s="28">
        <v>57</v>
      </c>
      <c r="I82" s="251">
        <f t="shared" si="4"/>
        <v>437.12248482235771</v>
      </c>
      <c r="J82" s="252">
        <f t="shared" si="5"/>
        <v>15.388614534290088</v>
      </c>
      <c r="K82" s="253">
        <f t="shared" si="6"/>
        <v>421.73387028806764</v>
      </c>
      <c r="L82" s="253">
        <f t="shared" si="7"/>
        <v>1288.1121890774978</v>
      </c>
    </row>
    <row r="83" spans="1:12">
      <c r="A83" s="258"/>
      <c r="B83" s="259"/>
      <c r="C83" s="259"/>
      <c r="D83" s="259"/>
      <c r="E83" s="259"/>
      <c r="H83" s="28">
        <v>58</v>
      </c>
      <c r="I83" s="251">
        <f t="shared" si="4"/>
        <v>437.12248482235771</v>
      </c>
      <c r="J83" s="252">
        <f t="shared" si="5"/>
        <v>11.593009701697479</v>
      </c>
      <c r="K83" s="253">
        <f t="shared" si="6"/>
        <v>425.52947512066021</v>
      </c>
      <c r="L83" s="253">
        <f t="shared" si="7"/>
        <v>862.58271395683755</v>
      </c>
    </row>
    <row r="84" spans="1:12">
      <c r="A84" s="258"/>
      <c r="B84" s="259"/>
      <c r="C84" s="259"/>
      <c r="D84" s="259"/>
      <c r="E84" s="259"/>
      <c r="H84" s="28">
        <v>59</v>
      </c>
      <c r="I84" s="251">
        <f t="shared" si="4"/>
        <v>437.12248482235771</v>
      </c>
      <c r="J84" s="252">
        <f t="shared" si="5"/>
        <v>7.7632444256115374</v>
      </c>
      <c r="K84" s="253">
        <f t="shared" si="6"/>
        <v>429.35924039674615</v>
      </c>
      <c r="L84" s="253">
        <f t="shared" si="7"/>
        <v>433.22347356009141</v>
      </c>
    </row>
    <row r="85" spans="1:12">
      <c r="A85" s="258"/>
      <c r="B85" s="259"/>
      <c r="C85" s="259"/>
      <c r="D85" s="259"/>
      <c r="E85" s="259"/>
      <c r="H85" s="28">
        <v>60</v>
      </c>
      <c r="I85" s="251">
        <f t="shared" si="4"/>
        <v>437.12248482235771</v>
      </c>
      <c r="J85" s="252">
        <f t="shared" si="5"/>
        <v>3.8990112620408222</v>
      </c>
      <c r="K85" s="253">
        <f t="shared" si="6"/>
        <v>433.2234735603169</v>
      </c>
      <c r="L85" s="253">
        <f t="shared" si="7"/>
        <v>-2.2549784262082539E-10</v>
      </c>
    </row>
  </sheetData>
  <mergeCells count="5">
    <mergeCell ref="A1:B1"/>
    <mergeCell ref="A12:C12"/>
    <mergeCell ref="A18:B18"/>
    <mergeCell ref="D3:E3"/>
    <mergeCell ref="A5:B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1:F18"/>
  <sheetViews>
    <sheetView showGridLines="0" workbookViewId="0">
      <selection sqref="A1:E15"/>
    </sheetView>
  </sheetViews>
  <sheetFormatPr baseColWidth="10" defaultRowHeight="12"/>
  <cols>
    <col min="1" max="1" width="23" style="140" bestFit="1" customWidth="1"/>
    <col min="2" max="3" width="11.42578125" style="140"/>
    <col min="4" max="4" width="17" style="140" bestFit="1" customWidth="1"/>
    <col min="5" max="5" width="10.28515625" style="140" bestFit="1" customWidth="1"/>
    <col min="6" max="16384" width="11.42578125" style="140"/>
  </cols>
  <sheetData>
    <row r="1" spans="1:6" ht="12.75" thickBot="1">
      <c r="A1" s="327" t="s">
        <v>183</v>
      </c>
      <c r="B1" s="328"/>
      <c r="C1" s="328"/>
      <c r="D1" s="328"/>
      <c r="E1" s="329"/>
      <c r="F1" s="139"/>
    </row>
    <row r="2" spans="1:6">
      <c r="A2" s="285" t="s">
        <v>182</v>
      </c>
      <c r="B2" s="286"/>
      <c r="C2" s="286"/>
      <c r="D2" s="141" t="s">
        <v>184</v>
      </c>
      <c r="E2" s="287">
        <f>E3/E15</f>
        <v>0.32411468429314116</v>
      </c>
    </row>
    <row r="3" spans="1:6">
      <c r="A3" s="288" t="s">
        <v>185</v>
      </c>
      <c r="B3" s="142"/>
      <c r="C3" s="286"/>
      <c r="D3" s="289" t="s">
        <v>186</v>
      </c>
      <c r="E3" s="290">
        <f>Inversion!C13</f>
        <v>20197.118492894057</v>
      </c>
    </row>
    <row r="4" spans="1:6">
      <c r="A4" s="291" t="s">
        <v>187</v>
      </c>
      <c r="B4" s="142">
        <f>'Capital de trabajo'!C52</f>
        <v>13804.72830964686</v>
      </c>
      <c r="C4" s="286"/>
      <c r="D4" s="286"/>
      <c r="E4" s="292"/>
    </row>
    <row r="5" spans="1:6">
      <c r="A5" s="293"/>
      <c r="B5" s="142"/>
      <c r="C5" s="286"/>
      <c r="D5" s="286"/>
      <c r="E5" s="292"/>
    </row>
    <row r="6" spans="1:6">
      <c r="A6" s="288" t="s">
        <v>188</v>
      </c>
      <c r="B6" s="142"/>
      <c r="C6" s="286"/>
      <c r="D6" s="141" t="s">
        <v>189</v>
      </c>
      <c r="E6" s="292"/>
    </row>
    <row r="7" spans="1:6">
      <c r="A7" s="291" t="s">
        <v>50</v>
      </c>
      <c r="B7" s="142">
        <f>Gastos!C43</f>
        <v>5500</v>
      </c>
      <c r="C7" s="286"/>
      <c r="D7" s="286" t="s">
        <v>190</v>
      </c>
      <c r="E7" s="294">
        <f>B15-E3</f>
        <v>42117.609816752803</v>
      </c>
    </row>
    <row r="8" spans="1:6">
      <c r="A8" s="291" t="s">
        <v>191</v>
      </c>
      <c r="B8" s="142">
        <f>Gastos!C44</f>
        <v>4000</v>
      </c>
      <c r="C8" s="286"/>
      <c r="D8" s="286"/>
      <c r="E8" s="292"/>
    </row>
    <row r="9" spans="1:6">
      <c r="A9" s="291" t="s">
        <v>192</v>
      </c>
      <c r="B9" s="142">
        <v>13990</v>
      </c>
      <c r="C9" s="286"/>
      <c r="D9" s="286"/>
      <c r="E9" s="292"/>
    </row>
    <row r="10" spans="1:6">
      <c r="A10" s="291" t="s">
        <v>48</v>
      </c>
      <c r="B10" s="142">
        <f>SUM(Gastos!C34:C39)</f>
        <v>23260</v>
      </c>
      <c r="C10" s="286"/>
      <c r="D10" s="286"/>
      <c r="E10" s="292"/>
    </row>
    <row r="11" spans="1:6">
      <c r="A11" s="293"/>
      <c r="B11" s="142"/>
      <c r="C11" s="286"/>
      <c r="D11" s="286"/>
      <c r="E11" s="292"/>
    </row>
    <row r="12" spans="1:6">
      <c r="A12" s="288" t="s">
        <v>193</v>
      </c>
      <c r="B12" s="142"/>
      <c r="C12" s="286"/>
      <c r="D12" s="286"/>
      <c r="E12" s="292"/>
    </row>
    <row r="13" spans="1:6">
      <c r="A13" s="291" t="s">
        <v>194</v>
      </c>
      <c r="B13" s="142">
        <f>SUM(Gastos!B49:B52)</f>
        <v>1760</v>
      </c>
      <c r="C13" s="286"/>
      <c r="D13" s="286"/>
      <c r="E13" s="292"/>
    </row>
    <row r="14" spans="1:6">
      <c r="A14" s="295"/>
      <c r="B14" s="296"/>
      <c r="C14" s="296"/>
      <c r="D14" s="296"/>
      <c r="E14" s="297"/>
    </row>
    <row r="15" spans="1:6" ht="12.75" thickBot="1">
      <c r="A15" s="298" t="s">
        <v>195</v>
      </c>
      <c r="B15" s="299">
        <f>SUM(B3:B13)</f>
        <v>62314.72830964686</v>
      </c>
      <c r="C15" s="300"/>
      <c r="D15" s="301" t="s">
        <v>196</v>
      </c>
      <c r="E15" s="302">
        <f>+E7+E3</f>
        <v>62314.72830964686</v>
      </c>
    </row>
    <row r="18" spans="1:2">
      <c r="A18" s="143"/>
      <c r="B18" s="144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Calculo Demanda</vt:lpstr>
      <vt:lpstr>Comercializacion</vt:lpstr>
      <vt:lpstr>Gastos</vt:lpstr>
      <vt:lpstr>CostoProduccion</vt:lpstr>
      <vt:lpstr>Precios</vt:lpstr>
      <vt:lpstr>Capital de trabajo</vt:lpstr>
      <vt:lpstr>Costos Mat. Prima</vt:lpstr>
      <vt:lpstr>Inversion</vt:lpstr>
      <vt:lpstr>BG</vt:lpstr>
      <vt:lpstr>FLUJO CAJA</vt:lpstr>
      <vt:lpstr>PAYBACK</vt:lpstr>
      <vt:lpstr>Punto de Equilibrio</vt:lpstr>
      <vt:lpstr>Sensibilidad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PC</cp:lastModifiedBy>
  <cp:lastPrinted>2010-04-30T09:51:13Z</cp:lastPrinted>
  <dcterms:created xsi:type="dcterms:W3CDTF">2010-04-18T16:25:23Z</dcterms:created>
  <dcterms:modified xsi:type="dcterms:W3CDTF">2010-05-11T03:29:41Z</dcterms:modified>
</cp:coreProperties>
</file>