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50" windowWidth="12120" windowHeight="8415" tabRatio="599" activeTab="2"/>
  </bookViews>
  <sheets>
    <sheet name="Ingresos y Egresos" sheetId="1" r:id="rId1"/>
    <sheet name="Inversiones" sheetId="2" r:id="rId2"/>
    <sheet name="Flujo de Caja del Inversionista" sheetId="3" r:id="rId3"/>
    <sheet name="Balance Inicial" sheetId="4" r:id="rId4"/>
    <sheet name="Resumen" sheetId="5" r:id="rId5"/>
    <sheet name="escenarios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<sst xmlns="http://schemas.openxmlformats.org/spreadsheetml/2006/main" count="567" uniqueCount="299">
  <si>
    <t>DIAS</t>
  </si>
  <si>
    <t>HORAS</t>
  </si>
  <si>
    <t>PRECIOS</t>
  </si>
  <si>
    <t>Lunes a Jueves</t>
  </si>
  <si>
    <t>Viernes y Sabados</t>
  </si>
  <si>
    <t>Domingos</t>
  </si>
  <si>
    <t>$8,00 toda la noche</t>
  </si>
  <si>
    <t>Precios</t>
  </si>
  <si>
    <t>Jueves</t>
  </si>
  <si>
    <t>Total</t>
  </si>
  <si>
    <t>Martes</t>
  </si>
  <si>
    <t>Miércoles</t>
  </si>
  <si>
    <t>Viernes</t>
  </si>
  <si>
    <t>Sábado</t>
  </si>
  <si>
    <t>Domingo</t>
  </si>
  <si>
    <t>Otros Ingresos</t>
  </si>
  <si>
    <t>Bar</t>
  </si>
  <si>
    <t>Mesas de Billar</t>
  </si>
  <si>
    <t xml:space="preserve">Costos </t>
  </si>
  <si>
    <t>Depreciacion</t>
  </si>
  <si>
    <t>Utilidad AII</t>
  </si>
  <si>
    <t>Intereses</t>
  </si>
  <si>
    <t>Utilidad AI</t>
  </si>
  <si>
    <t>Impuestos</t>
  </si>
  <si>
    <t>Utilidad Neta</t>
  </si>
  <si>
    <t xml:space="preserve">Depreciacion </t>
  </si>
  <si>
    <t>Capital de Trabajo</t>
  </si>
  <si>
    <t>Prestamo Bancario</t>
  </si>
  <si>
    <t>Amortizacion del Prestamo</t>
  </si>
  <si>
    <t xml:space="preserve">     Gastos Administrativos</t>
  </si>
  <si>
    <t>Otros Costos</t>
  </si>
  <si>
    <t>Ingresos por lineas</t>
  </si>
  <si>
    <t>Maquinas GSX Pinsetter</t>
  </si>
  <si>
    <t>Ultra Cosmic Light S&amp; V System</t>
  </si>
  <si>
    <t>Televisores</t>
  </si>
  <si>
    <t>Ball Returns</t>
  </si>
  <si>
    <t>Ball Racks</t>
  </si>
  <si>
    <t>Trash Cans</t>
  </si>
  <si>
    <t>Computadoras</t>
  </si>
  <si>
    <t>Accesorios</t>
  </si>
  <si>
    <t>Cocina Industrial 6 Hornillas</t>
  </si>
  <si>
    <t>Gastos Administrativos</t>
  </si>
  <si>
    <t>Agua</t>
  </si>
  <si>
    <t>Luz</t>
  </si>
  <si>
    <t>Telefono</t>
  </si>
  <si>
    <t xml:space="preserve">Insumos Alimenticios </t>
  </si>
  <si>
    <t>Bebidas</t>
  </si>
  <si>
    <t xml:space="preserve">    Agua</t>
  </si>
  <si>
    <t xml:space="preserve">    Te helado</t>
  </si>
  <si>
    <t xml:space="preserve">    Cervezas</t>
  </si>
  <si>
    <t>Costo Unit</t>
  </si>
  <si>
    <t xml:space="preserve">Gastos de Publicidad </t>
  </si>
  <si>
    <t>BALANCE DE SITUACION INICIAL</t>
  </si>
  <si>
    <t xml:space="preserve">ACTIVOS </t>
  </si>
  <si>
    <t>PASIVOS</t>
  </si>
  <si>
    <t>CAPITAL</t>
  </si>
  <si>
    <t>Capital Propio</t>
  </si>
  <si>
    <t xml:space="preserve">Impresoras </t>
  </si>
  <si>
    <t xml:space="preserve">Escritorios </t>
  </si>
  <si>
    <t xml:space="preserve">Sillas </t>
  </si>
  <si>
    <t xml:space="preserve">Archivadores </t>
  </si>
  <si>
    <t>Suministros de Oficina</t>
  </si>
  <si>
    <t>Terreno</t>
  </si>
  <si>
    <t>Edificio</t>
  </si>
  <si>
    <t>Sanitarios</t>
  </si>
  <si>
    <t xml:space="preserve">Lineas Telefonicas </t>
  </si>
  <si>
    <r>
      <t>m</t>
    </r>
    <r>
      <rPr>
        <vertAlign val="superscript"/>
        <sz val="11"/>
        <color indexed="8"/>
        <rFont val="Calibri"/>
        <family val="2"/>
      </rPr>
      <t>2</t>
    </r>
  </si>
  <si>
    <t>Unidad</t>
  </si>
  <si>
    <t>Cantidad</t>
  </si>
  <si>
    <t>Costo Total</t>
  </si>
  <si>
    <t>Maquinaria</t>
  </si>
  <si>
    <t>Inversion en Equipos</t>
  </si>
  <si>
    <t>Obras Fisicas</t>
  </si>
  <si>
    <t>SALDO DEUDA</t>
  </si>
  <si>
    <t>CUOTA</t>
  </si>
  <si>
    <t>INTERES</t>
  </si>
  <si>
    <t>AMORTIZACION</t>
  </si>
  <si>
    <t>VAN</t>
  </si>
  <si>
    <t>TIR</t>
  </si>
  <si>
    <t>TASA DE OPORTUNIDAD</t>
  </si>
  <si>
    <t>TASA DE INTERÉS</t>
  </si>
  <si>
    <t>TASA DE INFLACIÓN</t>
  </si>
  <si>
    <t>TASA IMPOSITIVA TRIBUTARIA</t>
  </si>
  <si>
    <t>TO = TI + TF (1 - TT) X 100</t>
  </si>
  <si>
    <t>TMAR</t>
  </si>
  <si>
    <t>Mesas con 6 sillas</t>
  </si>
  <si>
    <t xml:space="preserve">    Energizantes</t>
  </si>
  <si>
    <t xml:space="preserve">    Bebidas Hidratantes</t>
  </si>
  <si>
    <t>Demanda Insatisfecha</t>
  </si>
  <si>
    <t>Rubros</t>
  </si>
  <si>
    <t>% de Crecimiento/Ingresos</t>
  </si>
  <si>
    <t>% de Crecimiento/Otros Ingresos</t>
  </si>
  <si>
    <t>3er año en adelante</t>
  </si>
  <si>
    <t>Flujo de Caja Bruto</t>
  </si>
  <si>
    <t>% de demanda a cubrir</t>
  </si>
  <si>
    <t>% de Consumo/Bar</t>
  </si>
  <si>
    <t>Consumo minimo/Bar</t>
  </si>
  <si>
    <t>% de Consumo/Billar</t>
  </si>
  <si>
    <t>Consumo minimo/Billar</t>
  </si>
  <si>
    <t>Número de Personas que visitan el local según día y hora</t>
  </si>
  <si>
    <t>La siguiente tabla de porcentajes se establecieron mediante observaciones en los locales de la competencia, en  distintos horarios</t>
  </si>
  <si>
    <t>y días de la semana considerando las horas pico y los días de mayor asistencia a los mencionados locales.</t>
  </si>
  <si>
    <t>Los siguientes porcentajes empleados en el calculo de los visitantes al local fueron tomados de los resultados obtenidos en el Estudio de Mercado</t>
  </si>
  <si>
    <t>% de consumo/Video Juego</t>
  </si>
  <si>
    <t>Consumo minimo/Video Juego</t>
  </si>
  <si>
    <t>Número de jugadores</t>
  </si>
  <si>
    <t>Ingresos por lineas consumidas</t>
  </si>
  <si>
    <t>contaremos en el local</t>
  </si>
  <si>
    <t>Valor diario (dividido por 52)</t>
  </si>
  <si>
    <t>Tabla de Inversiones</t>
  </si>
  <si>
    <t>Costo Unitario</t>
  </si>
  <si>
    <t>Vida Útil</t>
  </si>
  <si>
    <t xml:space="preserve">          Bolas</t>
  </si>
  <si>
    <t xml:space="preserve">          Zapatos</t>
  </si>
  <si>
    <t>Equipos y Mobiliario</t>
  </si>
  <si>
    <t xml:space="preserve">    Sueldos y Salarios</t>
  </si>
  <si>
    <t xml:space="preserve">    Tecnico</t>
  </si>
  <si>
    <t xml:space="preserve">    Bar </t>
  </si>
  <si>
    <t xml:space="preserve">    Cocina</t>
  </si>
  <si>
    <t xml:space="preserve">    Limpieza</t>
  </si>
  <si>
    <t>Empleados</t>
  </si>
  <si>
    <t>Cantidades</t>
  </si>
  <si>
    <t>Costo Total Anual</t>
  </si>
  <si>
    <t>Costo Mensual</t>
  </si>
  <si>
    <t>Costo Anual</t>
  </si>
  <si>
    <t>% de Inversión en Pulicidad</t>
  </si>
  <si>
    <t>Publicidad en Radio</t>
  </si>
  <si>
    <t xml:space="preserve">Volantes y Tripticos </t>
  </si>
  <si>
    <t xml:space="preserve">    Jugos (Deli)</t>
  </si>
  <si>
    <t>Inversión en Obras Físicas</t>
  </si>
  <si>
    <t>Gastos de Publicidad*</t>
  </si>
  <si>
    <t>*Se realizará un 10% de inversión en publicidad cada 2 años</t>
  </si>
  <si>
    <t xml:space="preserve">     Gastos de Servicios Basicos</t>
  </si>
  <si>
    <t xml:space="preserve">  Costos Fijos</t>
  </si>
  <si>
    <t>Cada 2 años</t>
  </si>
  <si>
    <t xml:space="preserve">  Costos Variables</t>
  </si>
  <si>
    <t>Banco Pichincha</t>
  </si>
  <si>
    <t>Monto de la Deuda</t>
  </si>
  <si>
    <t xml:space="preserve">  Corriente</t>
  </si>
  <si>
    <t xml:space="preserve">     Efectivo</t>
  </si>
  <si>
    <t xml:space="preserve">     Bancos</t>
  </si>
  <si>
    <t>Total de Activos Corrientes</t>
  </si>
  <si>
    <t xml:space="preserve">  Fijo</t>
  </si>
  <si>
    <t xml:space="preserve">    Equipos de Oficina</t>
  </si>
  <si>
    <t xml:space="preserve">    Muebles de Oficina</t>
  </si>
  <si>
    <t xml:space="preserve">    Equipos de Computacion</t>
  </si>
  <si>
    <t xml:space="preserve">    Maquinarias </t>
  </si>
  <si>
    <t xml:space="preserve">    Terreno</t>
  </si>
  <si>
    <t xml:space="preserve">    Edificio</t>
  </si>
  <si>
    <t>Total de Activos Fijos</t>
  </si>
  <si>
    <t xml:space="preserve">  Diferido</t>
  </si>
  <si>
    <t xml:space="preserve">    Gastos de Constitucion </t>
  </si>
  <si>
    <t>Total de Activos Diferidos</t>
  </si>
  <si>
    <t>Total de Activos</t>
  </si>
  <si>
    <t>Total Pasivo y Capital</t>
  </si>
  <si>
    <t>Total Pasivos</t>
  </si>
  <si>
    <t>Papas</t>
  </si>
  <si>
    <t>Salchichas</t>
  </si>
  <si>
    <t>Salsas</t>
  </si>
  <si>
    <t>Aceite</t>
  </si>
  <si>
    <t>Panes</t>
  </si>
  <si>
    <t>Unidades</t>
  </si>
  <si>
    <t>Galones</t>
  </si>
  <si>
    <t>Fundas</t>
  </si>
  <si>
    <t>Kilos</t>
  </si>
  <si>
    <t>Costo Total Mensual</t>
  </si>
  <si>
    <t xml:space="preserve">    Bebidas</t>
  </si>
  <si>
    <t xml:space="preserve">    Insumos Alimenticios </t>
  </si>
  <si>
    <t>Gastos Varios</t>
  </si>
  <si>
    <t>% de Incremento/Costos Variables</t>
  </si>
  <si>
    <t>Producto</t>
  </si>
  <si>
    <t>Precio</t>
  </si>
  <si>
    <t>Flujo de Caja del Inversionista</t>
  </si>
  <si>
    <t>Payback</t>
  </si>
  <si>
    <t>Periodo</t>
  </si>
  <si>
    <t>Saldo de Inversión</t>
  </si>
  <si>
    <t>Flujo de Caja</t>
  </si>
  <si>
    <t>Rentabilidad Exigida</t>
  </si>
  <si>
    <t>Recuperación de la Inversión</t>
  </si>
  <si>
    <t xml:space="preserve">Balance de Equipos de Computacion </t>
  </si>
  <si>
    <t>Balance de Muebles de Oficina</t>
  </si>
  <si>
    <t>Balance de Equipos de Oficina</t>
  </si>
  <si>
    <t>Gasto de Mantenimiento</t>
  </si>
  <si>
    <t>Valor</t>
  </si>
  <si>
    <t>Meses</t>
  </si>
  <si>
    <t>Zapatos (diario)</t>
  </si>
  <si>
    <t>Jugos</t>
  </si>
  <si>
    <t>Aguas</t>
  </si>
  <si>
    <t>Té Helado</t>
  </si>
  <si>
    <t>Cerveza</t>
  </si>
  <si>
    <t>Energizante</t>
  </si>
  <si>
    <t>Calendario de Reinversión</t>
  </si>
  <si>
    <t>Reemplazo</t>
  </si>
  <si>
    <t>$ 1,50 línea de juego</t>
  </si>
  <si>
    <t>$2,00 línea de juego</t>
  </si>
  <si>
    <t>16:00 pm- 10:00 pm</t>
  </si>
  <si>
    <t>16:00pm- 10:00pm</t>
  </si>
  <si>
    <t>16:00pm- 8:00pm</t>
  </si>
  <si>
    <t>8:00pm en adelante</t>
  </si>
  <si>
    <t>Inversion Inicial</t>
  </si>
  <si>
    <t>Escenario Optimista</t>
  </si>
  <si>
    <t>Escenario Medio</t>
  </si>
  <si>
    <t>VAN Original</t>
  </si>
  <si>
    <t>VAN Optimista</t>
  </si>
  <si>
    <t>En lo que se refiere al periodo de recuperación de la inversión podemos observar que se reduce en 3 años</t>
  </si>
  <si>
    <t>es decir, que recuperamos la inversión en el cuarto año de funcionamiento del proyecto.</t>
  </si>
  <si>
    <t>Al variar positivamente todas las variables que representan ingresos para el proyecto podemos</t>
  </si>
  <si>
    <t>observar un cambio radical en el valor del VAN, lo que nos indica que son sensibles a variaciones</t>
  </si>
  <si>
    <t>tanto positivas como negativas</t>
  </si>
  <si>
    <t>VAN Medio</t>
  </si>
  <si>
    <t>Ante un incremento porcentual mínimo en las variables que intervienen en los ingresos de nuestro proyecto</t>
  </si>
  <si>
    <t>los valores del VAN varían de la siguiente manera</t>
  </si>
  <si>
    <t>Demostrando asi que nuestras variables son muy sensibles ante pequeñas variaciones en las mismas</t>
  </si>
  <si>
    <t xml:space="preserve">Lo que nos indica este escenario es que las variables son muy sensibles a cambios ya sea incrementos o </t>
  </si>
  <si>
    <t>disminuciones ya que disparan los valores del VAN.</t>
  </si>
  <si>
    <t>es decir, que recuperamos la inversión en el sexto año de funcionamiento del proyecto.</t>
  </si>
  <si>
    <t>En lo que se refiere al periodo de recuperación de la inversión podemos observar que se reduce en 1 año</t>
  </si>
  <si>
    <t>Escenario Pesimista</t>
  </si>
  <si>
    <t>VAN Pesimista</t>
  </si>
  <si>
    <t>Variación</t>
  </si>
  <si>
    <t>Como podemos observar en el caso de presentarse una caída en la demanda, la TIR disminuye</t>
  </si>
  <si>
    <t>aproximadamente en 5% en relación a la Tasa de Oportunidad, es decir, sería mas conveniente</t>
  </si>
  <si>
    <t>no invertir en el proyecto.</t>
  </si>
  <si>
    <t>Martes a Jueves</t>
  </si>
  <si>
    <t>TIR Optimista</t>
  </si>
  <si>
    <t>TIR Pesimista</t>
  </si>
  <si>
    <t>TIR Medio</t>
  </si>
  <si>
    <t>$ 3 línea de juego</t>
  </si>
  <si>
    <t>Sabados y Domingos</t>
  </si>
  <si>
    <t xml:space="preserve">Miercoles y Viernes </t>
  </si>
  <si>
    <t>$4,00 línea de juego</t>
  </si>
  <si>
    <t>10:00 am- 15:00pm</t>
  </si>
  <si>
    <t>$3,0 línea de juego</t>
  </si>
  <si>
    <t>15:00pm en adelante</t>
  </si>
  <si>
    <t>$4,00 toda la noche</t>
  </si>
  <si>
    <t>Combo Hamburguesa</t>
  </si>
  <si>
    <t>Combo patacones</t>
  </si>
  <si>
    <t>Combo Hot dogs</t>
  </si>
  <si>
    <t>Coctelitos</t>
  </si>
  <si>
    <t>Carne molida</t>
  </si>
  <si>
    <t xml:space="preserve">queso </t>
  </si>
  <si>
    <t>Verdes</t>
  </si>
  <si>
    <t>Racimos</t>
  </si>
  <si>
    <t xml:space="preserve">    Gerente General</t>
  </si>
  <si>
    <t xml:space="preserve">   Jefe Operativo</t>
  </si>
  <si>
    <t xml:space="preserve">     Jefe de Marketing</t>
  </si>
  <si>
    <t>Cajera</t>
  </si>
  <si>
    <t>Mesera</t>
  </si>
  <si>
    <t>Demanda Potencial</t>
  </si>
  <si>
    <t>Mañana</t>
  </si>
  <si>
    <t>Tarde</t>
  </si>
  <si>
    <t>Noche</t>
  </si>
  <si>
    <t>En nuestro local serán permitidos como punto intermedio cinco jugadores por línea de juego, la siguiente tabla es para determinar el número de grupos con los que</t>
  </si>
  <si>
    <t>Alianza estrategica con Hipermarket</t>
  </si>
  <si>
    <t xml:space="preserve">Software </t>
  </si>
  <si>
    <t>Sofas</t>
  </si>
  <si>
    <t xml:space="preserve">Mesas   </t>
  </si>
  <si>
    <t>juego de pines</t>
  </si>
  <si>
    <t>Escritorio</t>
  </si>
  <si>
    <t>unidad</t>
  </si>
  <si>
    <t>Urinarios</t>
  </si>
  <si>
    <t xml:space="preserve">Acondicionador de Aire </t>
  </si>
  <si>
    <t>Juego de Pines</t>
  </si>
  <si>
    <t>Prestamo Banco Machala</t>
  </si>
  <si>
    <t>Frigorifico</t>
  </si>
  <si>
    <t>Combo Salchipapas</t>
  </si>
  <si>
    <t>Hidratante</t>
  </si>
  <si>
    <t xml:space="preserve">    Gaseosas de 3 litros</t>
  </si>
  <si>
    <t>Vidon</t>
  </si>
  <si>
    <t>3.1 Gastos de Servicios Basicos</t>
  </si>
  <si>
    <t>Concepto</t>
  </si>
  <si>
    <t>Elaborado por autores</t>
  </si>
  <si>
    <t>ççç</t>
  </si>
  <si>
    <t>Costos Variables</t>
  </si>
  <si>
    <t>Financiamiento del Proyecto</t>
  </si>
  <si>
    <t>Tipo</t>
  </si>
  <si>
    <t>Capital de Operación</t>
  </si>
  <si>
    <t>Total de Financiamiento</t>
  </si>
  <si>
    <t xml:space="preserve">Capìtal Propio </t>
  </si>
  <si>
    <t>Tasa de oportunidad del inversionista</t>
  </si>
  <si>
    <t>ke=</t>
  </si>
  <si>
    <t>krf</t>
  </si>
  <si>
    <t>B</t>
  </si>
  <si>
    <t>0.85</t>
  </si>
  <si>
    <t>km  - krf</t>
  </si>
  <si>
    <t>rp</t>
  </si>
  <si>
    <t>0.04</t>
  </si>
  <si>
    <t>0.08</t>
  </si>
  <si>
    <t>0.085</t>
  </si>
  <si>
    <t>valor de salvamento</t>
  </si>
  <si>
    <t>sofas</t>
  </si>
  <si>
    <t>total de valor de salvamento</t>
  </si>
  <si>
    <t>ingresos</t>
  </si>
  <si>
    <t>van</t>
  </si>
  <si>
    <t>juego de bolos</t>
  </si>
  <si>
    <t>otros ingresos</t>
  </si>
  <si>
    <t>general</t>
  </si>
  <si>
    <t>sensibilidad de la tasa</t>
  </si>
  <si>
    <t>tasa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</si>
</sst>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.00"/>
    <numFmt numFmtId="187" formatCode="0.0"/>
    <numFmt numFmtId="188" formatCode="[$-409]h:mm:ss\ AM/PM"/>
    <numFmt numFmtId="189" formatCode="#,##0_ ;\-#,##0\ "/>
    <numFmt numFmtId="190" formatCode="[$$-300A]\ #,##0.00;[$$-300A]\ \-#,##0.00"/>
    <numFmt numFmtId="191" formatCode="[$$-300A]\ #,##0.00"/>
    <numFmt numFmtId="192" formatCode="#,##0.0"/>
    <numFmt numFmtId="193" formatCode="&quot;$&quot;\ #,##0.00"/>
    <numFmt numFmtId="194" formatCode="0.000"/>
    <numFmt numFmtId="195" formatCode="0.0%"/>
    <numFmt numFmtId="196" formatCode="#,##0.00\ _€"/>
    <numFmt numFmtId="197" formatCode="[$$-300A]\ #,##0.0"/>
    <numFmt numFmtId="198" formatCode="[$$-300A]\ #,##0"/>
    <numFmt numFmtId="199" formatCode="[$$-340A]\ #,##0.00"/>
    <numFmt numFmtId="200" formatCode="&quot;$&quot;#,##0.000"/>
    <numFmt numFmtId="201" formatCode="&quot;$&quot;#,##0.0000"/>
    <numFmt numFmtId="202" formatCode="&quot;$&quot;#,##0.00000"/>
    <numFmt numFmtId="203" formatCode="&quot;$&quot;#,##0.0"/>
    <numFmt numFmtId="204" formatCode="&quot;$&quot;#,##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16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86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distributed"/>
    </xf>
    <xf numFmtId="186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86" fontId="0" fillId="0" borderId="10" xfId="0" applyNumberForma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93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193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3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193" fontId="4" fillId="0" borderId="0" xfId="0" applyNumberFormat="1" applyFont="1" applyAlignment="1">
      <alignment/>
    </xf>
    <xf numFmtId="193" fontId="4" fillId="0" borderId="10" xfId="0" applyNumberFormat="1" applyFont="1" applyBorder="1" applyAlignment="1">
      <alignment/>
    </xf>
    <xf numFmtId="19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193" fontId="0" fillId="0" borderId="12" xfId="0" applyNumberFormat="1" applyBorder="1" applyAlignment="1">
      <alignment/>
    </xf>
    <xf numFmtId="193" fontId="0" fillId="0" borderId="13" xfId="0" applyNumberFormat="1" applyBorder="1" applyAlignment="1">
      <alignment/>
    </xf>
    <xf numFmtId="193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86" fontId="4" fillId="0" borderId="10" xfId="0" applyNumberFormat="1" applyFont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93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10" fontId="0" fillId="0" borderId="10" xfId="0" applyNumberFormat="1" applyBorder="1" applyAlignment="1">
      <alignment horizontal="center"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193" fontId="0" fillId="0" borderId="10" xfId="0" applyNumberFormat="1" applyBorder="1" applyAlignment="1">
      <alignment horizontal="center"/>
    </xf>
    <xf numFmtId="190" fontId="0" fillId="0" borderId="10" xfId="0" applyNumberFormat="1" applyBorder="1" applyAlignment="1">
      <alignment horizontal="center"/>
    </xf>
    <xf numFmtId="10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91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19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98" fontId="0" fillId="0" borderId="10" xfId="0" applyNumberFormat="1" applyBorder="1" applyAlignment="1">
      <alignment horizontal="left" vertical="center" wrapText="1"/>
    </xf>
    <xf numFmtId="198" fontId="0" fillId="0" borderId="10" xfId="0" applyNumberFormat="1" applyBorder="1" applyAlignment="1">
      <alignment horizontal="center" vertical="center" wrapText="1"/>
    </xf>
    <xf numFmtId="198" fontId="0" fillId="0" borderId="10" xfId="0" applyNumberFormat="1" applyBorder="1" applyAlignment="1">
      <alignment horizontal="center" vertical="center"/>
    </xf>
    <xf numFmtId="198" fontId="4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191" fontId="0" fillId="0" borderId="10" xfId="0" applyNumberFormat="1" applyFill="1" applyBorder="1" applyAlignment="1">
      <alignment horizontal="center"/>
    </xf>
    <xf numFmtId="191" fontId="1" fillId="0" borderId="10" xfId="0" applyNumberFormat="1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10" fontId="0" fillId="0" borderId="0" xfId="54" applyNumberFormat="1" applyFont="1" applyFill="1" applyAlignment="1">
      <alignment/>
    </xf>
    <xf numFmtId="9" fontId="0" fillId="0" borderId="0" xfId="54" applyFont="1" applyFill="1" applyAlignment="1">
      <alignment/>
    </xf>
    <xf numFmtId="191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186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9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191" fontId="0" fillId="0" borderId="10" xfId="0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54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193" fontId="4" fillId="4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193" fontId="4" fillId="4" borderId="1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193" fontId="4" fillId="4" borderId="10" xfId="0" applyNumberFormat="1" applyFont="1" applyFill="1" applyBorder="1" applyAlignment="1">
      <alignment horizontal="center" vertical="center" wrapText="1"/>
    </xf>
    <xf numFmtId="0" fontId="0" fillId="14" borderId="16" xfId="0" applyFill="1" applyBorder="1" applyAlignment="1">
      <alignment/>
    </xf>
    <xf numFmtId="0" fontId="0" fillId="14" borderId="14" xfId="0" applyFill="1" applyBorder="1" applyAlignment="1">
      <alignment/>
    </xf>
    <xf numFmtId="193" fontId="0" fillId="14" borderId="14" xfId="0" applyNumberFormat="1" applyFill="1" applyBorder="1" applyAlignment="1">
      <alignment/>
    </xf>
    <xf numFmtId="0" fontId="0" fillId="14" borderId="23" xfId="0" applyFill="1" applyBorder="1" applyAlignment="1">
      <alignment/>
    </xf>
    <xf numFmtId="0" fontId="50" fillId="14" borderId="14" xfId="0" applyFont="1" applyFill="1" applyBorder="1" applyAlignment="1">
      <alignment/>
    </xf>
    <xf numFmtId="0" fontId="50" fillId="0" borderId="17" xfId="0" applyFont="1" applyBorder="1" applyAlignment="1">
      <alignment/>
    </xf>
    <xf numFmtId="0" fontId="50" fillId="0" borderId="17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16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193" fontId="0" fillId="0" borderId="13" xfId="0" applyNumberFormat="1" applyFill="1" applyBorder="1" applyAlignment="1">
      <alignment horizontal="center" vertical="center" wrapText="1"/>
    </xf>
    <xf numFmtId="8" fontId="0" fillId="0" borderId="10" xfId="0" applyNumberFormat="1" applyBorder="1" applyAlignment="1">
      <alignment/>
    </xf>
    <xf numFmtId="0" fontId="50" fillId="0" borderId="0" xfId="0" applyFont="1" applyAlignment="1">
      <alignment/>
    </xf>
    <xf numFmtId="0" fontId="51" fillId="0" borderId="24" xfId="0" applyFont="1" applyBorder="1" applyAlignment="1">
      <alignment/>
    </xf>
    <xf numFmtId="195" fontId="51" fillId="0" borderId="24" xfId="54" applyNumberFormat="1" applyFont="1" applyBorder="1" applyAlignment="1">
      <alignment horizontal="right"/>
    </xf>
    <xf numFmtId="2" fontId="52" fillId="0" borderId="24" xfId="0" applyNumberFormat="1" applyFont="1" applyBorder="1" applyAlignment="1">
      <alignment horizontal="right"/>
    </xf>
    <xf numFmtId="0" fontId="0" fillId="34" borderId="10" xfId="0" applyFill="1" applyBorder="1" applyAlignment="1">
      <alignment horizontal="center"/>
    </xf>
    <xf numFmtId="191" fontId="0" fillId="34" borderId="10" xfId="0" applyNumberFormat="1" applyFill="1" applyBorder="1" applyAlignment="1">
      <alignment horizontal="center"/>
    </xf>
    <xf numFmtId="191" fontId="1" fillId="34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91" fontId="4" fillId="0" borderId="19" xfId="0" applyNumberFormat="1" applyFont="1" applyBorder="1" applyAlignment="1">
      <alignment horizontal="center" vertical="center" wrapText="1"/>
    </xf>
    <xf numFmtId="191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0" xfId="0" applyNumberFormat="1" applyFont="1" applyAlignment="1">
      <alignment horizontal="left" vertical="distributed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0" fillId="14" borderId="17" xfId="0" applyFont="1" applyFill="1" applyBorder="1" applyAlignment="1">
      <alignment horizontal="center"/>
    </xf>
    <xf numFmtId="0" fontId="50" fillId="14" borderId="12" xfId="0" applyFont="1" applyFill="1" applyBorder="1" applyAlignment="1">
      <alignment horizontal="center"/>
    </xf>
    <xf numFmtId="0" fontId="50" fillId="14" borderId="21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51" fillId="0" borderId="17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198" fontId="4" fillId="0" borderId="17" xfId="0" applyNumberFormat="1" applyFont="1" applyBorder="1" applyAlignment="1">
      <alignment horizontal="center" vertical="center" wrapText="1"/>
    </xf>
    <xf numFmtId="198" fontId="4" fillId="0" borderId="12" xfId="0" applyNumberFormat="1" applyFont="1" applyBorder="1" applyAlignment="1">
      <alignment horizontal="center" vertical="center" wrapText="1"/>
    </xf>
    <xf numFmtId="198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86" fontId="4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86" fontId="0" fillId="0" borderId="24" xfId="0" applyNumberFormat="1" applyBorder="1" applyAlignment="1">
      <alignment horizontal="center" vertical="center" wrapText="1"/>
    </xf>
    <xf numFmtId="186" fontId="0" fillId="0" borderId="24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186" fontId="4" fillId="0" borderId="24" xfId="0" applyNumberFormat="1" applyFont="1" applyBorder="1" applyAlignment="1">
      <alignment horizontal="center" vertical="center" wrapText="1"/>
    </xf>
    <xf numFmtId="186" fontId="4" fillId="0" borderId="24" xfId="0" applyNumberFormat="1" applyFont="1" applyBorder="1" applyAlignment="1">
      <alignment horizontal="center" vertical="center" wrapText="1"/>
    </xf>
    <xf numFmtId="186" fontId="50" fillId="35" borderId="24" xfId="0" applyNumberFormat="1" applyFont="1" applyFill="1" applyBorder="1" applyAlignment="1">
      <alignment/>
    </xf>
    <xf numFmtId="193" fontId="0" fillId="0" borderId="24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93" fontId="0" fillId="35" borderId="24" xfId="0" applyNumberFormat="1" applyFill="1" applyBorder="1" applyAlignment="1">
      <alignment/>
    </xf>
    <xf numFmtId="0" fontId="50" fillId="0" borderId="24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9" fontId="0" fillId="0" borderId="24" xfId="0" applyNumberFormat="1" applyBorder="1" applyAlignment="1">
      <alignment/>
    </xf>
    <xf numFmtId="10" fontId="0" fillId="0" borderId="24" xfId="0" applyNumberFormat="1" applyBorder="1" applyAlignment="1">
      <alignment/>
    </xf>
    <xf numFmtId="9" fontId="50" fillId="0" borderId="24" xfId="0" applyNumberFormat="1" applyFont="1" applyBorder="1" applyAlignment="1">
      <alignment horizontal="center"/>
    </xf>
    <xf numFmtId="10" fontId="50" fillId="0" borderId="24" xfId="0" applyNumberFormat="1" applyFont="1" applyBorder="1" applyAlignment="1">
      <alignment horizontal="center"/>
    </xf>
    <xf numFmtId="193" fontId="50" fillId="0" borderId="24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Gráfico de Variaciones del VAN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45"/>
          <c:w val="0.933"/>
          <c:h val="0.800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(Resumen!$B$58,Resumen!$B$131,Resumen!$B$210)</c:f>
              <c:strCache/>
            </c:strRef>
          </c:cat>
          <c:val>
            <c:numRef>
              <c:f>(Resumen!$C$58,Resumen!$C$131,Resumen!$C$210)</c:f>
              <c:numCache/>
            </c:numRef>
          </c:val>
          <c:smooth val="0"/>
        </c:ser>
        <c:marker val="1"/>
        <c:axId val="41045180"/>
        <c:axId val="33862301"/>
      </c:lineChart>
      <c:catAx>
        <c:axId val="41045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62301"/>
        <c:crosses val="autoZero"/>
        <c:auto val="1"/>
        <c:lblOffset val="100"/>
        <c:tickLblSkip val="1"/>
        <c:noMultiLvlLbl val="0"/>
      </c:catAx>
      <c:valAx>
        <c:axId val="33862301"/>
        <c:scaling>
          <c:orientation val="minMax"/>
        </c:scaling>
        <c:axPos val="l"/>
        <c:delete val="1"/>
        <c:majorTickMark val="out"/>
        <c:minorTickMark val="none"/>
        <c:tickLblPos val="none"/>
        <c:crossAx val="41045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8"/>
          <c:y val="0.1365"/>
          <c:w val="0.133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Gráfico de Variaciones de la TIR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01"/>
          <c:w val="0.9295"/>
          <c:h val="0.916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(Resumen!$B$59,Resumen!$B$132,Resumen!$B$211)</c:f>
              <c:strCache/>
            </c:strRef>
          </c:cat>
          <c:val>
            <c:numRef>
              <c:f>(Resumen!$C$59,Resumen!$C$132,Resumen!$C$211)</c:f>
              <c:numCache/>
            </c:numRef>
          </c:val>
          <c:smooth val="0"/>
        </c:ser>
        <c:marker val="1"/>
        <c:axId val="36325254"/>
        <c:axId val="58491831"/>
      </c:lineChart>
      <c:catAx>
        <c:axId val="36325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91831"/>
        <c:crosses val="autoZero"/>
        <c:auto val="1"/>
        <c:lblOffset val="100"/>
        <c:tickLblSkip val="1"/>
        <c:noMultiLvlLbl val="0"/>
      </c:catAx>
      <c:valAx>
        <c:axId val="58491831"/>
        <c:scaling>
          <c:orientation val="minMax"/>
        </c:scaling>
        <c:axPos val="l"/>
        <c:delete val="1"/>
        <c:majorTickMark val="out"/>
        <c:minorTickMark val="none"/>
        <c:tickLblPos val="none"/>
        <c:crossAx val="36325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275"/>
          <c:y val="0.1275"/>
          <c:w val="0.139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143"/>
          <c:w val="0.8247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escenarios!$F$3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escenarios!$E$4:$E$9</c:f>
              <c:numCache/>
            </c:numRef>
          </c:xVal>
          <c:yVal>
            <c:numRef>
              <c:f>escenarios!$F$4:$F$9</c:f>
              <c:numCache/>
            </c:numRef>
          </c:yVal>
          <c:smooth val="0"/>
        </c:ser>
        <c:axId val="56664432"/>
        <c:axId val="40217841"/>
      </c:scatterChart>
      <c:valAx>
        <c:axId val="566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7841"/>
        <c:crosses val="autoZero"/>
        <c:crossBetween val="midCat"/>
        <c:dispUnits/>
      </c:valAx>
      <c:valAx>
        <c:axId val="40217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44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527"/>
          <c:w val="0.12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143"/>
          <c:w val="0.8247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escenarios!$J$3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escenarios!$I$4:$I$9</c:f>
              <c:numCache/>
            </c:numRef>
          </c:xVal>
          <c:yVal>
            <c:numRef>
              <c:f>escenarios!$J$4:$J$9</c:f>
              <c:numCache/>
            </c:numRef>
          </c:yVal>
          <c:smooth val="0"/>
        </c:ser>
        <c:axId val="26416250"/>
        <c:axId val="36419659"/>
      </c:scatterChart>
      <c:valAx>
        <c:axId val="26416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9659"/>
        <c:crosses val="autoZero"/>
        <c:crossBetween val="midCat"/>
        <c:dispUnits/>
      </c:valAx>
      <c:valAx>
        <c:axId val="36419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162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4325"/>
          <c:w val="0.83025"/>
          <c:h val="0.8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escenarios!$C$3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escenarios!$B$4:$B$9</c:f>
              <c:numCache/>
            </c:numRef>
          </c:xVal>
          <c:yVal>
            <c:numRef>
              <c:f>escenarios!$C$4:$C$9</c:f>
              <c:numCache/>
            </c:numRef>
          </c:yVal>
          <c:smooth val="0"/>
        </c:ser>
        <c:axId val="59341476"/>
        <c:axId val="64311237"/>
      </c:scatterChart>
      <c:valAx>
        <c:axId val="5934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1237"/>
        <c:crosses val="autoZero"/>
        <c:crossBetween val="midCat"/>
        <c:dispUnits/>
      </c:valAx>
      <c:valAx>
        <c:axId val="64311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14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"/>
          <c:y val="0.527"/>
          <c:w val="0.12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143"/>
          <c:w val="0.8197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escenarios!$C$31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escenarios!$B$32:$B$37</c:f>
              <c:numCache/>
            </c:numRef>
          </c:xVal>
          <c:yVal>
            <c:numRef>
              <c:f>escenarios!$C$32:$C$37</c:f>
              <c:numCache/>
            </c:numRef>
          </c:yVal>
          <c:smooth val="0"/>
        </c:ser>
        <c:axId val="41930222"/>
        <c:axId val="41827679"/>
      </c:scatterChart>
      <c:valAx>
        <c:axId val="4193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27679"/>
        <c:crosses val="autoZero"/>
        <c:crossBetween val="midCat"/>
        <c:dispUnits/>
      </c:valAx>
      <c:valAx>
        <c:axId val="41827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302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230</xdr:row>
      <xdr:rowOff>38100</xdr:rowOff>
    </xdr:from>
    <xdr:to>
      <xdr:col>5</xdr:col>
      <xdr:colOff>933450</xdr:colOff>
      <xdr:row>254</xdr:row>
      <xdr:rowOff>85725</xdr:rowOff>
    </xdr:to>
    <xdr:graphicFrame>
      <xdr:nvGraphicFramePr>
        <xdr:cNvPr id="1" name="15 Gráfico"/>
        <xdr:cNvGraphicFramePr/>
      </xdr:nvGraphicFramePr>
      <xdr:xfrm>
        <a:off x="952500" y="49444275"/>
        <a:ext cx="6162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230</xdr:row>
      <xdr:rowOff>57150</xdr:rowOff>
    </xdr:from>
    <xdr:to>
      <xdr:col>12</xdr:col>
      <xdr:colOff>533400</xdr:colOff>
      <xdr:row>254</xdr:row>
      <xdr:rowOff>57150</xdr:rowOff>
    </xdr:to>
    <xdr:graphicFrame>
      <xdr:nvGraphicFramePr>
        <xdr:cNvPr id="2" name="15 Gráfico"/>
        <xdr:cNvGraphicFramePr/>
      </xdr:nvGraphicFramePr>
      <xdr:xfrm>
        <a:off x="7486650" y="49463325"/>
        <a:ext cx="59055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10</xdr:row>
      <xdr:rowOff>123825</xdr:rowOff>
    </xdr:from>
    <xdr:to>
      <xdr:col>12</xdr:col>
      <xdr:colOff>180975</xdr:colOff>
      <xdr:row>25</xdr:row>
      <xdr:rowOff>9525</xdr:rowOff>
    </xdr:to>
    <xdr:graphicFrame>
      <xdr:nvGraphicFramePr>
        <xdr:cNvPr id="1" name="2 Gráfico"/>
        <xdr:cNvGraphicFramePr/>
      </xdr:nvGraphicFramePr>
      <xdr:xfrm>
        <a:off x="4953000" y="2028825"/>
        <a:ext cx="4600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485775</xdr:colOff>
      <xdr:row>10</xdr:row>
      <xdr:rowOff>142875</xdr:rowOff>
    </xdr:from>
    <xdr:to>
      <xdr:col>18</xdr:col>
      <xdr:colOff>485775</xdr:colOff>
      <xdr:row>25</xdr:row>
      <xdr:rowOff>28575</xdr:rowOff>
    </xdr:to>
    <xdr:graphicFrame>
      <xdr:nvGraphicFramePr>
        <xdr:cNvPr id="2" name="3 Gráfico"/>
        <xdr:cNvGraphicFramePr/>
      </xdr:nvGraphicFramePr>
      <xdr:xfrm>
        <a:off x="9858375" y="2047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10</xdr:row>
      <xdr:rowOff>104775</xdr:rowOff>
    </xdr:from>
    <xdr:to>
      <xdr:col>6</xdr:col>
      <xdr:colOff>9525</xdr:colOff>
      <xdr:row>24</xdr:row>
      <xdr:rowOff>180975</xdr:rowOff>
    </xdr:to>
    <xdr:graphicFrame>
      <xdr:nvGraphicFramePr>
        <xdr:cNvPr id="3" name="4 Gráfico"/>
        <xdr:cNvGraphicFramePr/>
      </xdr:nvGraphicFramePr>
      <xdr:xfrm>
        <a:off x="28575" y="2009775"/>
        <a:ext cx="47434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30</xdr:row>
      <xdr:rowOff>28575</xdr:rowOff>
    </xdr:from>
    <xdr:to>
      <xdr:col>10</xdr:col>
      <xdr:colOff>9525</xdr:colOff>
      <xdr:row>44</xdr:row>
      <xdr:rowOff>104775</xdr:rowOff>
    </xdr:to>
    <xdr:graphicFrame>
      <xdr:nvGraphicFramePr>
        <xdr:cNvPr id="4" name="5 Gráfico"/>
        <xdr:cNvGraphicFramePr/>
      </xdr:nvGraphicFramePr>
      <xdr:xfrm>
        <a:off x="3257550" y="57435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78"/>
  <sheetViews>
    <sheetView zoomScalePageLayoutView="0" workbookViewId="0" topLeftCell="A34">
      <selection activeCell="C33" sqref="C33:H54"/>
    </sheetView>
  </sheetViews>
  <sheetFormatPr defaultColWidth="11.421875" defaultRowHeight="15"/>
  <cols>
    <col min="3" max="3" width="20.7109375" style="0" customWidth="1"/>
    <col min="4" max="4" width="12.421875" style="0" customWidth="1"/>
    <col min="5" max="5" width="19.57421875" style="0" customWidth="1"/>
    <col min="6" max="6" width="18.00390625" style="0" customWidth="1"/>
    <col min="7" max="7" width="19.7109375" style="0" customWidth="1"/>
    <col min="8" max="8" width="17.00390625" style="0" customWidth="1"/>
    <col min="12" max="12" width="23.7109375" style="0" customWidth="1"/>
    <col min="13" max="13" width="19.8515625" style="0" bestFit="1" customWidth="1"/>
    <col min="14" max="14" width="16.7109375" style="0" bestFit="1" customWidth="1"/>
    <col min="15" max="15" width="15.7109375" style="0" customWidth="1"/>
    <col min="16" max="16" width="16.57421875" style="0" customWidth="1"/>
    <col min="17" max="18" width="15.7109375" style="0" customWidth="1"/>
    <col min="19" max="19" width="17.00390625" style="0" bestFit="1" customWidth="1"/>
  </cols>
  <sheetData>
    <row r="3" spans="2:19" ht="15">
      <c r="B3" s="5" t="s">
        <v>100</v>
      </c>
      <c r="F3" s="16"/>
      <c r="L3" s="210" t="s">
        <v>102</v>
      </c>
      <c r="M3" s="210"/>
      <c r="N3" s="210"/>
      <c r="O3" s="210"/>
      <c r="P3" s="210"/>
      <c r="Q3" s="210"/>
      <c r="R3" s="210"/>
      <c r="S3" s="210"/>
    </row>
    <row r="4" spans="2:19" ht="15.75" thickBot="1">
      <c r="B4" s="5" t="s">
        <v>101</v>
      </c>
      <c r="F4" s="16"/>
      <c r="L4" s="26"/>
      <c r="M4" s="26"/>
      <c r="N4" s="26"/>
      <c r="O4" s="26"/>
      <c r="P4" s="26"/>
      <c r="Q4" s="26"/>
      <c r="R4" s="26"/>
      <c r="S4" s="26"/>
    </row>
    <row r="5" spans="6:19" ht="16.5" thickBot="1" thickTop="1">
      <c r="F5" s="16"/>
      <c r="L5" s="26"/>
      <c r="M5" s="211" t="s">
        <v>99</v>
      </c>
      <c r="N5" s="212"/>
      <c r="O5" s="212"/>
      <c r="P5" s="212"/>
      <c r="Q5" s="212"/>
      <c r="R5" s="213"/>
      <c r="S5" s="26"/>
    </row>
    <row r="6" spans="3:19" ht="16.5" thickBot="1" thickTop="1">
      <c r="C6" s="9" t="s">
        <v>248</v>
      </c>
      <c r="D6" s="105">
        <v>59932</v>
      </c>
      <c r="F6" s="16"/>
      <c r="L6" s="35"/>
      <c r="M6" s="35"/>
      <c r="N6" s="35"/>
      <c r="O6" s="36"/>
      <c r="P6" s="36"/>
      <c r="Q6" s="36"/>
      <c r="R6" s="36"/>
      <c r="S6" s="36"/>
    </row>
    <row r="7" spans="3:19" ht="16.5" thickBot="1" thickTop="1">
      <c r="C7" s="9" t="s">
        <v>94</v>
      </c>
      <c r="D7" s="42">
        <v>0.7</v>
      </c>
      <c r="E7" s="25">
        <f>$D$6*$D$7</f>
        <v>41952.399999999994</v>
      </c>
      <c r="F7" s="16"/>
      <c r="L7" s="28"/>
      <c r="M7" s="31" t="s">
        <v>10</v>
      </c>
      <c r="N7" s="31" t="s">
        <v>11</v>
      </c>
      <c r="O7" s="31" t="s">
        <v>8</v>
      </c>
      <c r="P7" s="31" t="s">
        <v>12</v>
      </c>
      <c r="Q7" s="31" t="s">
        <v>13</v>
      </c>
      <c r="R7" s="31" t="s">
        <v>14</v>
      </c>
      <c r="S7" s="31" t="s">
        <v>9</v>
      </c>
    </row>
    <row r="8" spans="3:19" ht="16.5" thickBot="1" thickTop="1">
      <c r="C8" s="6" t="s">
        <v>95</v>
      </c>
      <c r="D8" s="42">
        <v>0.45</v>
      </c>
      <c r="F8" s="16"/>
      <c r="L8" s="150" t="s">
        <v>249</v>
      </c>
      <c r="M8" s="30">
        <f aca="true" t="shared" si="0" ref="M8:R10">M$13*$S8</f>
        <v>302.05727999999993</v>
      </c>
      <c r="N8" s="30">
        <f t="shared" si="0"/>
        <v>1860.6728447999997</v>
      </c>
      <c r="O8" s="30">
        <f t="shared" si="0"/>
        <v>869.9249663999998</v>
      </c>
      <c r="P8" s="30">
        <f t="shared" si="0"/>
        <v>3056.8196735999995</v>
      </c>
      <c r="Q8" s="30">
        <f t="shared" si="0"/>
        <v>4325.460249599999</v>
      </c>
      <c r="R8" s="30">
        <f t="shared" si="0"/>
        <v>1667.3561856</v>
      </c>
      <c r="S8" s="38">
        <v>0.288</v>
      </c>
    </row>
    <row r="9" spans="3:19" ht="16.5" thickBot="1" thickTop="1">
      <c r="C9" s="6" t="s">
        <v>96</v>
      </c>
      <c r="D9" s="43">
        <v>10</v>
      </c>
      <c r="F9" s="15"/>
      <c r="L9" s="150" t="s">
        <v>250</v>
      </c>
      <c r="M9" s="30">
        <f t="shared" si="0"/>
        <v>497.13593999999995</v>
      </c>
      <c r="N9" s="30">
        <f t="shared" si="0"/>
        <v>3062.3573903999995</v>
      </c>
      <c r="O9" s="30">
        <f t="shared" si="0"/>
        <v>1431.7515071999997</v>
      </c>
      <c r="P9" s="30">
        <f t="shared" si="0"/>
        <v>5031.015712799999</v>
      </c>
      <c r="Q9" s="30">
        <f t="shared" si="0"/>
        <v>7118.986660799998</v>
      </c>
      <c r="R9" s="30">
        <f t="shared" si="0"/>
        <v>2744.1903887999997</v>
      </c>
      <c r="S9" s="38">
        <v>0.474</v>
      </c>
    </row>
    <row r="10" spans="3:19" ht="16.5" thickBot="1" thickTop="1">
      <c r="C10" s="6"/>
      <c r="D10" s="44"/>
      <c r="L10" s="150" t="s">
        <v>251</v>
      </c>
      <c r="M10" s="30">
        <f t="shared" si="0"/>
        <v>249.61677999999998</v>
      </c>
      <c r="N10" s="30">
        <f t="shared" si="0"/>
        <v>1537.6393647999998</v>
      </c>
      <c r="O10" s="30">
        <f t="shared" si="0"/>
        <v>718.8963263999998</v>
      </c>
      <c r="P10" s="30">
        <f t="shared" si="0"/>
        <v>2526.1218135999998</v>
      </c>
      <c r="Q10" s="30">
        <f t="shared" si="0"/>
        <v>3574.5122895999993</v>
      </c>
      <c r="R10" s="30">
        <f t="shared" si="0"/>
        <v>1377.8846256</v>
      </c>
      <c r="S10" s="38">
        <v>0.238</v>
      </c>
    </row>
    <row r="11" spans="3:21" ht="16.5" thickBot="1" thickTop="1">
      <c r="C11" s="6"/>
      <c r="D11" s="43"/>
      <c r="L11" s="31" t="s">
        <v>9</v>
      </c>
      <c r="M11" s="32">
        <f aca="true" t="shared" si="1" ref="M11:R11">SUM(M8:M10)</f>
        <v>1048.81</v>
      </c>
      <c r="N11" s="32">
        <f t="shared" si="1"/>
        <v>6460.669599999999</v>
      </c>
      <c r="O11" s="32">
        <f t="shared" si="1"/>
        <v>3020.5727999999995</v>
      </c>
      <c r="P11" s="32">
        <f t="shared" si="1"/>
        <v>10613.957199999997</v>
      </c>
      <c r="Q11" s="32">
        <f t="shared" si="1"/>
        <v>15018.959199999998</v>
      </c>
      <c r="R11" s="32">
        <f t="shared" si="1"/>
        <v>5789.431199999999</v>
      </c>
      <c r="S11" s="39">
        <f>SUM(M11:R11)</f>
        <v>41952.399999999994</v>
      </c>
      <c r="U11" s="1"/>
    </row>
    <row r="12" spans="3:19" ht="16.5" thickBot="1" thickTop="1">
      <c r="C12" s="6" t="s">
        <v>97</v>
      </c>
      <c r="D12" s="44">
        <v>0.2</v>
      </c>
      <c r="L12" s="149"/>
      <c r="M12" s="38">
        <v>0.025</v>
      </c>
      <c r="N12" s="38">
        <v>0.154</v>
      </c>
      <c r="O12" s="38">
        <v>0.072</v>
      </c>
      <c r="P12" s="38">
        <v>0.253</v>
      </c>
      <c r="Q12" s="38">
        <v>0.358</v>
      </c>
      <c r="R12" s="38">
        <v>0.138</v>
      </c>
      <c r="S12" s="40"/>
    </row>
    <row r="13" spans="3:19" ht="16.5" thickBot="1" thickTop="1">
      <c r="C13" s="6" t="s">
        <v>98</v>
      </c>
      <c r="D13" s="43">
        <v>3.5</v>
      </c>
      <c r="L13" s="37"/>
      <c r="M13" s="30">
        <f>'Ingresos y Egresos'!$E$7*M12</f>
        <v>1048.81</v>
      </c>
      <c r="N13" s="30">
        <f>'Ingresos y Egresos'!$E$7*N12</f>
        <v>6460.669599999999</v>
      </c>
      <c r="O13" s="30">
        <f>'Ingresos y Egresos'!$E$7*O12</f>
        <v>3020.5727999999995</v>
      </c>
      <c r="P13" s="30">
        <f>'Ingresos y Egresos'!$E$7*P12</f>
        <v>10613.957199999999</v>
      </c>
      <c r="Q13" s="30">
        <f>'Ingresos y Egresos'!$E$7*Q12</f>
        <v>15018.959199999998</v>
      </c>
      <c r="R13" s="30">
        <f>'Ingresos y Egresos'!$E$7*R12</f>
        <v>5789.4312</v>
      </c>
      <c r="S13" s="28"/>
    </row>
    <row r="14" ht="15.75" thickTop="1"/>
    <row r="15" ht="15.75" thickBot="1"/>
    <row r="16" spans="3:6" ht="16.5" thickBot="1" thickTop="1">
      <c r="C16" s="18" t="s">
        <v>0</v>
      </c>
      <c r="D16" s="18" t="s">
        <v>1</v>
      </c>
      <c r="E16" s="18" t="s">
        <v>2</v>
      </c>
      <c r="F16" s="18" t="s">
        <v>7</v>
      </c>
    </row>
    <row r="17" spans="3:17" ht="27" thickBot="1" thickTop="1">
      <c r="C17" s="17" t="s">
        <v>223</v>
      </c>
      <c r="D17" s="17" t="s">
        <v>195</v>
      </c>
      <c r="E17" s="17" t="s">
        <v>227</v>
      </c>
      <c r="F17" s="19">
        <v>3</v>
      </c>
      <c r="L17" s="88" t="s">
        <v>252</v>
      </c>
      <c r="M17" s="15"/>
      <c r="N17" s="16"/>
      <c r="O17" s="16"/>
      <c r="P17" s="16"/>
      <c r="Q17" s="15"/>
    </row>
    <row r="18" spans="3:12" ht="27" thickBot="1" thickTop="1">
      <c r="C18" s="109" t="s">
        <v>229</v>
      </c>
      <c r="D18" s="17" t="s">
        <v>196</v>
      </c>
      <c r="E18" s="17" t="s">
        <v>230</v>
      </c>
      <c r="F18" s="19">
        <v>4</v>
      </c>
      <c r="L18" s="5" t="s">
        <v>107</v>
      </c>
    </row>
    <row r="19" spans="3:6" ht="27" thickBot="1" thickTop="1">
      <c r="C19" s="214" t="s">
        <v>228</v>
      </c>
      <c r="D19" s="17" t="s">
        <v>231</v>
      </c>
      <c r="E19" s="17" t="s">
        <v>232</v>
      </c>
      <c r="F19" s="19">
        <v>3</v>
      </c>
    </row>
    <row r="20" spans="3:19" ht="16.5" thickBot="1" thickTop="1">
      <c r="C20" s="215"/>
      <c r="D20" s="101" t="s">
        <v>233</v>
      </c>
      <c r="E20" s="17" t="s">
        <v>234</v>
      </c>
      <c r="F20" s="19">
        <v>4</v>
      </c>
      <c r="L20" s="86" t="s">
        <v>105</v>
      </c>
      <c r="M20" s="86"/>
      <c r="N20" s="23">
        <v>5</v>
      </c>
      <c r="O20" s="15"/>
      <c r="P20" s="15"/>
      <c r="Q20" s="15"/>
      <c r="R20" s="15"/>
      <c r="S20" s="15"/>
    </row>
    <row r="21" ht="16.5" thickBot="1" thickTop="1">
      <c r="S21" s="23"/>
    </row>
    <row r="22" spans="12:19" ht="16.5" thickBot="1" thickTop="1">
      <c r="L22" s="28"/>
      <c r="M22" s="29" t="str">
        <f>'Ingresos y Egresos'!M7</f>
        <v>Martes</v>
      </c>
      <c r="N22" s="29" t="str">
        <f>'Ingresos y Egresos'!N7</f>
        <v>Miércoles</v>
      </c>
      <c r="O22" s="29" t="str">
        <f>'Ingresos y Egresos'!O7</f>
        <v>Jueves</v>
      </c>
      <c r="P22" s="29" t="str">
        <f>'Ingresos y Egresos'!P7</f>
        <v>Viernes</v>
      </c>
      <c r="Q22" s="29" t="str">
        <f>'Ingresos y Egresos'!Q7</f>
        <v>Sábado</v>
      </c>
      <c r="R22" s="29" t="str">
        <f>'Ingresos y Egresos'!R7</f>
        <v>Domingo</v>
      </c>
      <c r="S22" s="29" t="str">
        <f>'Ingresos y Egresos'!S7</f>
        <v>Total</v>
      </c>
    </row>
    <row r="23" spans="12:19" ht="16.5" thickBot="1" thickTop="1">
      <c r="L23" s="150" t="s">
        <v>249</v>
      </c>
      <c r="M23" s="30">
        <f>'Ingresos y Egresos'!M8/$N$20</f>
        <v>60.41145599999999</v>
      </c>
      <c r="N23" s="30">
        <f>'Ingresos y Egresos'!N8/$N$20</f>
        <v>372.1345689599999</v>
      </c>
      <c r="O23" s="30">
        <f>'Ingresos y Egresos'!O8/$N$20</f>
        <v>173.98499327999997</v>
      </c>
      <c r="P23" s="30">
        <f>'Ingresos y Egresos'!P8/$N$20</f>
        <v>611.3639347199999</v>
      </c>
      <c r="Q23" s="30">
        <f>'Ingresos y Egresos'!Q8/$N$20</f>
        <v>865.0920499199998</v>
      </c>
      <c r="R23" s="30">
        <f>'Ingresos y Egresos'!R8/$N$20</f>
        <v>333.47123711999996</v>
      </c>
      <c r="S23" s="32">
        <f>SUM(M23:R23)</f>
        <v>2416.4582399999995</v>
      </c>
    </row>
    <row r="24" spans="3:19" ht="16.5" thickBot="1" thickTop="1">
      <c r="C24" s="207" t="s">
        <v>16</v>
      </c>
      <c r="D24" s="208"/>
      <c r="E24" s="208"/>
      <c r="F24" s="208"/>
      <c r="G24" s="208"/>
      <c r="H24" s="209"/>
      <c r="L24" s="150" t="s">
        <v>250</v>
      </c>
      <c r="M24" s="30">
        <f>'Ingresos y Egresos'!M9/$N$20</f>
        <v>99.42718799999999</v>
      </c>
      <c r="N24" s="30">
        <f>'Ingresos y Egresos'!N9/$N$20</f>
        <v>612.4714780799999</v>
      </c>
      <c r="O24" s="30">
        <f>'Ingresos y Egresos'!O9/$N$20</f>
        <v>286.35030143999995</v>
      </c>
      <c r="P24" s="30">
        <f>'Ingresos y Egresos'!P9/$N$20</f>
        <v>1006.2031425599998</v>
      </c>
      <c r="Q24" s="30">
        <f>'Ingresos y Egresos'!Q9/$N$20</f>
        <v>1423.7973321599998</v>
      </c>
      <c r="R24" s="30">
        <f>'Ingresos y Egresos'!R9/$N$20</f>
        <v>548.8380777599999</v>
      </c>
      <c r="S24" s="32">
        <f>SUM(M24:R24)</f>
        <v>3977.0875199999996</v>
      </c>
    </row>
    <row r="25" spans="12:19" ht="16.5" thickBot="1" thickTop="1">
      <c r="L25" s="150" t="s">
        <v>251</v>
      </c>
      <c r="M25" s="30">
        <f>'Ingresos y Egresos'!M10/$N$20</f>
        <v>49.923356</v>
      </c>
      <c r="N25" s="30">
        <f>'Ingresos y Egresos'!N10/$N$20</f>
        <v>307.52787295999997</v>
      </c>
      <c r="O25" s="30">
        <f>'Ingresos y Egresos'!O10/$N$20</f>
        <v>143.77926527999995</v>
      </c>
      <c r="P25" s="30">
        <f>'Ingresos y Egresos'!P10/$N$20</f>
        <v>505.22436271999993</v>
      </c>
      <c r="Q25" s="30">
        <f>'Ingresos y Egresos'!Q10/$N$20</f>
        <v>714.9024579199998</v>
      </c>
      <c r="R25" s="30">
        <f>'Ingresos y Egresos'!R10/$N$20</f>
        <v>275.57692512</v>
      </c>
      <c r="S25" s="32">
        <f>SUM(M25:R25)</f>
        <v>1996.9342399999996</v>
      </c>
    </row>
    <row r="26" spans="3:21" ht="16.5" thickBot="1" thickTop="1">
      <c r="C26" s="107" t="s">
        <v>170</v>
      </c>
      <c r="D26" s="95" t="s">
        <v>171</v>
      </c>
      <c r="E26" s="107" t="s">
        <v>170</v>
      </c>
      <c r="F26" s="95" t="s">
        <v>171</v>
      </c>
      <c r="G26" s="107" t="s">
        <v>170</v>
      </c>
      <c r="H26" s="95" t="s">
        <v>171</v>
      </c>
      <c r="L26" s="31" t="s">
        <v>9</v>
      </c>
      <c r="M26" s="32">
        <f aca="true" t="shared" si="2" ref="M26:R26">SUM(M23:M25)</f>
        <v>209.762</v>
      </c>
      <c r="N26" s="32">
        <f t="shared" si="2"/>
        <v>1292.1339199999998</v>
      </c>
      <c r="O26" s="32">
        <f t="shared" si="2"/>
        <v>604.1145599999999</v>
      </c>
      <c r="P26" s="32">
        <f t="shared" si="2"/>
        <v>2122.7914399999995</v>
      </c>
      <c r="Q26" s="32">
        <f t="shared" si="2"/>
        <v>3003.7918399999994</v>
      </c>
      <c r="R26" s="32">
        <f t="shared" si="2"/>
        <v>1157.8862399999998</v>
      </c>
      <c r="S26" s="32">
        <f>SUM(M26:R26)</f>
        <v>8390.479999999998</v>
      </c>
      <c r="U26" s="3"/>
    </row>
    <row r="27" spans="3:8" ht="16.5" thickBot="1" thickTop="1">
      <c r="C27" s="7" t="s">
        <v>265</v>
      </c>
      <c r="D27" s="102">
        <v>3</v>
      </c>
      <c r="E27" s="7" t="s">
        <v>186</v>
      </c>
      <c r="F27" s="102">
        <v>1</v>
      </c>
      <c r="G27" s="7" t="s">
        <v>190</v>
      </c>
      <c r="H27" s="102">
        <v>3</v>
      </c>
    </row>
    <row r="28" spans="3:19" ht="16.5" thickBot="1" thickTop="1">
      <c r="C28" s="7" t="s">
        <v>235</v>
      </c>
      <c r="D28" s="102">
        <v>4</v>
      </c>
      <c r="E28" s="7" t="s">
        <v>187</v>
      </c>
      <c r="F28" s="102">
        <v>0.5</v>
      </c>
      <c r="G28" s="7" t="s">
        <v>238</v>
      </c>
      <c r="H28" s="102">
        <v>4</v>
      </c>
      <c r="L28" s="190" t="s">
        <v>106</v>
      </c>
      <c r="M28" s="191"/>
      <c r="N28" s="191"/>
      <c r="O28" s="191"/>
      <c r="P28" s="191"/>
      <c r="Q28" s="191"/>
      <c r="R28" s="191"/>
      <c r="S28" s="192"/>
    </row>
    <row r="29" spans="3:20" ht="16.5" thickBot="1" thickTop="1">
      <c r="C29" s="7" t="s">
        <v>236</v>
      </c>
      <c r="D29" s="102">
        <v>3.5</v>
      </c>
      <c r="E29" s="7" t="s">
        <v>188</v>
      </c>
      <c r="F29" s="102">
        <v>1.25</v>
      </c>
      <c r="G29" s="7" t="s">
        <v>266</v>
      </c>
      <c r="H29" s="102">
        <v>2</v>
      </c>
      <c r="T29" s="69"/>
    </row>
    <row r="30" spans="3:19" ht="16.5" thickBot="1" thickTop="1">
      <c r="C30" s="7" t="s">
        <v>237</v>
      </c>
      <c r="D30" s="102">
        <v>3</v>
      </c>
      <c r="E30" s="7" t="s">
        <v>189</v>
      </c>
      <c r="F30" s="102">
        <v>1.5</v>
      </c>
      <c r="L30" s="4"/>
      <c r="M30" s="29" t="str">
        <f aca="true" t="shared" si="3" ref="M30:S30">M22</f>
        <v>Martes</v>
      </c>
      <c r="N30" s="29" t="str">
        <f t="shared" si="3"/>
        <v>Miércoles</v>
      </c>
      <c r="O30" s="29" t="str">
        <f t="shared" si="3"/>
        <v>Jueves</v>
      </c>
      <c r="P30" s="29" t="str">
        <f t="shared" si="3"/>
        <v>Viernes</v>
      </c>
      <c r="Q30" s="29" t="str">
        <f t="shared" si="3"/>
        <v>Sábado</v>
      </c>
      <c r="R30" s="29" t="str">
        <f t="shared" si="3"/>
        <v>Domingo</v>
      </c>
      <c r="S30" s="29" t="str">
        <f t="shared" si="3"/>
        <v>Total</v>
      </c>
    </row>
    <row r="31" spans="4:19" ht="16.5" thickBot="1" thickTop="1">
      <c r="D31" s="94"/>
      <c r="L31" s="29" t="str">
        <f>L23</f>
        <v>Mañana</v>
      </c>
      <c r="M31" s="33">
        <f>$F$17*M8</f>
        <v>906.1718399999997</v>
      </c>
      <c r="N31" s="33">
        <f>$F$18*N8</f>
        <v>7442.691379199999</v>
      </c>
      <c r="O31" s="33">
        <f aca="true" t="shared" si="4" ref="M31:O33">$F$17*O8</f>
        <v>2609.7748991999993</v>
      </c>
      <c r="P31" s="33">
        <f>$F$18*P8</f>
        <v>12227.278694399998</v>
      </c>
      <c r="Q31" s="33">
        <f>$F$20*Q8</f>
        <v>17301.840998399995</v>
      </c>
      <c r="R31" s="33">
        <f>$F$19*R23</f>
        <v>1000.4137113599999</v>
      </c>
      <c r="S31" s="34">
        <f>SUM(M31:R31)</f>
        <v>41488.17152255999</v>
      </c>
    </row>
    <row r="32" spans="12:19" ht="20.25" customHeight="1" thickBot="1" thickTop="1">
      <c r="L32" s="29" t="str">
        <f>L24</f>
        <v>Tarde</v>
      </c>
      <c r="M32" s="33">
        <f t="shared" si="4"/>
        <v>1491.40782</v>
      </c>
      <c r="N32" s="33">
        <f>$F$18*N9</f>
        <v>12249.429561599998</v>
      </c>
      <c r="O32" s="33">
        <f t="shared" si="4"/>
        <v>4295.254521599999</v>
      </c>
      <c r="P32" s="33">
        <f>$F$18*P9</f>
        <v>20124.062851199997</v>
      </c>
      <c r="Q32" s="33">
        <f>$F$20*Q9</f>
        <v>28475.946643199994</v>
      </c>
      <c r="R32" s="33">
        <f>$F$20*R24</f>
        <v>2195.3523110399997</v>
      </c>
      <c r="S32" s="34">
        <f>SUM(M32:R32)</f>
        <v>68831.45370863998</v>
      </c>
    </row>
    <row r="33" spans="3:21" ht="19.5" customHeight="1" thickBot="1" thickTop="1">
      <c r="C33" s="315" t="s">
        <v>30</v>
      </c>
      <c r="D33" s="315"/>
      <c r="E33" s="315"/>
      <c r="F33" s="315"/>
      <c r="G33" s="315"/>
      <c r="H33" s="315"/>
      <c r="L33" s="29" t="str">
        <f>L25</f>
        <v>Noche</v>
      </c>
      <c r="M33" s="33">
        <f t="shared" si="4"/>
        <v>748.85034</v>
      </c>
      <c r="N33" s="33">
        <f>$F$18*N10</f>
        <v>6150.557459199999</v>
      </c>
      <c r="O33" s="33">
        <f t="shared" si="4"/>
        <v>2156.6889791999993</v>
      </c>
      <c r="P33" s="33">
        <f>$F$18*P10</f>
        <v>10104.487254399999</v>
      </c>
      <c r="Q33" s="33">
        <f>$F$20*Q10</f>
        <v>14298.049158399997</v>
      </c>
      <c r="R33" s="33">
        <f>$F$19*R25</f>
        <v>826.73077536</v>
      </c>
      <c r="S33" s="34">
        <f>SUM(M33:R33)</f>
        <v>34285.36396656</v>
      </c>
      <c r="U33" s="1"/>
    </row>
    <row r="34" spans="3:19" ht="19.5" customHeight="1" thickBot="1" thickTop="1">
      <c r="C34" s="315"/>
      <c r="D34" s="315"/>
      <c r="E34" s="315"/>
      <c r="F34" s="315"/>
      <c r="G34" s="315"/>
      <c r="H34" s="315"/>
      <c r="L34" s="29" t="str">
        <f>L26</f>
        <v>Total</v>
      </c>
      <c r="M34" s="34">
        <f aca="true" t="shared" si="5" ref="M34:S34">SUM(M31:M33)</f>
        <v>3146.4299999999994</v>
      </c>
      <c r="N34" s="34">
        <f t="shared" si="5"/>
        <v>25842.678399999997</v>
      </c>
      <c r="O34" s="34">
        <f t="shared" si="5"/>
        <v>9061.718399999998</v>
      </c>
      <c r="P34" s="34">
        <f>SUM(P31:P33)</f>
        <v>42455.82879999999</v>
      </c>
      <c r="Q34" s="34">
        <f t="shared" si="5"/>
        <v>60075.83679999999</v>
      </c>
      <c r="R34" s="34">
        <f>SUM(R31:R33)</f>
        <v>4022.49679776</v>
      </c>
      <c r="S34" s="34">
        <f t="shared" si="5"/>
        <v>144604.98919775998</v>
      </c>
    </row>
    <row r="35" spans="3:19" ht="19.5" customHeight="1" thickBot="1" thickTop="1">
      <c r="C35" s="312" t="s">
        <v>46</v>
      </c>
      <c r="D35" s="313" t="s">
        <v>121</v>
      </c>
      <c r="E35" s="314" t="s">
        <v>110</v>
      </c>
      <c r="F35" s="314" t="s">
        <v>165</v>
      </c>
      <c r="G35" s="314" t="s">
        <v>122</v>
      </c>
      <c r="H35" s="238"/>
      <c r="L35" s="198" t="s">
        <v>108</v>
      </c>
      <c r="M35" s="196">
        <f aca="true" t="shared" si="6" ref="M35:R35">M34/52</f>
        <v>60.508269230769216</v>
      </c>
      <c r="N35" s="196">
        <f t="shared" si="6"/>
        <v>496.9745846153846</v>
      </c>
      <c r="O35" s="196">
        <f t="shared" si="6"/>
        <v>174.26381538461536</v>
      </c>
      <c r="P35" s="196">
        <f t="shared" si="6"/>
        <v>816.458246153846</v>
      </c>
      <c r="Q35" s="196">
        <f t="shared" si="6"/>
        <v>1155.3045538461536</v>
      </c>
      <c r="R35" s="196">
        <f t="shared" si="6"/>
        <v>77.35570764923077</v>
      </c>
      <c r="S35" s="27"/>
    </row>
    <row r="36" spans="3:18" ht="19.5" customHeight="1" thickBot="1" thickTop="1">
      <c r="C36" s="51" t="s">
        <v>267</v>
      </c>
      <c r="D36" s="52">
        <v>300</v>
      </c>
      <c r="E36" s="53">
        <v>0.75</v>
      </c>
      <c r="F36" s="53">
        <f aca="true" t="shared" si="7" ref="F36:F42">D36*E36</f>
        <v>225</v>
      </c>
      <c r="G36" s="53">
        <f aca="true" t="shared" si="8" ref="G36:G42">F36*12</f>
        <v>2700</v>
      </c>
      <c r="H36" s="238"/>
      <c r="L36" s="199"/>
      <c r="M36" s="197"/>
      <c r="N36" s="197"/>
      <c r="O36" s="197"/>
      <c r="P36" s="197"/>
      <c r="Q36" s="197"/>
      <c r="R36" s="197"/>
    </row>
    <row r="37" spans="3:8" ht="20.25" customHeight="1" thickBot="1" thickTop="1">
      <c r="C37" s="51" t="s">
        <v>47</v>
      </c>
      <c r="D37" s="52">
        <v>500</v>
      </c>
      <c r="E37" s="53">
        <v>0.17</v>
      </c>
      <c r="F37" s="53">
        <f t="shared" si="7"/>
        <v>85</v>
      </c>
      <c r="G37" s="53">
        <f t="shared" si="8"/>
        <v>1020</v>
      </c>
      <c r="H37" s="238"/>
    </row>
    <row r="38" spans="3:8" ht="16.5" thickBot="1" thickTop="1">
      <c r="C38" s="51" t="s">
        <v>48</v>
      </c>
      <c r="D38" s="52">
        <v>250</v>
      </c>
      <c r="E38" s="53">
        <v>0.2</v>
      </c>
      <c r="F38" s="53">
        <f t="shared" si="7"/>
        <v>50</v>
      </c>
      <c r="G38" s="53">
        <f t="shared" si="8"/>
        <v>600</v>
      </c>
      <c r="H38" s="238"/>
    </row>
    <row r="39" spans="3:8" ht="16.5" thickBot="1" thickTop="1">
      <c r="C39" s="51" t="s">
        <v>128</v>
      </c>
      <c r="D39" s="52">
        <v>420</v>
      </c>
      <c r="E39" s="53">
        <v>0.32</v>
      </c>
      <c r="F39" s="53">
        <f t="shared" si="7"/>
        <v>134.4</v>
      </c>
      <c r="G39" s="53">
        <f t="shared" si="8"/>
        <v>1612.8000000000002</v>
      </c>
      <c r="H39" s="238"/>
    </row>
    <row r="40" spans="3:19" ht="16.5" thickBot="1" thickTop="1">
      <c r="C40" s="51" t="s">
        <v>49</v>
      </c>
      <c r="D40" s="52">
        <v>600</v>
      </c>
      <c r="E40" s="53">
        <v>0.4</v>
      </c>
      <c r="F40" s="53">
        <f t="shared" si="7"/>
        <v>240</v>
      </c>
      <c r="G40" s="53">
        <f t="shared" si="8"/>
        <v>2880</v>
      </c>
      <c r="H40" s="238"/>
      <c r="L40" s="193" t="s">
        <v>15</v>
      </c>
      <c r="M40" s="194"/>
      <c r="N40" s="194"/>
      <c r="O40" s="194"/>
      <c r="P40" s="194"/>
      <c r="Q40" s="194"/>
      <c r="R40" s="194"/>
      <c r="S40" s="195"/>
    </row>
    <row r="41" spans="3:19" ht="16.5" thickBot="1" thickTop="1">
      <c r="C41" s="51" t="s">
        <v>86</v>
      </c>
      <c r="D41" s="66">
        <v>200</v>
      </c>
      <c r="E41" s="53">
        <v>0.5</v>
      </c>
      <c r="F41" s="53">
        <f t="shared" si="7"/>
        <v>100</v>
      </c>
      <c r="G41" s="53">
        <f t="shared" si="8"/>
        <v>1200</v>
      </c>
      <c r="H41" s="238"/>
      <c r="L41" s="24"/>
      <c r="M41" s="4"/>
      <c r="N41" s="4"/>
      <c r="O41" s="4"/>
      <c r="P41" s="4"/>
      <c r="Q41" s="4"/>
      <c r="R41" s="4"/>
      <c r="S41" s="4"/>
    </row>
    <row r="42" spans="3:19" ht="16.5" thickBot="1" thickTop="1">
      <c r="C42" s="51" t="s">
        <v>87</v>
      </c>
      <c r="D42" s="52">
        <v>300</v>
      </c>
      <c r="E42" s="53">
        <v>0.6</v>
      </c>
      <c r="F42" s="53">
        <f t="shared" si="7"/>
        <v>180</v>
      </c>
      <c r="G42" s="53">
        <f t="shared" si="8"/>
        <v>2160</v>
      </c>
      <c r="H42" s="238"/>
      <c r="L42" s="4"/>
      <c r="M42" s="45" t="str">
        <f>'Ingresos y Egresos'!M22</f>
        <v>Martes</v>
      </c>
      <c r="N42" s="45" t="str">
        <f>'Ingresos y Egresos'!N22</f>
        <v>Miércoles</v>
      </c>
      <c r="O42" s="45" t="str">
        <f>'Ingresos y Egresos'!O22</f>
        <v>Jueves</v>
      </c>
      <c r="P42" s="45" t="str">
        <f>'Ingresos y Egresos'!P22</f>
        <v>Viernes</v>
      </c>
      <c r="Q42" s="45" t="str">
        <f>'Ingresos y Egresos'!Q22</f>
        <v>Sábado</v>
      </c>
      <c r="R42" s="45" t="str">
        <f>'Ingresos y Egresos'!R22</f>
        <v>Domingo</v>
      </c>
      <c r="S42" s="45" t="str">
        <f>'Ingresos y Egresos'!S22</f>
        <v>Total</v>
      </c>
    </row>
    <row r="43" spans="3:19" ht="16.5" thickBot="1" thickTop="1">
      <c r="C43" s="203" t="s">
        <v>9</v>
      </c>
      <c r="D43" s="203"/>
      <c r="E43" s="203"/>
      <c r="F43" s="203"/>
      <c r="G43" s="89">
        <f>SUM(G36:G42)</f>
        <v>12172.8</v>
      </c>
      <c r="H43" s="239"/>
      <c r="L43" s="46" t="s">
        <v>16</v>
      </c>
      <c r="M43" s="47">
        <f>'Ingresos y Egresos'!M26*'Ingresos y Egresos'!$D$8*'Ingresos y Egresos'!$D$9</f>
        <v>943.929</v>
      </c>
      <c r="N43" s="47">
        <f>'Ingresos y Egresos'!N26*'Ingresos y Egresos'!$D$8*'Ingresos y Egresos'!$D$9</f>
        <v>5814.602639999999</v>
      </c>
      <c r="O43" s="47">
        <f>'Ingresos y Egresos'!O26*'Ingresos y Egresos'!$D$8*'Ingresos y Egresos'!$D$9</f>
        <v>2718.51552</v>
      </c>
      <c r="P43" s="47">
        <f>'Ingresos y Egresos'!P26*'Ingresos y Egresos'!$D$8*'Ingresos y Egresos'!$D$9</f>
        <v>9552.561479999998</v>
      </c>
      <c r="Q43" s="47">
        <f>'Ingresos y Egresos'!Q26*'Ingresos y Egresos'!$D$8*'Ingresos y Egresos'!$D$9</f>
        <v>13517.063279999998</v>
      </c>
      <c r="R43" s="47">
        <f>'Ingresos y Egresos'!R26*'Ingresos y Egresos'!$D$8*'Ingresos y Egresos'!$D$9</f>
        <v>5210.488079999999</v>
      </c>
      <c r="S43" s="48">
        <f>'Ingresos y Egresos'!S26*'Ingresos y Egresos'!$D$8*'Ingresos y Egresos'!$D$9</f>
        <v>37757.15999999999</v>
      </c>
    </row>
    <row r="44" spans="3:19" ht="16.5" thickBot="1" thickTop="1">
      <c r="C44" s="64" t="s">
        <v>45</v>
      </c>
      <c r="D44" s="50" t="s">
        <v>161</v>
      </c>
      <c r="E44" s="50" t="s">
        <v>121</v>
      </c>
      <c r="F44" s="50" t="s">
        <v>110</v>
      </c>
      <c r="G44" s="87" t="s">
        <v>165</v>
      </c>
      <c r="H44" s="87" t="s">
        <v>122</v>
      </c>
      <c r="L44" s="46"/>
      <c r="M44" s="47"/>
      <c r="N44" s="47"/>
      <c r="O44" s="47"/>
      <c r="P44" s="47"/>
      <c r="Q44" s="47"/>
      <c r="R44" s="47"/>
      <c r="S44" s="48"/>
    </row>
    <row r="45" spans="3:19" ht="16.5" thickBot="1" thickTop="1">
      <c r="C45" s="51" t="s">
        <v>156</v>
      </c>
      <c r="D45" s="52" t="s">
        <v>164</v>
      </c>
      <c r="E45" s="52">
        <v>200</v>
      </c>
      <c r="F45" s="53">
        <v>0.5</v>
      </c>
      <c r="G45" s="53">
        <f aca="true" t="shared" si="9" ref="G45:G52">E45*F45</f>
        <v>100</v>
      </c>
      <c r="H45" s="53">
        <f aca="true" t="shared" si="10" ref="H45:H52">G45*12</f>
        <v>1200</v>
      </c>
      <c r="L45" s="46" t="s">
        <v>17</v>
      </c>
      <c r="M45" s="47">
        <f>('Ingresos y Egresos'!M11*'Ingresos y Egresos'!$D$12*'Ingresos y Egresos'!$D$13)</f>
        <v>734.167</v>
      </c>
      <c r="N45" s="47">
        <f>('Ingresos y Egresos'!N11*'Ingresos y Egresos'!$D$12*'Ingresos y Egresos'!$D$13)</f>
        <v>4522.46872</v>
      </c>
      <c r="O45" s="47">
        <f>('Ingresos y Egresos'!O11*'Ingresos y Egresos'!$D$12*'Ingresos y Egresos'!$D$13)</f>
        <v>2114.4009599999995</v>
      </c>
      <c r="P45" s="47">
        <f>('Ingresos y Egresos'!P11*'Ingresos y Egresos'!$D$12*'Ingresos y Egresos'!$D$13)</f>
        <v>7429.7700399999985</v>
      </c>
      <c r="Q45" s="47">
        <f>('Ingresos y Egresos'!Q11*'Ingresos y Egresos'!$D$12*'Ingresos y Egresos'!$D$13)</f>
        <v>10513.27144</v>
      </c>
      <c r="R45" s="47">
        <f>('Ingresos y Egresos'!R11*'Ingresos y Egresos'!$D$12*'Ingresos y Egresos'!$D$13)</f>
        <v>4052.6018399999994</v>
      </c>
      <c r="S45" s="48">
        <f>('Ingresos y Egresos'!S11*'Ingresos y Egresos'!$D$12*'Ingresos y Egresos'!$D$13)</f>
        <v>29366.68</v>
      </c>
    </row>
    <row r="46" spans="3:19" ht="16.5" thickBot="1" thickTop="1">
      <c r="C46" s="51" t="s">
        <v>157</v>
      </c>
      <c r="D46" s="52" t="s">
        <v>164</v>
      </c>
      <c r="E46" s="52">
        <v>70</v>
      </c>
      <c r="F46" s="53">
        <v>2</v>
      </c>
      <c r="G46" s="53">
        <f t="shared" si="9"/>
        <v>140</v>
      </c>
      <c r="H46" s="53">
        <f t="shared" si="10"/>
        <v>1680</v>
      </c>
      <c r="L46" s="45" t="s">
        <v>9</v>
      </c>
      <c r="M46" s="48">
        <f aca="true" t="shared" si="11" ref="M46:S46">SUM(M43:M45)</f>
        <v>1678.096</v>
      </c>
      <c r="N46" s="48">
        <f t="shared" si="11"/>
        <v>10337.071359999998</v>
      </c>
      <c r="O46" s="48">
        <f t="shared" si="11"/>
        <v>4832.91648</v>
      </c>
      <c r="P46" s="48">
        <f t="shared" si="11"/>
        <v>16982.331519999996</v>
      </c>
      <c r="Q46" s="48">
        <f t="shared" si="11"/>
        <v>24030.33472</v>
      </c>
      <c r="R46" s="48">
        <f t="shared" si="11"/>
        <v>9263.089919999999</v>
      </c>
      <c r="S46" s="48">
        <f t="shared" si="11"/>
        <v>67123.84</v>
      </c>
    </row>
    <row r="47" spans="3:8" ht="16.5" thickBot="1" thickTop="1">
      <c r="C47" s="51" t="s">
        <v>158</v>
      </c>
      <c r="D47" s="52" t="s">
        <v>162</v>
      </c>
      <c r="E47" s="52">
        <v>6</v>
      </c>
      <c r="F47" s="53">
        <v>3</v>
      </c>
      <c r="G47" s="53">
        <f t="shared" si="9"/>
        <v>18</v>
      </c>
      <c r="H47" s="53">
        <f t="shared" si="10"/>
        <v>216</v>
      </c>
    </row>
    <row r="48" spans="3:8" ht="16.5" thickBot="1" thickTop="1">
      <c r="C48" s="51" t="s">
        <v>159</v>
      </c>
      <c r="D48" s="52" t="s">
        <v>268</v>
      </c>
      <c r="E48" s="52">
        <v>7</v>
      </c>
      <c r="F48" s="53">
        <v>5</v>
      </c>
      <c r="G48" s="53">
        <f t="shared" si="9"/>
        <v>35</v>
      </c>
      <c r="H48" s="53">
        <f t="shared" si="10"/>
        <v>420</v>
      </c>
    </row>
    <row r="49" spans="3:15" ht="16.5" thickBot="1" thickTop="1">
      <c r="C49" s="51" t="s">
        <v>160</v>
      </c>
      <c r="D49" s="52" t="s">
        <v>163</v>
      </c>
      <c r="E49" s="52">
        <v>60</v>
      </c>
      <c r="F49" s="53">
        <v>1.2</v>
      </c>
      <c r="G49" s="53">
        <f t="shared" si="9"/>
        <v>72</v>
      </c>
      <c r="H49" s="53">
        <f t="shared" si="10"/>
        <v>864</v>
      </c>
      <c r="L49" s="222" t="s">
        <v>130</v>
      </c>
      <c r="M49" s="223"/>
      <c r="N49" s="4"/>
      <c r="O49" s="4"/>
    </row>
    <row r="50" spans="3:15" ht="16.5" thickBot="1" thickTop="1">
      <c r="C50" s="51" t="s">
        <v>240</v>
      </c>
      <c r="D50" s="52" t="s">
        <v>164</v>
      </c>
      <c r="E50" s="52">
        <v>70</v>
      </c>
      <c r="F50" s="53">
        <v>3</v>
      </c>
      <c r="G50" s="53">
        <f t="shared" si="9"/>
        <v>210</v>
      </c>
      <c r="H50" s="53">
        <f t="shared" si="10"/>
        <v>2520</v>
      </c>
      <c r="L50" s="51" t="s">
        <v>126</v>
      </c>
      <c r="M50" s="53">
        <v>1800</v>
      </c>
      <c r="N50" s="4"/>
      <c r="O50" s="63" t="s">
        <v>131</v>
      </c>
    </row>
    <row r="51" spans="3:15" ht="16.5" customHeight="1" thickBot="1" thickTop="1">
      <c r="C51" s="51" t="s">
        <v>239</v>
      </c>
      <c r="D51" s="52" t="s">
        <v>164</v>
      </c>
      <c r="E51" s="52">
        <v>70</v>
      </c>
      <c r="F51" s="53">
        <v>3.5</v>
      </c>
      <c r="G51" s="53">
        <f t="shared" si="9"/>
        <v>245</v>
      </c>
      <c r="H51" s="53">
        <f t="shared" si="10"/>
        <v>2940</v>
      </c>
      <c r="L51" s="51" t="s">
        <v>253</v>
      </c>
      <c r="M51" s="53">
        <v>2200</v>
      </c>
      <c r="N51" s="4"/>
      <c r="O51" s="4"/>
    </row>
    <row r="52" spans="3:15" ht="16.5" customHeight="1" thickBot="1" thickTop="1">
      <c r="C52" s="51" t="s">
        <v>241</v>
      </c>
      <c r="D52" s="52" t="s">
        <v>242</v>
      </c>
      <c r="E52" s="52">
        <v>10</v>
      </c>
      <c r="F52" s="53">
        <v>5</v>
      </c>
      <c r="G52" s="53">
        <f t="shared" si="9"/>
        <v>50</v>
      </c>
      <c r="H52" s="53">
        <f t="shared" si="10"/>
        <v>600</v>
      </c>
      <c r="L52" s="51" t="s">
        <v>127</v>
      </c>
      <c r="M52" s="53">
        <v>500</v>
      </c>
      <c r="N52" s="49"/>
      <c r="O52" s="4"/>
    </row>
    <row r="53" spans="3:15" ht="16.5" customHeight="1" thickBot="1" thickTop="1">
      <c r="C53" s="204" t="s">
        <v>9</v>
      </c>
      <c r="D53" s="205"/>
      <c r="E53" s="205"/>
      <c r="F53" s="205"/>
      <c r="G53" s="206"/>
      <c r="H53" s="62">
        <f>SUM(H45:H52)</f>
        <v>10440</v>
      </c>
      <c r="L53" s="160" t="s">
        <v>9</v>
      </c>
      <c r="M53" s="156">
        <f>SUM(M50:M52)</f>
        <v>4500</v>
      </c>
      <c r="N53" s="4"/>
      <c r="O53" s="4"/>
    </row>
    <row r="54" spans="3:13" ht="16.5" thickBot="1" thickTop="1">
      <c r="C54" s="172" t="s">
        <v>271</v>
      </c>
      <c r="D54" s="173"/>
      <c r="E54" s="173"/>
      <c r="F54" s="173"/>
      <c r="G54" s="173"/>
      <c r="H54" s="174"/>
      <c r="L54" s="224" t="s">
        <v>271</v>
      </c>
      <c r="M54" s="225"/>
    </row>
    <row r="55" ht="16.5" thickBot="1" thickTop="1"/>
    <row r="56" spans="12:14" ht="16.5" thickBot="1" thickTop="1">
      <c r="L56" s="216" t="s">
        <v>269</v>
      </c>
      <c r="M56" s="217"/>
      <c r="N56" s="218"/>
    </row>
    <row r="57" spans="3:14" ht="16.5" thickBot="1" thickTop="1">
      <c r="C57" s="226" t="s">
        <v>41</v>
      </c>
      <c r="D57" s="227"/>
      <c r="E57" s="227"/>
      <c r="F57" s="227"/>
      <c r="G57" s="228"/>
      <c r="L57" s="154" t="s">
        <v>270</v>
      </c>
      <c r="M57" s="154" t="s">
        <v>123</v>
      </c>
      <c r="N57" s="155" t="s">
        <v>124</v>
      </c>
    </row>
    <row r="58" spans="3:14" ht="16.5" thickBot="1" thickTop="1">
      <c r="C58" s="229"/>
      <c r="D58" s="230"/>
      <c r="E58" s="230"/>
      <c r="F58" s="230"/>
      <c r="G58" s="231"/>
      <c r="L58" s="51" t="s">
        <v>42</v>
      </c>
      <c r="M58" s="53">
        <v>70</v>
      </c>
      <c r="N58" s="53">
        <f>M58*12</f>
        <v>840</v>
      </c>
    </row>
    <row r="59" spans="3:14" ht="16.5" customHeight="1" thickBot="1" thickTop="1">
      <c r="C59" s="162" t="s">
        <v>115</v>
      </c>
      <c r="D59" s="163" t="s">
        <v>120</v>
      </c>
      <c r="E59" s="163" t="s">
        <v>110</v>
      </c>
      <c r="F59" s="163" t="s">
        <v>123</v>
      </c>
      <c r="G59" s="164" t="s">
        <v>122</v>
      </c>
      <c r="L59" s="51" t="s">
        <v>43</v>
      </c>
      <c r="M59" s="53">
        <v>370.69</v>
      </c>
      <c r="N59" s="53">
        <f>M59*12</f>
        <v>4448.28</v>
      </c>
    </row>
    <row r="60" spans="3:14" ht="16.5" thickBot="1" thickTop="1">
      <c r="C60" s="51" t="s">
        <v>243</v>
      </c>
      <c r="D60" s="52">
        <v>1</v>
      </c>
      <c r="E60" s="53">
        <v>1200</v>
      </c>
      <c r="F60" s="53">
        <f aca="true" t="shared" si="12" ref="F60:F68">D60*E60</f>
        <v>1200</v>
      </c>
      <c r="G60" s="53">
        <f aca="true" t="shared" si="13" ref="G60:G68">F60*12</f>
        <v>14400</v>
      </c>
      <c r="L60" s="51" t="s">
        <v>44</v>
      </c>
      <c r="M60" s="53">
        <v>30</v>
      </c>
      <c r="N60" s="53">
        <f>M60*12</f>
        <v>360</v>
      </c>
    </row>
    <row r="61" spans="3:14" ht="16.5" thickBot="1" thickTop="1">
      <c r="C61" s="51" t="s">
        <v>244</v>
      </c>
      <c r="D61" s="52">
        <v>1</v>
      </c>
      <c r="E61" s="53">
        <v>600</v>
      </c>
      <c r="F61" s="53">
        <f t="shared" si="12"/>
        <v>600</v>
      </c>
      <c r="G61" s="53">
        <f t="shared" si="13"/>
        <v>7200</v>
      </c>
      <c r="L61" s="157" t="s">
        <v>9</v>
      </c>
      <c r="M61" s="158"/>
      <c r="N61" s="159">
        <f>SUM(N58:N60)</f>
        <v>5648.28</v>
      </c>
    </row>
    <row r="62" spans="3:14" ht="16.5" thickBot="1" thickTop="1">
      <c r="C62" s="51" t="s">
        <v>246</v>
      </c>
      <c r="D62" s="52">
        <v>1</v>
      </c>
      <c r="E62" s="53">
        <v>350</v>
      </c>
      <c r="F62" s="53">
        <f t="shared" si="12"/>
        <v>350</v>
      </c>
      <c r="G62" s="53">
        <f t="shared" si="13"/>
        <v>4200</v>
      </c>
      <c r="L62" s="219" t="s">
        <v>271</v>
      </c>
      <c r="M62" s="220"/>
      <c r="N62" s="221"/>
    </row>
    <row r="63" spans="3:7" ht="16.5" thickBot="1" thickTop="1">
      <c r="C63" s="51" t="s">
        <v>116</v>
      </c>
      <c r="D63" s="52">
        <v>1</v>
      </c>
      <c r="E63" s="53">
        <v>500</v>
      </c>
      <c r="F63" s="53">
        <f t="shared" si="12"/>
        <v>500</v>
      </c>
      <c r="G63" s="53">
        <f t="shared" si="13"/>
        <v>6000</v>
      </c>
    </row>
    <row r="64" spans="3:7" ht="16.5" thickBot="1" thickTop="1">
      <c r="C64" s="51" t="s">
        <v>117</v>
      </c>
      <c r="D64" s="52">
        <v>1</v>
      </c>
      <c r="E64" s="53">
        <v>350</v>
      </c>
      <c r="F64" s="53">
        <f t="shared" si="12"/>
        <v>350</v>
      </c>
      <c r="G64" s="53">
        <f t="shared" si="13"/>
        <v>4200</v>
      </c>
    </row>
    <row r="65" spans="3:23" ht="20.25" thickBot="1" thickTop="1">
      <c r="C65" s="51" t="s">
        <v>118</v>
      </c>
      <c r="D65" s="52">
        <v>1</v>
      </c>
      <c r="E65" s="53">
        <v>350</v>
      </c>
      <c r="F65" s="53">
        <f t="shared" si="12"/>
        <v>350</v>
      </c>
      <c r="G65" s="53">
        <f t="shared" si="13"/>
        <v>4200</v>
      </c>
      <c r="L65" s="235" t="s">
        <v>273</v>
      </c>
      <c r="M65" s="236"/>
      <c r="N65" s="236"/>
      <c r="O65" s="236"/>
      <c r="P65" s="237"/>
      <c r="W65" t="s">
        <v>272</v>
      </c>
    </row>
    <row r="66" spans="3:16" ht="16.5" thickBot="1" thickTop="1">
      <c r="C66" s="51" t="s">
        <v>119</v>
      </c>
      <c r="D66" s="52">
        <v>2</v>
      </c>
      <c r="E66" s="53">
        <v>280</v>
      </c>
      <c r="F66" s="53">
        <f t="shared" si="12"/>
        <v>560</v>
      </c>
      <c r="G66" s="53">
        <f t="shared" si="13"/>
        <v>6720</v>
      </c>
      <c r="L66" s="9"/>
      <c r="M66" s="95" t="s">
        <v>184</v>
      </c>
      <c r="N66" s="95" t="s">
        <v>183</v>
      </c>
      <c r="O66" s="95" t="s">
        <v>123</v>
      </c>
      <c r="P66" s="95" t="s">
        <v>124</v>
      </c>
    </row>
    <row r="67" spans="3:16" ht="16.5" thickBot="1" thickTop="1">
      <c r="C67" s="51" t="s">
        <v>247</v>
      </c>
      <c r="D67" s="52">
        <v>2</v>
      </c>
      <c r="E67" s="53">
        <v>300</v>
      </c>
      <c r="F67" s="53">
        <f t="shared" si="12"/>
        <v>600</v>
      </c>
      <c r="G67" s="53">
        <f t="shared" si="13"/>
        <v>7200</v>
      </c>
      <c r="L67" s="7" t="s">
        <v>70</v>
      </c>
      <c r="M67" s="105">
        <v>1</v>
      </c>
      <c r="N67" s="102">
        <v>700</v>
      </c>
      <c r="O67" s="102">
        <f>N67*M67</f>
        <v>700</v>
      </c>
      <c r="P67" s="102">
        <f>N67*12</f>
        <v>8400</v>
      </c>
    </row>
    <row r="68" spans="3:16" ht="16.5" thickBot="1" thickTop="1">
      <c r="C68" s="51" t="s">
        <v>245</v>
      </c>
      <c r="D68" s="52">
        <v>1</v>
      </c>
      <c r="E68" s="53">
        <v>600</v>
      </c>
      <c r="F68" s="53">
        <f t="shared" si="12"/>
        <v>600</v>
      </c>
      <c r="G68" s="53">
        <f t="shared" si="13"/>
        <v>7200</v>
      </c>
      <c r="L68" s="7" t="s">
        <v>185</v>
      </c>
      <c r="M68" s="105">
        <v>1</v>
      </c>
      <c r="N68" s="102">
        <v>40</v>
      </c>
      <c r="O68" s="102">
        <f>M68*N68</f>
        <v>40</v>
      </c>
      <c r="P68" s="102">
        <f>O68*12</f>
        <v>480</v>
      </c>
    </row>
    <row r="69" spans="3:16" ht="16.5" customHeight="1" thickBot="1" thickTop="1">
      <c r="C69" s="147"/>
      <c r="D69" s="52"/>
      <c r="E69" s="53"/>
      <c r="F69" s="53"/>
      <c r="G69" s="53"/>
      <c r="L69" s="107"/>
      <c r="M69" s="105"/>
      <c r="N69" s="102"/>
      <c r="O69" s="102"/>
      <c r="P69" s="102"/>
    </row>
    <row r="70" spans="3:16" ht="16.5" thickBot="1" thickTop="1">
      <c r="C70" s="200" t="s">
        <v>9</v>
      </c>
      <c r="D70" s="201"/>
      <c r="E70" s="201"/>
      <c r="F70" s="202"/>
      <c r="G70" s="165">
        <f>SUM(G60:G69)</f>
        <v>61320</v>
      </c>
      <c r="L70" s="107" t="s">
        <v>17</v>
      </c>
      <c r="M70" s="105">
        <v>1</v>
      </c>
      <c r="N70" s="102">
        <v>20</v>
      </c>
      <c r="O70" s="102">
        <f>M70*N70</f>
        <v>20</v>
      </c>
      <c r="P70" s="102">
        <f>O70*12</f>
        <v>240</v>
      </c>
    </row>
    <row r="71" spans="3:16" ht="16.5" thickBot="1" thickTop="1">
      <c r="C71" s="166"/>
      <c r="D71" s="167"/>
      <c r="E71" s="170" t="s">
        <v>26</v>
      </c>
      <c r="F71" s="168">
        <f>SUM(F60:F69)</f>
        <v>5110</v>
      </c>
      <c r="G71" s="169"/>
      <c r="L71" s="95" t="s">
        <v>9</v>
      </c>
      <c r="M71" s="95"/>
      <c r="N71" s="95"/>
      <c r="O71" s="95"/>
      <c r="P71" s="106">
        <f>SUM(P67:P70)</f>
        <v>9120</v>
      </c>
    </row>
    <row r="72" spans="3:16" ht="16.5" thickBot="1" thickTop="1">
      <c r="C72" s="232" t="s">
        <v>271</v>
      </c>
      <c r="D72" s="233"/>
      <c r="E72" s="233"/>
      <c r="F72" s="233"/>
      <c r="G72" s="234"/>
      <c r="L72" s="171" t="s">
        <v>271</v>
      </c>
      <c r="M72" s="78"/>
      <c r="N72" s="78"/>
      <c r="O72" s="78"/>
      <c r="P72" s="148"/>
    </row>
    <row r="73" ht="15.75" thickTop="1"/>
    <row r="74" spans="15:16" ht="15">
      <c r="O74" s="4"/>
      <c r="P74" s="4"/>
    </row>
    <row r="75" spans="15:16" ht="15">
      <c r="O75" s="4"/>
      <c r="P75" s="4"/>
    </row>
    <row r="76" spans="15:16" ht="15">
      <c r="O76" s="4"/>
      <c r="P76" s="4"/>
    </row>
    <row r="77" spans="15:16" ht="15">
      <c r="O77" s="4"/>
      <c r="P77" s="4"/>
    </row>
    <row r="78" spans="15:16" ht="15">
      <c r="O78" s="4"/>
      <c r="P78" s="4"/>
    </row>
  </sheetData>
  <sheetProtection/>
  <mergeCells count="25">
    <mergeCell ref="L49:M49"/>
    <mergeCell ref="L54:M54"/>
    <mergeCell ref="C57:G58"/>
    <mergeCell ref="C72:G72"/>
    <mergeCell ref="L65:P65"/>
    <mergeCell ref="H35:H43"/>
    <mergeCell ref="C33:H34"/>
    <mergeCell ref="C70:F70"/>
    <mergeCell ref="C43:F43"/>
    <mergeCell ref="C53:G53"/>
    <mergeCell ref="C24:H24"/>
    <mergeCell ref="L3:S3"/>
    <mergeCell ref="M5:R5"/>
    <mergeCell ref="C19:C20"/>
    <mergeCell ref="L56:N56"/>
    <mergeCell ref="L62:N62"/>
    <mergeCell ref="L28:S28"/>
    <mergeCell ref="L40:S40"/>
    <mergeCell ref="Q35:Q36"/>
    <mergeCell ref="R35:R36"/>
    <mergeCell ref="P35:P36"/>
    <mergeCell ref="L35:L36"/>
    <mergeCell ref="M35:M36"/>
    <mergeCell ref="N35:N36"/>
    <mergeCell ref="O35:O36"/>
  </mergeCells>
  <printOptions/>
  <pageMargins left="0.75" right="0.75" top="1" bottom="1" header="0" footer="0"/>
  <pageSetup horizontalDpi="200" verticalDpi="200" orientation="portrait" paperSize="9" r:id="rId1"/>
  <ignoredErrors>
    <ignoredError sqref="N31:N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1:W73"/>
  <sheetViews>
    <sheetView zoomScalePageLayoutView="0" workbookViewId="0" topLeftCell="A1">
      <selection activeCell="I43" sqref="I43"/>
    </sheetView>
  </sheetViews>
  <sheetFormatPr defaultColWidth="9.00390625" defaultRowHeight="15"/>
  <cols>
    <col min="1" max="1" width="9.00390625" style="0" customWidth="1"/>
    <col min="2" max="2" width="15.7109375" style="0" customWidth="1"/>
    <col min="3" max="3" width="22.57421875" style="0" customWidth="1"/>
    <col min="4" max="4" width="11.28125" style="0" customWidth="1"/>
    <col min="5" max="5" width="12.28125" style="0" customWidth="1"/>
    <col min="6" max="6" width="12.421875" style="0" customWidth="1"/>
    <col min="7" max="7" width="12.8515625" style="0" customWidth="1"/>
    <col min="8" max="8" width="13.421875" style="0" customWidth="1"/>
    <col min="9" max="9" width="17.140625" style="0" customWidth="1"/>
    <col min="10" max="10" width="31.28125" style="0" bestFit="1" customWidth="1"/>
    <col min="11" max="12" width="15.7109375" style="0" customWidth="1"/>
    <col min="13" max="13" width="19.8515625" style="0" customWidth="1"/>
    <col min="14" max="14" width="16.57421875" style="0" bestFit="1" customWidth="1"/>
    <col min="15" max="15" width="17.00390625" style="0" customWidth="1"/>
    <col min="16" max="19" width="15.7109375" style="0" customWidth="1"/>
    <col min="20" max="22" width="15.57421875" style="0" customWidth="1"/>
    <col min="23" max="27" width="11.140625" style="0" bestFit="1" customWidth="1"/>
  </cols>
  <sheetData>
    <row r="1" spans="10:11" ht="18" customHeight="1">
      <c r="J1" s="20"/>
      <c r="K1" s="20"/>
    </row>
    <row r="2" spans="10:11" ht="18" customHeight="1">
      <c r="J2" s="21"/>
      <c r="K2" s="21"/>
    </row>
    <row r="3" spans="10:11" ht="18" customHeight="1" thickBot="1">
      <c r="J3" s="22"/>
      <c r="K3" s="22"/>
    </row>
    <row r="4" spans="3:20" ht="18" customHeight="1" thickBot="1" thickTop="1">
      <c r="C4" s="211" t="s">
        <v>109</v>
      </c>
      <c r="D4" s="212"/>
      <c r="E4" s="212"/>
      <c r="F4" s="212"/>
      <c r="G4" s="213"/>
      <c r="H4" s="4"/>
      <c r="I4" s="4"/>
      <c r="J4" s="4"/>
      <c r="K4" s="193" t="s">
        <v>19</v>
      </c>
      <c r="L4" s="194"/>
      <c r="M4" s="194"/>
      <c r="N4" s="194"/>
      <c r="O4" s="194"/>
      <c r="P4" s="194"/>
      <c r="Q4" s="194"/>
      <c r="R4" s="194"/>
      <c r="S4" s="195"/>
      <c r="T4" s="4"/>
    </row>
    <row r="5" spans="3:20" ht="18" customHeight="1" thickBot="1" thickTop="1"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3:20" ht="18" customHeight="1" thickBot="1" thickTop="1">
      <c r="C6" s="54" t="s">
        <v>71</v>
      </c>
      <c r="D6" s="50" t="s">
        <v>68</v>
      </c>
      <c r="E6" s="87" t="s">
        <v>110</v>
      </c>
      <c r="F6" s="50" t="s">
        <v>69</v>
      </c>
      <c r="G6" s="50" t="s">
        <v>111</v>
      </c>
      <c r="H6" s="4"/>
      <c r="I6" s="4"/>
      <c r="J6" s="54" t="s">
        <v>71</v>
      </c>
      <c r="K6" s="61">
        <v>1</v>
      </c>
      <c r="L6" s="61">
        <v>2</v>
      </c>
      <c r="M6" s="61">
        <v>3</v>
      </c>
      <c r="N6" s="61">
        <v>4</v>
      </c>
      <c r="O6" s="61">
        <v>5</v>
      </c>
      <c r="P6" s="61">
        <v>6</v>
      </c>
      <c r="Q6" s="61">
        <v>7</v>
      </c>
      <c r="R6" s="61">
        <v>8</v>
      </c>
      <c r="S6" s="61">
        <v>9</v>
      </c>
      <c r="T6" s="61">
        <v>10</v>
      </c>
    </row>
    <row r="7" spans="3:22" ht="18" customHeight="1" thickBot="1" thickTop="1">
      <c r="C7" s="51" t="s">
        <v>32</v>
      </c>
      <c r="D7" s="52">
        <v>10</v>
      </c>
      <c r="E7" s="53">
        <v>20000</v>
      </c>
      <c r="F7" s="53">
        <f>D7*E7</f>
        <v>200000</v>
      </c>
      <c r="G7" s="52">
        <v>15</v>
      </c>
      <c r="H7" s="4"/>
      <c r="I7" s="4"/>
      <c r="J7" s="51" t="s">
        <v>32</v>
      </c>
      <c r="K7" s="53">
        <f>F7/G7</f>
        <v>13333.333333333334</v>
      </c>
      <c r="L7" s="53">
        <f aca="true" t="shared" si="0" ref="L7:T7">K7</f>
        <v>13333.333333333334</v>
      </c>
      <c r="M7" s="53">
        <f t="shared" si="0"/>
        <v>13333.333333333334</v>
      </c>
      <c r="N7" s="53">
        <f t="shared" si="0"/>
        <v>13333.333333333334</v>
      </c>
      <c r="O7" s="53">
        <f t="shared" si="0"/>
        <v>13333.333333333334</v>
      </c>
      <c r="P7" s="53">
        <f t="shared" si="0"/>
        <v>13333.333333333334</v>
      </c>
      <c r="Q7" s="53">
        <f t="shared" si="0"/>
        <v>13333.333333333334</v>
      </c>
      <c r="R7" s="53">
        <f t="shared" si="0"/>
        <v>13333.333333333334</v>
      </c>
      <c r="S7" s="53">
        <f t="shared" si="0"/>
        <v>13333.333333333334</v>
      </c>
      <c r="T7" s="53">
        <f t="shared" si="0"/>
        <v>13333.333333333334</v>
      </c>
      <c r="V7" s="181">
        <f>T7*5</f>
        <v>66666.66666666667</v>
      </c>
    </row>
    <row r="8" spans="3:20" ht="18" customHeight="1" thickBot="1" thickTop="1">
      <c r="C8" s="51" t="s">
        <v>254</v>
      </c>
      <c r="D8" s="52">
        <v>1</v>
      </c>
      <c r="E8" s="53">
        <v>5000</v>
      </c>
      <c r="F8" s="53">
        <f aca="true" t="shared" si="1" ref="F8:F19">D8*E8</f>
        <v>5000</v>
      </c>
      <c r="G8" s="52">
        <v>5</v>
      </c>
      <c r="H8" s="4"/>
      <c r="I8" s="4"/>
      <c r="J8" s="51" t="s">
        <v>33</v>
      </c>
      <c r="K8" s="53">
        <f>F8/G8</f>
        <v>1000</v>
      </c>
      <c r="L8" s="53">
        <f>K8</f>
        <v>1000</v>
      </c>
      <c r="M8" s="53">
        <f>L8</f>
        <v>1000</v>
      </c>
      <c r="N8" s="53">
        <f>M8</f>
        <v>1000</v>
      </c>
      <c r="O8" s="53">
        <f>N8</f>
        <v>1000</v>
      </c>
      <c r="P8" s="53"/>
      <c r="Q8" s="53"/>
      <c r="R8" s="53"/>
      <c r="S8" s="53"/>
      <c r="T8" s="53"/>
    </row>
    <row r="9" spans="3:20" ht="18" customHeight="1" thickBot="1" thickTop="1">
      <c r="C9" s="51" t="s">
        <v>34</v>
      </c>
      <c r="D9" s="52">
        <v>12</v>
      </c>
      <c r="E9" s="53">
        <v>250</v>
      </c>
      <c r="F9" s="53">
        <f t="shared" si="1"/>
        <v>3000</v>
      </c>
      <c r="G9" s="52">
        <v>5</v>
      </c>
      <c r="H9" s="4"/>
      <c r="I9" s="4"/>
      <c r="J9" s="51" t="s">
        <v>34</v>
      </c>
      <c r="K9" s="53">
        <f>F9/G9</f>
        <v>600</v>
      </c>
      <c r="L9" s="53">
        <f>$K$9</f>
        <v>600</v>
      </c>
      <c r="M9" s="53">
        <f>$K$9</f>
        <v>600</v>
      </c>
      <c r="N9" s="53">
        <f>$K$9</f>
        <v>600</v>
      </c>
      <c r="O9" s="53">
        <f>$K$9</f>
        <v>600</v>
      </c>
      <c r="P9" s="53"/>
      <c r="Q9" s="53"/>
      <c r="R9" s="53"/>
      <c r="S9" s="53"/>
      <c r="T9" s="53"/>
    </row>
    <row r="10" spans="3:20" ht="18" customHeight="1" thickBot="1" thickTop="1">
      <c r="C10" s="51" t="s">
        <v>255</v>
      </c>
      <c r="D10" s="52">
        <v>12</v>
      </c>
      <c r="E10" s="53">
        <v>200</v>
      </c>
      <c r="F10" s="53">
        <f t="shared" si="1"/>
        <v>2400</v>
      </c>
      <c r="G10" s="52">
        <v>5</v>
      </c>
      <c r="H10" s="4"/>
      <c r="I10" s="4"/>
      <c r="J10" s="51" t="s">
        <v>255</v>
      </c>
      <c r="K10" s="53">
        <f aca="true" t="shared" si="2" ref="K10:K17">F10/G10</f>
        <v>480</v>
      </c>
      <c r="L10" s="53">
        <f>$K$10</f>
        <v>480</v>
      </c>
      <c r="M10" s="53">
        <f>$K$10</f>
        <v>480</v>
      </c>
      <c r="N10" s="53">
        <f>$K$10</f>
        <v>480</v>
      </c>
      <c r="O10" s="53"/>
      <c r="P10" s="53"/>
      <c r="Q10" s="53"/>
      <c r="R10" s="53"/>
      <c r="S10" s="53"/>
      <c r="T10" s="53"/>
    </row>
    <row r="11" spans="3:20" ht="18" customHeight="1" thickBot="1" thickTop="1">
      <c r="C11" s="51" t="s">
        <v>256</v>
      </c>
      <c r="D11" s="52">
        <v>6</v>
      </c>
      <c r="E11" s="53">
        <v>60</v>
      </c>
      <c r="F11" s="53">
        <f t="shared" si="1"/>
        <v>360</v>
      </c>
      <c r="G11" s="52">
        <v>5</v>
      </c>
      <c r="H11" s="4"/>
      <c r="I11" s="4"/>
      <c r="J11" s="51" t="s">
        <v>256</v>
      </c>
      <c r="K11" s="53">
        <f t="shared" si="2"/>
        <v>72</v>
      </c>
      <c r="L11" s="53">
        <f>$K$11</f>
        <v>72</v>
      </c>
      <c r="M11" s="53">
        <f>$K$11</f>
        <v>72</v>
      </c>
      <c r="N11" s="53">
        <f>$K$11</f>
        <v>72</v>
      </c>
      <c r="O11" s="53">
        <f>$K$11</f>
        <v>72</v>
      </c>
      <c r="P11" s="53"/>
      <c r="Q11" s="53"/>
      <c r="R11" s="53"/>
      <c r="S11" s="53"/>
      <c r="T11" s="53"/>
    </row>
    <row r="12" spans="3:20" ht="18" customHeight="1" thickBot="1" thickTop="1">
      <c r="C12" s="51" t="s">
        <v>35</v>
      </c>
      <c r="D12" s="52">
        <v>5</v>
      </c>
      <c r="E12" s="53">
        <v>1000</v>
      </c>
      <c r="F12" s="53">
        <f t="shared" si="1"/>
        <v>5000</v>
      </c>
      <c r="G12" s="52">
        <v>10</v>
      </c>
      <c r="H12" s="4"/>
      <c r="I12" s="4"/>
      <c r="J12" s="51" t="s">
        <v>35</v>
      </c>
      <c r="K12" s="53">
        <f t="shared" si="2"/>
        <v>500</v>
      </c>
      <c r="L12" s="53">
        <f aca="true" t="shared" si="3" ref="L12:T12">$K$12</f>
        <v>500</v>
      </c>
      <c r="M12" s="53">
        <f t="shared" si="3"/>
        <v>500</v>
      </c>
      <c r="N12" s="53">
        <f t="shared" si="3"/>
        <v>500</v>
      </c>
      <c r="O12" s="53">
        <f t="shared" si="3"/>
        <v>500</v>
      </c>
      <c r="P12" s="53">
        <f t="shared" si="3"/>
        <v>500</v>
      </c>
      <c r="Q12" s="53">
        <f t="shared" si="3"/>
        <v>500</v>
      </c>
      <c r="R12" s="53">
        <f t="shared" si="3"/>
        <v>500</v>
      </c>
      <c r="S12" s="53">
        <f t="shared" si="3"/>
        <v>500</v>
      </c>
      <c r="T12" s="53">
        <f t="shared" si="3"/>
        <v>500</v>
      </c>
    </row>
    <row r="13" spans="3:20" ht="18" customHeight="1" thickBot="1" thickTop="1">
      <c r="C13" s="51" t="s">
        <v>36</v>
      </c>
      <c r="D13" s="52">
        <v>2</v>
      </c>
      <c r="E13" s="53">
        <v>150</v>
      </c>
      <c r="F13" s="53">
        <f t="shared" si="1"/>
        <v>300</v>
      </c>
      <c r="G13" s="52">
        <v>10</v>
      </c>
      <c r="H13" s="4"/>
      <c r="I13" s="4"/>
      <c r="J13" s="51" t="s">
        <v>36</v>
      </c>
      <c r="K13" s="53">
        <f t="shared" si="2"/>
        <v>30</v>
      </c>
      <c r="L13" s="53">
        <f aca="true" t="shared" si="4" ref="L13:T13">$K$13</f>
        <v>30</v>
      </c>
      <c r="M13" s="53">
        <f t="shared" si="4"/>
        <v>30</v>
      </c>
      <c r="N13" s="53">
        <f t="shared" si="4"/>
        <v>30</v>
      </c>
      <c r="O13" s="53">
        <f t="shared" si="4"/>
        <v>30</v>
      </c>
      <c r="P13" s="53">
        <f t="shared" si="4"/>
        <v>30</v>
      </c>
      <c r="Q13" s="53">
        <f t="shared" si="4"/>
        <v>30</v>
      </c>
      <c r="R13" s="53">
        <f t="shared" si="4"/>
        <v>30</v>
      </c>
      <c r="S13" s="53">
        <f t="shared" si="4"/>
        <v>30</v>
      </c>
      <c r="T13" s="53">
        <f t="shared" si="4"/>
        <v>30</v>
      </c>
    </row>
    <row r="14" spans="3:22" ht="18" customHeight="1" thickBot="1" thickTop="1">
      <c r="C14" s="51" t="s">
        <v>37</v>
      </c>
      <c r="D14" s="52">
        <v>8</v>
      </c>
      <c r="E14" s="53">
        <v>5</v>
      </c>
      <c r="F14" s="53">
        <f t="shared" si="1"/>
        <v>40</v>
      </c>
      <c r="G14" s="52">
        <v>3</v>
      </c>
      <c r="H14" s="4"/>
      <c r="I14" s="4"/>
      <c r="J14" s="51" t="s">
        <v>37</v>
      </c>
      <c r="K14" s="53">
        <f t="shared" si="2"/>
        <v>13.333333333333334</v>
      </c>
      <c r="L14" s="53">
        <f>$K$14</f>
        <v>13.333333333333334</v>
      </c>
      <c r="M14" s="53">
        <f>$K$14</f>
        <v>13.333333333333334</v>
      </c>
      <c r="N14" s="53"/>
      <c r="O14" s="53"/>
      <c r="P14" s="53"/>
      <c r="Q14" s="53"/>
      <c r="R14" s="53"/>
      <c r="S14" s="53"/>
      <c r="T14" s="53"/>
      <c r="V14">
        <f>M14*2</f>
        <v>26.666666666666668</v>
      </c>
    </row>
    <row r="15" spans="3:20" ht="18" customHeight="1" thickBot="1" thickTop="1">
      <c r="C15" s="51" t="s">
        <v>17</v>
      </c>
      <c r="D15" s="52">
        <v>10</v>
      </c>
      <c r="E15" s="53">
        <v>510</v>
      </c>
      <c r="F15" s="53">
        <f t="shared" si="1"/>
        <v>5100</v>
      </c>
      <c r="G15" s="52">
        <v>10</v>
      </c>
      <c r="H15" s="4"/>
      <c r="I15" s="4"/>
      <c r="J15" s="51" t="s">
        <v>17</v>
      </c>
      <c r="K15" s="53">
        <f t="shared" si="2"/>
        <v>510</v>
      </c>
      <c r="L15" s="53">
        <f aca="true" t="shared" si="5" ref="L15:T15">$K$15</f>
        <v>510</v>
      </c>
      <c r="M15" s="53">
        <f t="shared" si="5"/>
        <v>510</v>
      </c>
      <c r="N15" s="53">
        <f t="shared" si="5"/>
        <v>510</v>
      </c>
      <c r="O15" s="53">
        <f t="shared" si="5"/>
        <v>510</v>
      </c>
      <c r="P15" s="53">
        <f t="shared" si="5"/>
        <v>510</v>
      </c>
      <c r="Q15" s="53">
        <f t="shared" si="5"/>
        <v>510</v>
      </c>
      <c r="R15" s="53">
        <f t="shared" si="5"/>
        <v>510</v>
      </c>
      <c r="S15" s="53">
        <f t="shared" si="5"/>
        <v>510</v>
      </c>
      <c r="T15" s="53">
        <f t="shared" si="5"/>
        <v>510</v>
      </c>
    </row>
    <row r="16" spans="3:20" ht="18" customHeight="1" thickBot="1" thickTop="1">
      <c r="C16" s="51" t="s">
        <v>257</v>
      </c>
      <c r="D16" s="52">
        <v>20</v>
      </c>
      <c r="E16" s="53">
        <v>350</v>
      </c>
      <c r="F16" s="53">
        <f t="shared" si="1"/>
        <v>7000</v>
      </c>
      <c r="G16" s="52">
        <v>5</v>
      </c>
      <c r="H16" s="4"/>
      <c r="I16" s="4"/>
      <c r="J16" s="51" t="s">
        <v>262</v>
      </c>
      <c r="K16" s="53">
        <f t="shared" si="2"/>
        <v>1400</v>
      </c>
      <c r="L16" s="53">
        <f>$K$16</f>
        <v>1400</v>
      </c>
      <c r="M16" s="53">
        <f>$K$16</f>
        <v>1400</v>
      </c>
      <c r="N16" s="53">
        <f>$K$16</f>
        <v>1400</v>
      </c>
      <c r="O16" s="53">
        <f>$K$16</f>
        <v>1400</v>
      </c>
      <c r="P16" s="53"/>
      <c r="Q16" s="53"/>
      <c r="R16" s="53"/>
      <c r="S16" s="53"/>
      <c r="T16" s="53"/>
    </row>
    <row r="17" spans="3:20" ht="18" customHeight="1" thickBot="1" thickTop="1">
      <c r="C17" s="51" t="s">
        <v>264</v>
      </c>
      <c r="D17" s="52">
        <v>1</v>
      </c>
      <c r="E17" s="53">
        <v>350</v>
      </c>
      <c r="F17" s="53">
        <f t="shared" si="1"/>
        <v>350</v>
      </c>
      <c r="G17" s="52">
        <v>5</v>
      </c>
      <c r="H17" s="4"/>
      <c r="I17" s="4"/>
      <c r="J17" s="51" t="s">
        <v>39</v>
      </c>
      <c r="K17" s="53">
        <f t="shared" si="2"/>
        <v>70</v>
      </c>
      <c r="L17" s="53"/>
      <c r="M17" s="53"/>
      <c r="N17" s="53"/>
      <c r="O17" s="53"/>
      <c r="P17" s="53"/>
      <c r="Q17" s="53"/>
      <c r="R17" s="53"/>
      <c r="S17" s="53"/>
      <c r="T17" s="53"/>
    </row>
    <row r="18" spans="3:20" ht="18" customHeight="1" thickBot="1" thickTop="1">
      <c r="C18" s="51" t="s">
        <v>112</v>
      </c>
      <c r="D18" s="52">
        <v>90</v>
      </c>
      <c r="E18" s="53">
        <v>50</v>
      </c>
      <c r="F18" s="53">
        <f t="shared" si="1"/>
        <v>4500</v>
      </c>
      <c r="G18" s="52">
        <v>5</v>
      </c>
      <c r="H18" s="4"/>
      <c r="I18" s="4"/>
      <c r="J18" s="51" t="s">
        <v>112</v>
      </c>
      <c r="K18" s="53">
        <f>F18/G18</f>
        <v>900</v>
      </c>
      <c r="L18" s="53">
        <f>$K$18</f>
        <v>900</v>
      </c>
      <c r="M18" s="53">
        <f>$K$18</f>
        <v>900</v>
      </c>
      <c r="N18" s="53">
        <f>$K$18</f>
        <v>900</v>
      </c>
      <c r="O18" s="53">
        <f>$K$18</f>
        <v>900</v>
      </c>
      <c r="P18" s="53"/>
      <c r="Q18" s="53"/>
      <c r="R18" s="53"/>
      <c r="S18" s="53"/>
      <c r="T18" s="53"/>
    </row>
    <row r="19" spans="3:20" ht="18" customHeight="1" thickBot="1" thickTop="1">
      <c r="C19" s="51" t="s">
        <v>113</v>
      </c>
      <c r="D19" s="52">
        <v>70</v>
      </c>
      <c r="E19" s="53">
        <v>20</v>
      </c>
      <c r="F19" s="53">
        <f t="shared" si="1"/>
        <v>1400</v>
      </c>
      <c r="G19" s="52">
        <v>2</v>
      </c>
      <c r="H19" s="4"/>
      <c r="I19" s="4"/>
      <c r="J19" s="51" t="s">
        <v>113</v>
      </c>
      <c r="K19" s="53">
        <f>F19/G19</f>
        <v>700</v>
      </c>
      <c r="L19" s="53">
        <f>$K$19</f>
        <v>700</v>
      </c>
      <c r="M19" s="53"/>
      <c r="N19" s="53"/>
      <c r="O19" s="53"/>
      <c r="P19" s="53"/>
      <c r="Q19" s="53"/>
      <c r="R19" s="53"/>
      <c r="S19" s="53"/>
      <c r="T19" s="53"/>
    </row>
    <row r="20" spans="3:20" ht="18" customHeight="1" thickBot="1" thickTop="1">
      <c r="C20" s="51" t="s">
        <v>40</v>
      </c>
      <c r="D20" s="52">
        <v>1</v>
      </c>
      <c r="E20" s="53">
        <v>300</v>
      </c>
      <c r="F20" s="53">
        <f>D20*E20</f>
        <v>300</v>
      </c>
      <c r="G20" s="52">
        <v>5</v>
      </c>
      <c r="H20" s="4"/>
      <c r="I20" s="4"/>
      <c r="J20" s="51" t="s">
        <v>40</v>
      </c>
      <c r="K20" s="53">
        <f>F20/G20</f>
        <v>60</v>
      </c>
      <c r="L20" s="53">
        <f>$K$20</f>
        <v>60</v>
      </c>
      <c r="M20" s="53">
        <f>$K$20</f>
        <v>60</v>
      </c>
      <c r="N20" s="53">
        <f>$K$20</f>
        <v>60</v>
      </c>
      <c r="O20" s="53">
        <f>$K$20</f>
        <v>60</v>
      </c>
      <c r="P20" s="53"/>
      <c r="Q20" s="53"/>
      <c r="R20" s="53"/>
      <c r="S20" s="53"/>
      <c r="T20" s="53"/>
    </row>
    <row r="21" spans="3:20" ht="18" customHeight="1" thickBot="1" thickTop="1">
      <c r="C21" s="243" t="s">
        <v>9</v>
      </c>
      <c r="D21" s="243"/>
      <c r="E21" s="243"/>
      <c r="F21" s="53">
        <f>SUM(F7:F20)</f>
        <v>234750</v>
      </c>
      <c r="G21" s="12"/>
      <c r="H21" s="4"/>
      <c r="I21" s="4"/>
      <c r="J21" s="51" t="s">
        <v>57</v>
      </c>
      <c r="K21" s="53">
        <f>F23/G23</f>
        <v>33.333333333333336</v>
      </c>
      <c r="L21" s="53">
        <f>$K$21</f>
        <v>33.333333333333336</v>
      </c>
      <c r="M21" s="53">
        <f>L21</f>
        <v>33.333333333333336</v>
      </c>
      <c r="N21" s="53"/>
      <c r="O21" s="53"/>
      <c r="P21" s="53"/>
      <c r="Q21" s="53"/>
      <c r="R21" s="53"/>
      <c r="S21" s="53"/>
      <c r="T21" s="53"/>
    </row>
    <row r="22" spans="3:20" ht="18" customHeight="1" thickBot="1" thickTop="1">
      <c r="C22" s="250" t="s">
        <v>179</v>
      </c>
      <c r="D22" s="251"/>
      <c r="E22" s="55"/>
      <c r="F22" s="55"/>
      <c r="G22" s="57"/>
      <c r="H22" s="4" t="s">
        <v>289</v>
      </c>
      <c r="I22" s="4"/>
      <c r="J22" s="51" t="s">
        <v>38</v>
      </c>
      <c r="K22" s="53">
        <f>F24/G24</f>
        <v>380</v>
      </c>
      <c r="L22" s="53">
        <f>K22</f>
        <v>380</v>
      </c>
      <c r="M22" s="53">
        <f>L22</f>
        <v>380</v>
      </c>
      <c r="N22" s="53"/>
      <c r="O22" s="53"/>
      <c r="P22" s="53"/>
      <c r="Q22" s="53"/>
      <c r="R22" s="53"/>
      <c r="S22" s="53"/>
      <c r="T22" s="53"/>
    </row>
    <row r="23" spans="3:20" ht="18" customHeight="1" thickBot="1" thickTop="1">
      <c r="C23" s="51" t="s">
        <v>57</v>
      </c>
      <c r="D23" s="52">
        <v>1</v>
      </c>
      <c r="E23" s="53">
        <v>100</v>
      </c>
      <c r="F23" s="53">
        <f>E23*D23</f>
        <v>100</v>
      </c>
      <c r="G23" s="52">
        <v>3</v>
      </c>
      <c r="H23" s="49">
        <f>F23*2</f>
        <v>200</v>
      </c>
      <c r="I23" s="4"/>
      <c r="J23" s="51" t="s">
        <v>58</v>
      </c>
      <c r="K23" s="53">
        <f>F27/G27</f>
        <v>8</v>
      </c>
      <c r="L23" s="53">
        <f aca="true" t="shared" si="6" ref="L23:T23">$K$23</f>
        <v>8</v>
      </c>
      <c r="M23" s="53">
        <f t="shared" si="6"/>
        <v>8</v>
      </c>
      <c r="N23" s="53">
        <f t="shared" si="6"/>
        <v>8</v>
      </c>
      <c r="O23" s="53">
        <f t="shared" si="6"/>
        <v>8</v>
      </c>
      <c r="P23" s="53">
        <f t="shared" si="6"/>
        <v>8</v>
      </c>
      <c r="Q23" s="53">
        <f t="shared" si="6"/>
        <v>8</v>
      </c>
      <c r="R23" s="53">
        <f t="shared" si="6"/>
        <v>8</v>
      </c>
      <c r="S23" s="53">
        <f t="shared" si="6"/>
        <v>8</v>
      </c>
      <c r="T23" s="53">
        <f t="shared" si="6"/>
        <v>8</v>
      </c>
    </row>
    <row r="24" spans="3:20" ht="18" customHeight="1" thickBot="1" thickTop="1">
      <c r="C24" s="51" t="s">
        <v>38</v>
      </c>
      <c r="D24" s="52">
        <v>3</v>
      </c>
      <c r="E24" s="53">
        <v>380</v>
      </c>
      <c r="F24" s="53">
        <f>D24*E24</f>
        <v>1140</v>
      </c>
      <c r="G24" s="52">
        <v>3</v>
      </c>
      <c r="H24" s="49">
        <f>F24*2</f>
        <v>2280</v>
      </c>
      <c r="I24" s="4"/>
      <c r="J24" s="51" t="s">
        <v>59</v>
      </c>
      <c r="K24" s="53">
        <f>F28/G28</f>
        <v>36</v>
      </c>
      <c r="L24" s="53">
        <f aca="true" t="shared" si="7" ref="L24:T24">$K$24</f>
        <v>36</v>
      </c>
      <c r="M24" s="53">
        <f t="shared" si="7"/>
        <v>36</v>
      </c>
      <c r="N24" s="53">
        <f t="shared" si="7"/>
        <v>36</v>
      </c>
      <c r="O24" s="53">
        <f t="shared" si="7"/>
        <v>36</v>
      </c>
      <c r="P24" s="53">
        <f t="shared" si="7"/>
        <v>36</v>
      </c>
      <c r="Q24" s="53">
        <f t="shared" si="7"/>
        <v>36</v>
      </c>
      <c r="R24" s="53">
        <f t="shared" si="7"/>
        <v>36</v>
      </c>
      <c r="S24" s="53">
        <f t="shared" si="7"/>
        <v>36</v>
      </c>
      <c r="T24" s="53">
        <f t="shared" si="7"/>
        <v>36</v>
      </c>
    </row>
    <row r="25" spans="3:20" ht="18" customHeight="1" thickBot="1" thickTop="1">
      <c r="C25" s="243" t="s">
        <v>9</v>
      </c>
      <c r="D25" s="243"/>
      <c r="E25" s="243"/>
      <c r="F25" s="53">
        <f>SUM(F23:F24)</f>
        <v>1240</v>
      </c>
      <c r="G25" s="12"/>
      <c r="H25" s="49">
        <f>H23+H24</f>
        <v>2480</v>
      </c>
      <c r="I25" s="4"/>
      <c r="J25" s="51" t="s">
        <v>60</v>
      </c>
      <c r="K25" s="53">
        <f>F29/G29</f>
        <v>5</v>
      </c>
      <c r="L25" s="53">
        <f aca="true" t="shared" si="8" ref="L25:T25">$K$25</f>
        <v>5</v>
      </c>
      <c r="M25" s="53">
        <f t="shared" si="8"/>
        <v>5</v>
      </c>
      <c r="N25" s="53">
        <f t="shared" si="8"/>
        <v>5</v>
      </c>
      <c r="O25" s="53">
        <f t="shared" si="8"/>
        <v>5</v>
      </c>
      <c r="P25" s="53">
        <f t="shared" si="8"/>
        <v>5</v>
      </c>
      <c r="Q25" s="53">
        <f t="shared" si="8"/>
        <v>5</v>
      </c>
      <c r="R25" s="53">
        <f t="shared" si="8"/>
        <v>5</v>
      </c>
      <c r="S25" s="53">
        <f t="shared" si="8"/>
        <v>5</v>
      </c>
      <c r="T25" s="53">
        <f t="shared" si="8"/>
        <v>5</v>
      </c>
    </row>
    <row r="26" spans="3:20" ht="18" customHeight="1" thickBot="1" thickTop="1">
      <c r="C26" s="250" t="s">
        <v>180</v>
      </c>
      <c r="D26" s="251"/>
      <c r="E26" s="55"/>
      <c r="F26" s="55"/>
      <c r="G26" s="57"/>
      <c r="H26" s="4"/>
      <c r="I26" s="4"/>
      <c r="J26" s="51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3:20" ht="18" customHeight="1" thickBot="1" thickTop="1">
      <c r="C27" s="51" t="s">
        <v>258</v>
      </c>
      <c r="D27" s="52">
        <v>1</v>
      </c>
      <c r="E27" s="53">
        <v>80</v>
      </c>
      <c r="F27" s="53">
        <f aca="true" t="shared" si="9" ref="F27:F32">D27*E27</f>
        <v>80</v>
      </c>
      <c r="G27" s="52">
        <v>10</v>
      </c>
      <c r="H27" s="4"/>
      <c r="I27" s="4"/>
      <c r="J27" s="51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3:20" ht="18" customHeight="1" thickBot="1" thickTop="1">
      <c r="C28" s="51" t="s">
        <v>59</v>
      </c>
      <c r="D28" s="52">
        <v>9</v>
      </c>
      <c r="E28" s="53">
        <v>40</v>
      </c>
      <c r="F28" s="53">
        <f t="shared" si="9"/>
        <v>360</v>
      </c>
      <c r="G28" s="52">
        <v>10</v>
      </c>
      <c r="H28" s="4"/>
      <c r="I28" s="4"/>
      <c r="J28" s="68"/>
      <c r="K28" s="53">
        <f aca="true" t="shared" si="10" ref="K28:T28">SUM(K7:K27)</f>
        <v>20131</v>
      </c>
      <c r="L28" s="53">
        <f t="shared" si="10"/>
        <v>20061</v>
      </c>
      <c r="M28" s="53">
        <f t="shared" si="10"/>
        <v>19361</v>
      </c>
      <c r="N28" s="53">
        <f t="shared" si="10"/>
        <v>18934.333333333336</v>
      </c>
      <c r="O28" s="53">
        <f t="shared" si="10"/>
        <v>18454.333333333336</v>
      </c>
      <c r="P28" s="53">
        <f t="shared" si="10"/>
        <v>14422.333333333334</v>
      </c>
      <c r="Q28" s="53">
        <f t="shared" si="10"/>
        <v>14422.333333333334</v>
      </c>
      <c r="R28" s="53">
        <f t="shared" si="10"/>
        <v>14422.333333333334</v>
      </c>
      <c r="S28" s="53">
        <f t="shared" si="10"/>
        <v>14422.333333333334</v>
      </c>
      <c r="T28" s="53">
        <f t="shared" si="10"/>
        <v>14422.333333333334</v>
      </c>
    </row>
    <row r="29" spans="3:9" ht="18" customHeight="1" thickBot="1" thickTop="1">
      <c r="C29" s="51" t="s">
        <v>60</v>
      </c>
      <c r="D29" s="52">
        <v>1</v>
      </c>
      <c r="E29" s="53">
        <v>50</v>
      </c>
      <c r="F29" s="53">
        <f t="shared" si="9"/>
        <v>50</v>
      </c>
      <c r="G29" s="52">
        <v>10</v>
      </c>
      <c r="H29" s="4"/>
      <c r="I29" s="4"/>
    </row>
    <row r="30" spans="3:22" ht="18" customHeight="1" thickBot="1" thickTop="1">
      <c r="C30" s="243" t="s">
        <v>9</v>
      </c>
      <c r="D30" s="243"/>
      <c r="E30" s="243"/>
      <c r="F30" s="53">
        <f>SUM(F27:F29)</f>
        <v>490</v>
      </c>
      <c r="G30" s="12"/>
      <c r="H30" s="4"/>
      <c r="I30" s="4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3"/>
      <c r="V30" s="114"/>
    </row>
    <row r="31" spans="3:21" ht="18" customHeight="1" thickBot="1" thickTop="1">
      <c r="C31" s="252" t="s">
        <v>181</v>
      </c>
      <c r="D31" s="253"/>
      <c r="E31" s="55"/>
      <c r="F31" s="55"/>
      <c r="G31" s="24"/>
      <c r="H31" s="4"/>
      <c r="I31" s="4"/>
      <c r="L31" s="247" t="s">
        <v>191</v>
      </c>
      <c r="M31" s="248"/>
      <c r="N31" s="248"/>
      <c r="O31" s="248"/>
      <c r="P31" s="248"/>
      <c r="Q31" s="248"/>
      <c r="R31" s="248"/>
      <c r="S31" s="248"/>
      <c r="T31" s="249"/>
      <c r="U31" s="110"/>
    </row>
    <row r="32" spans="3:9" ht="18" customHeight="1" thickBot="1" thickTop="1">
      <c r="C32" s="51" t="s">
        <v>44</v>
      </c>
      <c r="D32" s="52">
        <v>1</v>
      </c>
      <c r="E32" s="53">
        <v>25</v>
      </c>
      <c r="F32" s="53">
        <f t="shared" si="9"/>
        <v>25</v>
      </c>
      <c r="G32" s="56"/>
      <c r="H32" s="4"/>
      <c r="I32" s="4"/>
    </row>
    <row r="33" spans="3:9" ht="18" customHeight="1" thickBot="1" thickTop="1">
      <c r="C33" s="51" t="s">
        <v>61</v>
      </c>
      <c r="D33" s="52">
        <v>1</v>
      </c>
      <c r="E33" s="53">
        <v>200</v>
      </c>
      <c r="F33" s="53">
        <f>D33*E33</f>
        <v>200</v>
      </c>
      <c r="G33" s="56"/>
      <c r="H33" s="49"/>
      <c r="I33" s="4"/>
    </row>
    <row r="34" spans="3:23" ht="18" customHeight="1" thickBot="1" thickTop="1">
      <c r="C34" s="243" t="s">
        <v>9</v>
      </c>
      <c r="D34" s="243"/>
      <c r="E34" s="243"/>
      <c r="F34" s="53">
        <f>SUM(F32:F33)</f>
        <v>225</v>
      </c>
      <c r="G34" s="56"/>
      <c r="H34" s="4"/>
      <c r="I34" s="4"/>
      <c r="J34" s="103" t="s">
        <v>129</v>
      </c>
      <c r="K34" s="50" t="s">
        <v>69</v>
      </c>
      <c r="L34" s="50" t="s">
        <v>111</v>
      </c>
      <c r="M34" s="50">
        <v>1</v>
      </c>
      <c r="N34" s="50">
        <v>2</v>
      </c>
      <c r="O34" s="50">
        <v>3</v>
      </c>
      <c r="P34" s="50">
        <v>4</v>
      </c>
      <c r="Q34" s="50">
        <v>5</v>
      </c>
      <c r="R34" s="50">
        <v>6</v>
      </c>
      <c r="S34" s="50">
        <v>7</v>
      </c>
      <c r="T34" s="50">
        <v>8</v>
      </c>
      <c r="U34" s="50">
        <v>9</v>
      </c>
      <c r="V34" s="50">
        <v>10</v>
      </c>
      <c r="W34" t="s">
        <v>289</v>
      </c>
    </row>
    <row r="35" spans="3:23" ht="18" customHeight="1" thickBot="1" thickTop="1">
      <c r="C35" s="4"/>
      <c r="D35" s="4"/>
      <c r="E35" s="4"/>
      <c r="F35" s="4"/>
      <c r="G35" s="4"/>
      <c r="H35" s="4"/>
      <c r="I35" s="4"/>
      <c r="J35" s="115" t="s">
        <v>32</v>
      </c>
      <c r="K35" s="116">
        <f aca="true" t="shared" si="11" ref="K35:K44">F7</f>
        <v>200000</v>
      </c>
      <c r="L35" s="151">
        <v>15</v>
      </c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65">
        <f>T7*5</f>
        <v>66666.66666666667</v>
      </c>
    </row>
    <row r="36" spans="3:22" ht="18" customHeight="1" thickBot="1" thickTop="1">
      <c r="C36" s="287" t="s">
        <v>129</v>
      </c>
      <c r="D36" s="287"/>
      <c r="E36" s="287"/>
      <c r="F36" s="287"/>
      <c r="G36" s="287"/>
      <c r="H36" s="287"/>
      <c r="I36" s="4"/>
      <c r="J36" s="115" t="s">
        <v>33</v>
      </c>
      <c r="K36" s="116">
        <f t="shared" si="11"/>
        <v>5000</v>
      </c>
      <c r="L36" s="151">
        <v>5</v>
      </c>
      <c r="M36" s="117"/>
      <c r="N36" s="117"/>
      <c r="O36" s="117"/>
      <c r="P36" s="117"/>
      <c r="Q36" s="117">
        <f>K36</f>
        <v>5000</v>
      </c>
      <c r="R36" s="117"/>
      <c r="S36" s="117"/>
      <c r="T36" s="117"/>
      <c r="U36" s="117"/>
      <c r="V36" s="117">
        <f aca="true" t="shared" si="12" ref="V36:V41">K36</f>
        <v>5000</v>
      </c>
    </row>
    <row r="37" spans="3:22" ht="31.5" customHeight="1" thickBot="1" thickTop="1">
      <c r="C37" s="288"/>
      <c r="D37" s="289" t="s">
        <v>67</v>
      </c>
      <c r="E37" s="289" t="s">
        <v>68</v>
      </c>
      <c r="F37" s="289" t="s">
        <v>50</v>
      </c>
      <c r="G37" s="289" t="s">
        <v>69</v>
      </c>
      <c r="H37" s="290" t="s">
        <v>289</v>
      </c>
      <c r="J37" s="115" t="s">
        <v>34</v>
      </c>
      <c r="K37" s="116">
        <f t="shared" si="11"/>
        <v>3000</v>
      </c>
      <c r="L37" s="151">
        <v>5</v>
      </c>
      <c r="M37" s="117"/>
      <c r="N37" s="117"/>
      <c r="O37" s="117"/>
      <c r="P37" s="117"/>
      <c r="Q37" s="117">
        <f>K37</f>
        <v>3000</v>
      </c>
      <c r="R37" s="117"/>
      <c r="S37" s="117"/>
      <c r="T37" s="117"/>
      <c r="U37" s="117"/>
      <c r="V37" s="117">
        <f t="shared" si="12"/>
        <v>3000</v>
      </c>
    </row>
    <row r="38" spans="3:22" ht="18" customHeight="1" thickBot="1" thickTop="1">
      <c r="C38" s="291" t="s">
        <v>62</v>
      </c>
      <c r="D38" s="292" t="s">
        <v>66</v>
      </c>
      <c r="E38" s="293">
        <v>1800</v>
      </c>
      <c r="F38" s="294">
        <v>11.3</v>
      </c>
      <c r="G38" s="294">
        <f aca="true" t="shared" si="13" ref="G38:G43">F38*E38</f>
        <v>20340</v>
      </c>
      <c r="H38" s="295">
        <f>G38</f>
        <v>20340</v>
      </c>
      <c r="J38" s="115" t="s">
        <v>290</v>
      </c>
      <c r="K38" s="116">
        <f t="shared" si="11"/>
        <v>2400</v>
      </c>
      <c r="L38" s="151">
        <v>5</v>
      </c>
      <c r="M38" s="117"/>
      <c r="N38" s="117"/>
      <c r="O38" s="117"/>
      <c r="Q38" s="117">
        <f>K38</f>
        <v>2400</v>
      </c>
      <c r="R38" s="117"/>
      <c r="S38" s="117"/>
      <c r="U38" s="117"/>
      <c r="V38" s="117">
        <f t="shared" si="12"/>
        <v>2400</v>
      </c>
    </row>
    <row r="39" spans="3:22" ht="18" customHeight="1" thickBot="1" thickTop="1">
      <c r="C39" s="291" t="s">
        <v>63</v>
      </c>
      <c r="D39" s="292" t="s">
        <v>66</v>
      </c>
      <c r="E39" s="293">
        <v>995</v>
      </c>
      <c r="F39" s="294">
        <v>200</v>
      </c>
      <c r="G39" s="294">
        <f t="shared" si="13"/>
        <v>199000</v>
      </c>
      <c r="H39" s="295">
        <f>G39*0.2</f>
        <v>39800</v>
      </c>
      <c r="J39" s="115" t="s">
        <v>85</v>
      </c>
      <c r="K39" s="116">
        <f t="shared" si="11"/>
        <v>360</v>
      </c>
      <c r="L39" s="151">
        <v>5</v>
      </c>
      <c r="M39" s="117"/>
      <c r="N39" s="117"/>
      <c r="O39" s="117"/>
      <c r="P39" s="117"/>
      <c r="Q39" s="117">
        <f>K39</f>
        <v>360</v>
      </c>
      <c r="R39" s="117"/>
      <c r="S39" s="117"/>
      <c r="T39" s="117"/>
      <c r="U39" s="117"/>
      <c r="V39" s="117">
        <f t="shared" si="12"/>
        <v>360</v>
      </c>
    </row>
    <row r="40" spans="3:22" ht="18" customHeight="1" thickBot="1" thickTop="1">
      <c r="C40" s="291" t="s">
        <v>260</v>
      </c>
      <c r="D40" s="292" t="s">
        <v>259</v>
      </c>
      <c r="E40" s="293">
        <v>3</v>
      </c>
      <c r="F40" s="294">
        <v>30</v>
      </c>
      <c r="G40" s="294">
        <f t="shared" si="13"/>
        <v>90</v>
      </c>
      <c r="H40" s="295">
        <f>G40*0.2</f>
        <v>18</v>
      </c>
      <c r="J40" s="115" t="s">
        <v>35</v>
      </c>
      <c r="K40" s="116">
        <f t="shared" si="11"/>
        <v>5000</v>
      </c>
      <c r="L40" s="151">
        <v>10</v>
      </c>
      <c r="M40" s="117"/>
      <c r="N40" s="117"/>
      <c r="O40" s="117"/>
      <c r="P40" s="117"/>
      <c r="Q40" s="117"/>
      <c r="R40" s="117"/>
      <c r="S40" s="117"/>
      <c r="T40" s="117"/>
      <c r="U40" s="117"/>
      <c r="V40" s="117">
        <f t="shared" si="12"/>
        <v>5000</v>
      </c>
    </row>
    <row r="41" spans="3:22" ht="18" customHeight="1" thickBot="1" thickTop="1">
      <c r="C41" s="291" t="s">
        <v>64</v>
      </c>
      <c r="D41" s="293" t="s">
        <v>259</v>
      </c>
      <c r="E41" s="293">
        <v>6</v>
      </c>
      <c r="F41" s="294">
        <v>40</v>
      </c>
      <c r="G41" s="294">
        <f t="shared" si="13"/>
        <v>240</v>
      </c>
      <c r="H41" s="295">
        <f>G41*0.2</f>
        <v>48</v>
      </c>
      <c r="J41" s="115" t="s">
        <v>36</v>
      </c>
      <c r="K41" s="116">
        <f t="shared" si="11"/>
        <v>300</v>
      </c>
      <c r="L41" s="151">
        <v>10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>
        <f t="shared" si="12"/>
        <v>300</v>
      </c>
    </row>
    <row r="42" spans="3:23" ht="18" customHeight="1" thickBot="1" thickTop="1">
      <c r="C42" s="291" t="s">
        <v>261</v>
      </c>
      <c r="D42" s="293" t="s">
        <v>259</v>
      </c>
      <c r="E42" s="293">
        <v>1</v>
      </c>
      <c r="F42" s="294">
        <v>5000</v>
      </c>
      <c r="G42" s="294">
        <f t="shared" si="13"/>
        <v>5000</v>
      </c>
      <c r="H42" s="295">
        <f>G42*0.2</f>
        <v>1000</v>
      </c>
      <c r="J42" s="115" t="s">
        <v>37</v>
      </c>
      <c r="K42" s="116">
        <f t="shared" si="11"/>
        <v>40</v>
      </c>
      <c r="L42" s="151">
        <v>3</v>
      </c>
      <c r="M42" s="117"/>
      <c r="N42" s="117"/>
      <c r="O42" s="117">
        <f>K42</f>
        <v>40</v>
      </c>
      <c r="P42" s="117"/>
      <c r="Q42" s="117"/>
      <c r="R42" s="117">
        <f>K42</f>
        <v>40</v>
      </c>
      <c r="S42" s="117"/>
      <c r="T42" s="117"/>
      <c r="U42" s="117">
        <f>K42</f>
        <v>40</v>
      </c>
      <c r="V42" s="117"/>
      <c r="W42" s="65">
        <f>M14*2</f>
        <v>26.666666666666668</v>
      </c>
    </row>
    <row r="43" spans="3:22" ht="15.75" customHeight="1" thickBot="1" thickTop="1">
      <c r="C43" s="291" t="s">
        <v>65</v>
      </c>
      <c r="D43" s="293" t="s">
        <v>259</v>
      </c>
      <c r="E43" s="293">
        <v>1</v>
      </c>
      <c r="F43" s="294">
        <v>100</v>
      </c>
      <c r="G43" s="294">
        <f t="shared" si="13"/>
        <v>100</v>
      </c>
      <c r="H43" s="295">
        <f>G43*0.2</f>
        <v>20</v>
      </c>
      <c r="J43" s="115" t="s">
        <v>17</v>
      </c>
      <c r="K43" s="116">
        <f t="shared" si="11"/>
        <v>5100</v>
      </c>
      <c r="L43" s="151">
        <v>10</v>
      </c>
      <c r="M43" s="117"/>
      <c r="N43" s="117"/>
      <c r="O43" s="117"/>
      <c r="P43" s="117"/>
      <c r="Q43" s="117"/>
      <c r="R43" s="117"/>
      <c r="S43" s="117"/>
      <c r="T43" s="117"/>
      <c r="U43" s="117"/>
      <c r="V43" s="117">
        <f>K43</f>
        <v>5100</v>
      </c>
    </row>
    <row r="44" spans="3:22" ht="18" customHeight="1" thickBot="1" thickTop="1">
      <c r="C44" s="296"/>
      <c r="D44" s="296"/>
      <c r="E44" s="296"/>
      <c r="F44" s="296"/>
      <c r="G44" s="296"/>
      <c r="H44" s="288"/>
      <c r="J44" s="115" t="s">
        <v>257</v>
      </c>
      <c r="K44" s="116">
        <f t="shared" si="11"/>
        <v>7000</v>
      </c>
      <c r="L44" s="151">
        <v>5</v>
      </c>
      <c r="M44" s="117"/>
      <c r="N44" s="117"/>
      <c r="O44" s="117"/>
      <c r="P44" s="117"/>
      <c r="Q44" s="117">
        <f>K44</f>
        <v>7000</v>
      </c>
      <c r="R44" s="117"/>
      <c r="S44" s="117"/>
      <c r="T44" s="117"/>
      <c r="U44" s="117"/>
      <c r="V44" s="117">
        <f>K44</f>
        <v>7000</v>
      </c>
    </row>
    <row r="45" spans="3:22" ht="18" customHeight="1" hidden="1" thickBot="1" thickTop="1">
      <c r="C45" s="296"/>
      <c r="D45" s="296"/>
      <c r="E45" s="296"/>
      <c r="F45" s="296"/>
      <c r="G45" s="296"/>
      <c r="H45" s="288"/>
      <c r="J45" s="115" t="s">
        <v>39</v>
      </c>
      <c r="K45" s="116"/>
      <c r="L45" s="152"/>
      <c r="M45" s="117"/>
      <c r="N45" s="117"/>
      <c r="O45" s="117"/>
      <c r="P45" s="117"/>
      <c r="Q45" s="117"/>
      <c r="R45" s="117"/>
      <c r="S45" s="117"/>
      <c r="T45" s="117"/>
      <c r="U45" s="117"/>
      <c r="V45" s="117"/>
    </row>
    <row r="46" spans="3:22" ht="18" customHeight="1" thickBot="1" thickTop="1">
      <c r="C46" s="297" t="s">
        <v>9</v>
      </c>
      <c r="D46" s="297"/>
      <c r="E46" s="297"/>
      <c r="F46" s="297"/>
      <c r="G46" s="298">
        <f>SUM(G38:G44)</f>
        <v>224770</v>
      </c>
      <c r="H46" s="299">
        <f>SUM(H38:H43)</f>
        <v>61226</v>
      </c>
      <c r="J46" s="115" t="s">
        <v>112</v>
      </c>
      <c r="K46" s="116">
        <f>F18</f>
        <v>4500</v>
      </c>
      <c r="L46" s="151">
        <v>5</v>
      </c>
      <c r="M46" s="117"/>
      <c r="N46" s="117"/>
      <c r="O46" s="117"/>
      <c r="P46" s="117"/>
      <c r="Q46" s="117">
        <f>K46</f>
        <v>4500</v>
      </c>
      <c r="R46" s="117"/>
      <c r="S46" s="117"/>
      <c r="T46" s="117"/>
      <c r="U46" s="117"/>
      <c r="V46" s="117">
        <f>K46</f>
        <v>4500</v>
      </c>
    </row>
    <row r="47" spans="6:22" ht="18" customHeight="1" thickBot="1" thickTop="1">
      <c r="F47" s="301"/>
      <c r="G47" s="302"/>
      <c r="H47" s="303"/>
      <c r="J47" s="115" t="s">
        <v>113</v>
      </c>
      <c r="K47" s="116">
        <f>F19</f>
        <v>1400</v>
      </c>
      <c r="L47" s="151">
        <v>2</v>
      </c>
      <c r="M47" s="117"/>
      <c r="N47" s="117">
        <f>K47</f>
        <v>1400</v>
      </c>
      <c r="O47" s="117"/>
      <c r="P47" s="117">
        <f>K47</f>
        <v>1400</v>
      </c>
      <c r="Q47" s="117"/>
      <c r="R47" s="117">
        <f>K47</f>
        <v>1400</v>
      </c>
      <c r="S47" s="117"/>
      <c r="T47" s="117">
        <f>K47</f>
        <v>1400</v>
      </c>
      <c r="U47" s="117"/>
      <c r="V47" s="117">
        <f>K47</f>
        <v>1400</v>
      </c>
    </row>
    <row r="48" spans="6:22" ht="18" customHeight="1" thickBot="1" thickTop="1">
      <c r="F48" s="288" t="s">
        <v>291</v>
      </c>
      <c r="G48" s="288"/>
      <c r="H48" s="304">
        <f>H46+H25+W49</f>
        <v>130399.33333333334</v>
      </c>
      <c r="J48" s="115" t="s">
        <v>40</v>
      </c>
      <c r="K48" s="116">
        <f>F20</f>
        <v>300</v>
      </c>
      <c r="L48" s="151">
        <v>5</v>
      </c>
      <c r="M48" s="117"/>
      <c r="N48" s="117"/>
      <c r="O48" s="117"/>
      <c r="P48" s="117"/>
      <c r="Q48" s="117">
        <f>K48</f>
        <v>300</v>
      </c>
      <c r="R48" s="117"/>
      <c r="S48" s="117"/>
      <c r="T48" s="117"/>
      <c r="U48" s="117"/>
      <c r="V48" s="117"/>
    </row>
    <row r="49" spans="10:23" ht="18" customHeight="1" thickBot="1" thickTop="1">
      <c r="J49" s="240" t="s">
        <v>9</v>
      </c>
      <c r="K49" s="241"/>
      <c r="L49" s="242"/>
      <c r="M49" s="118">
        <f>SUM(M35:M48)</f>
        <v>0</v>
      </c>
      <c r="N49" s="118">
        <f aca="true" t="shared" si="14" ref="N49:V49">SUM(N35:N48)</f>
        <v>1400</v>
      </c>
      <c r="O49" s="118">
        <f t="shared" si="14"/>
        <v>40</v>
      </c>
      <c r="P49" s="118">
        <f t="shared" si="14"/>
        <v>1400</v>
      </c>
      <c r="Q49" s="118">
        <f t="shared" si="14"/>
        <v>22560</v>
      </c>
      <c r="R49" s="118">
        <f t="shared" si="14"/>
        <v>1440</v>
      </c>
      <c r="S49" s="118">
        <f t="shared" si="14"/>
        <v>0</v>
      </c>
      <c r="T49" s="118">
        <f t="shared" si="14"/>
        <v>1400</v>
      </c>
      <c r="U49" s="118">
        <f t="shared" si="14"/>
        <v>40</v>
      </c>
      <c r="V49" s="118">
        <f t="shared" si="14"/>
        <v>34060</v>
      </c>
      <c r="W49" s="65">
        <f>W35+W42</f>
        <v>66693.33333333334</v>
      </c>
    </row>
    <row r="50" ht="18" customHeight="1" thickTop="1">
      <c r="K50" s="24"/>
    </row>
    <row r="51" ht="18" customHeight="1">
      <c r="K51" s="24"/>
    </row>
    <row r="52" ht="18" customHeight="1">
      <c r="K52" s="24"/>
    </row>
    <row r="53" ht="18" customHeight="1">
      <c r="K53" s="24"/>
    </row>
    <row r="54" ht="18" customHeight="1">
      <c r="K54" s="24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spans="6:7" ht="18" customHeight="1">
      <c r="F71" s="4"/>
      <c r="G71" s="4"/>
    </row>
    <row r="72" spans="6:7" ht="18" customHeight="1">
      <c r="F72" s="4"/>
      <c r="G72" s="4"/>
    </row>
    <row r="73" spans="3:7" ht="18" customHeight="1">
      <c r="C73" s="4"/>
      <c r="D73" s="4"/>
      <c r="E73" s="4"/>
      <c r="F73" s="4"/>
      <c r="G73" s="4"/>
    </row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/>
  <mergeCells count="15">
    <mergeCell ref="L31:T31"/>
    <mergeCell ref="C22:D22"/>
    <mergeCell ref="C26:D26"/>
    <mergeCell ref="C31:D31"/>
    <mergeCell ref="C36:H36"/>
    <mergeCell ref="F47:H47"/>
    <mergeCell ref="J49:L49"/>
    <mergeCell ref="K4:S4"/>
    <mergeCell ref="C46:F46"/>
    <mergeCell ref="C4:G4"/>
    <mergeCell ref="C34:E34"/>
    <mergeCell ref="C30:E30"/>
    <mergeCell ref="C25:E25"/>
    <mergeCell ref="C21:E21"/>
    <mergeCell ref="C44:G4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B113"/>
  <sheetViews>
    <sheetView tabSelected="1" zoomScale="71" zoomScaleNormal="71" zoomScalePageLayoutView="0" workbookViewId="0" topLeftCell="A27">
      <selection activeCell="I21" sqref="I21"/>
    </sheetView>
  </sheetViews>
  <sheetFormatPr defaultColWidth="9.00390625" defaultRowHeight="15"/>
  <cols>
    <col min="1" max="1" width="9.00390625" style="0" customWidth="1"/>
    <col min="2" max="2" width="28.57421875" style="0" customWidth="1"/>
    <col min="3" max="3" width="34.140625" style="0" customWidth="1"/>
    <col min="4" max="4" width="18.28125" style="0" customWidth="1"/>
    <col min="5" max="5" width="27.8515625" style="0" customWidth="1"/>
    <col min="6" max="6" width="18.421875" style="0" customWidth="1"/>
    <col min="7" max="7" width="22.28125" style="0" customWidth="1"/>
    <col min="8" max="8" width="19.421875" style="0" customWidth="1"/>
    <col min="9" max="10" width="16.00390625" style="0" customWidth="1"/>
    <col min="11" max="11" width="16.421875" style="0" customWidth="1"/>
    <col min="12" max="12" width="17.7109375" style="0" customWidth="1"/>
    <col min="13" max="14" width="17.00390625" style="0" bestFit="1" customWidth="1"/>
  </cols>
  <sheetData>
    <row r="2" ht="15.75" thickBot="1"/>
    <row r="3" spans="3:6" ht="16.5" customHeight="1" thickBot="1" thickTop="1">
      <c r="C3" s="60" t="s">
        <v>90</v>
      </c>
      <c r="D3" s="93">
        <v>0.02</v>
      </c>
      <c r="E3" s="193" t="s">
        <v>92</v>
      </c>
      <c r="F3" s="195"/>
    </row>
    <row r="4" spans="3:6" ht="16.5" thickBot="1" thickTop="1">
      <c r="C4" s="60" t="s">
        <v>91</v>
      </c>
      <c r="D4" s="93">
        <v>0.015</v>
      </c>
      <c r="E4" s="193"/>
      <c r="F4" s="195"/>
    </row>
    <row r="5" spans="3:6" ht="16.5" thickBot="1" thickTop="1">
      <c r="C5" s="60" t="s">
        <v>169</v>
      </c>
      <c r="D5" s="93">
        <v>0.01</v>
      </c>
      <c r="E5" s="193"/>
      <c r="F5" s="195"/>
    </row>
    <row r="6" spans="3:6" ht="16.5" thickBot="1" thickTop="1">
      <c r="C6" s="60" t="s">
        <v>125</v>
      </c>
      <c r="D6" s="93">
        <v>0.1</v>
      </c>
      <c r="E6" s="258" t="s">
        <v>134</v>
      </c>
      <c r="F6" s="259"/>
    </row>
    <row r="7" spans="3:6" ht="16.5" thickBot="1" thickTop="1">
      <c r="C7" s="60" t="s">
        <v>23</v>
      </c>
      <c r="D7" s="93">
        <v>0.25</v>
      </c>
      <c r="E7" s="92"/>
      <c r="F7" s="92"/>
    </row>
    <row r="8" ht="15.75" thickTop="1"/>
    <row r="12" ht="15.75" thickBot="1"/>
    <row r="13" spans="3:14" s="100" customFormat="1" ht="16.5" customHeight="1" thickBot="1" thickTop="1">
      <c r="C13" s="244" t="s">
        <v>172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/>
    </row>
    <row r="14" ht="16.5" thickBot="1" thickTop="1">
      <c r="B14" s="1"/>
    </row>
    <row r="15" spans="3:14" ht="16.5" thickBot="1" thickTop="1">
      <c r="C15" s="6" t="s">
        <v>89</v>
      </c>
      <c r="D15" s="10">
        <v>0</v>
      </c>
      <c r="E15" s="10">
        <v>1</v>
      </c>
      <c r="F15" s="10">
        <v>2</v>
      </c>
      <c r="G15" s="10">
        <v>3</v>
      </c>
      <c r="H15" s="10">
        <v>4</v>
      </c>
      <c r="I15" s="10">
        <v>5</v>
      </c>
      <c r="J15" s="10">
        <v>6</v>
      </c>
      <c r="K15" s="10">
        <v>7</v>
      </c>
      <c r="L15" s="10">
        <v>8</v>
      </c>
      <c r="M15" s="10">
        <v>9</v>
      </c>
      <c r="N15" s="10">
        <v>10</v>
      </c>
    </row>
    <row r="16" spans="3:14" ht="16.5" thickBot="1" thickTop="1">
      <c r="C16" s="7" t="s">
        <v>31</v>
      </c>
      <c r="D16" s="41"/>
      <c r="E16" s="43">
        <f>'Ingresos y Egresos'!S34</f>
        <v>144604.98919775998</v>
      </c>
      <c r="F16" s="43">
        <f>E16</f>
        <v>144604.98919775998</v>
      </c>
      <c r="G16" s="43">
        <f aca="true" t="shared" si="0" ref="G16:N16">F16*(1+$D$3)</f>
        <v>147497.08898171518</v>
      </c>
      <c r="H16" s="43">
        <f>G16*(1+$D$3)</f>
        <v>150447.03076134948</v>
      </c>
      <c r="I16" s="43">
        <f t="shared" si="0"/>
        <v>153455.97137657646</v>
      </c>
      <c r="J16" s="43">
        <f t="shared" si="0"/>
        <v>156525.09080410798</v>
      </c>
      <c r="K16" s="43">
        <f t="shared" si="0"/>
        <v>159655.59262019015</v>
      </c>
      <c r="L16" s="43">
        <f t="shared" si="0"/>
        <v>162848.70447259396</v>
      </c>
      <c r="M16" s="43">
        <f t="shared" si="0"/>
        <v>166105.67856204585</v>
      </c>
      <c r="N16" s="43">
        <f t="shared" si="0"/>
        <v>169427.79213328677</v>
      </c>
    </row>
    <row r="17" spans="3:16" ht="16.5" thickBot="1" thickTop="1">
      <c r="C17" s="7" t="s">
        <v>15</v>
      </c>
      <c r="D17" s="41"/>
      <c r="E17" s="43">
        <f>'Ingresos y Egresos'!S46</f>
        <v>67123.84</v>
      </c>
      <c r="F17" s="43">
        <f>E17</f>
        <v>67123.84</v>
      </c>
      <c r="G17" s="43">
        <f aca="true" t="shared" si="1" ref="G17:N17">F17*(1+$D$4)</f>
        <v>68130.69759999998</v>
      </c>
      <c r="H17" s="43">
        <f t="shared" si="1"/>
        <v>69152.65806399997</v>
      </c>
      <c r="I17" s="43">
        <f t="shared" si="1"/>
        <v>70189.94793495997</v>
      </c>
      <c r="J17" s="43">
        <f t="shared" si="1"/>
        <v>71242.79715398437</v>
      </c>
      <c r="K17" s="43">
        <f t="shared" si="1"/>
        <v>72311.43911129412</v>
      </c>
      <c r="L17" s="43">
        <f t="shared" si="1"/>
        <v>73396.11069796352</v>
      </c>
      <c r="M17" s="43">
        <f t="shared" si="1"/>
        <v>74497.05235843296</v>
      </c>
      <c r="N17" s="43">
        <f t="shared" si="1"/>
        <v>75614.50814380945</v>
      </c>
      <c r="O17" s="2"/>
      <c r="P17" s="2"/>
    </row>
    <row r="18" spans="3:14" ht="16.5" thickBot="1" thickTop="1">
      <c r="C18" s="7"/>
      <c r="D18" s="43"/>
      <c r="E18" s="43"/>
      <c r="F18" s="43"/>
      <c r="G18" s="43"/>
      <c r="H18" s="43"/>
      <c r="I18" s="43"/>
      <c r="J18" s="43"/>
      <c r="K18" s="43"/>
      <c r="L18" s="43"/>
      <c r="M18" s="41"/>
      <c r="N18" s="41"/>
    </row>
    <row r="19" spans="3:14" ht="16.5" thickBot="1" thickTop="1">
      <c r="C19" s="9" t="s">
        <v>18</v>
      </c>
      <c r="D19" s="43"/>
      <c r="E19" s="43"/>
      <c r="F19" s="43"/>
      <c r="G19" s="43"/>
      <c r="H19" s="43"/>
      <c r="I19" s="43"/>
      <c r="J19" s="43"/>
      <c r="K19" s="43"/>
      <c r="L19" s="43"/>
      <c r="M19" s="41"/>
      <c r="N19" s="41"/>
    </row>
    <row r="20" spans="3:14" ht="16.5" thickBot="1" thickTop="1">
      <c r="C20" s="67" t="s">
        <v>133</v>
      </c>
      <c r="D20" s="43"/>
      <c r="E20" s="43"/>
      <c r="F20" s="43"/>
      <c r="G20" s="43"/>
      <c r="H20" s="43"/>
      <c r="I20" s="43"/>
      <c r="J20" s="43"/>
      <c r="K20" s="43"/>
      <c r="L20" s="43"/>
      <c r="M20" s="41"/>
      <c r="N20" s="41"/>
    </row>
    <row r="21" spans="2:14" ht="16.5" thickBot="1" thickTop="1">
      <c r="B21" s="15"/>
      <c r="C21" s="7" t="s">
        <v>29</v>
      </c>
      <c r="D21" s="43"/>
      <c r="E21" s="43">
        <f>-'Ingresos y Egresos'!G70</f>
        <v>-61320</v>
      </c>
      <c r="F21" s="43">
        <f>E21</f>
        <v>-61320</v>
      </c>
      <c r="G21" s="43">
        <f aca="true" t="shared" si="2" ref="G21:N21">F21</f>
        <v>-61320</v>
      </c>
      <c r="H21" s="43">
        <f t="shared" si="2"/>
        <v>-61320</v>
      </c>
      <c r="I21" s="43">
        <f t="shared" si="2"/>
        <v>-61320</v>
      </c>
      <c r="J21" s="43">
        <f t="shared" si="2"/>
        <v>-61320</v>
      </c>
      <c r="K21" s="43">
        <f t="shared" si="2"/>
        <v>-61320</v>
      </c>
      <c r="L21" s="43">
        <f t="shared" si="2"/>
        <v>-61320</v>
      </c>
      <c r="M21" s="43">
        <f t="shared" si="2"/>
        <v>-61320</v>
      </c>
      <c r="N21" s="43">
        <f t="shared" si="2"/>
        <v>-61320</v>
      </c>
    </row>
    <row r="22" spans="2:14" ht="16.5" thickBot="1" thickTop="1">
      <c r="B22" s="15"/>
      <c r="C22" s="7" t="s">
        <v>132</v>
      </c>
      <c r="D22" s="43"/>
      <c r="E22" s="43">
        <f>-'Ingresos y Egresos'!N61</f>
        <v>-5648.28</v>
      </c>
      <c r="F22" s="43">
        <f>E22</f>
        <v>-5648.28</v>
      </c>
      <c r="G22" s="43">
        <f aca="true" t="shared" si="3" ref="G22:N22">F22</f>
        <v>-5648.28</v>
      </c>
      <c r="H22" s="43">
        <f t="shared" si="3"/>
        <v>-5648.28</v>
      </c>
      <c r="I22" s="43">
        <f t="shared" si="3"/>
        <v>-5648.28</v>
      </c>
      <c r="J22" s="43">
        <f t="shared" si="3"/>
        <v>-5648.28</v>
      </c>
      <c r="K22" s="43">
        <f t="shared" si="3"/>
        <v>-5648.28</v>
      </c>
      <c r="L22" s="43">
        <f t="shared" si="3"/>
        <v>-5648.28</v>
      </c>
      <c r="M22" s="43">
        <f t="shared" si="3"/>
        <v>-5648.28</v>
      </c>
      <c r="N22" s="43">
        <f t="shared" si="3"/>
        <v>-5648.28</v>
      </c>
    </row>
    <row r="23" spans="2:14" ht="16.5" thickBot="1" thickTop="1">
      <c r="B23" s="15"/>
      <c r="C23" s="67" t="s">
        <v>135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2:14" ht="16.5" thickBot="1" thickTop="1">
      <c r="B24" s="15"/>
      <c r="C24" s="90" t="s">
        <v>166</v>
      </c>
      <c r="D24" s="43"/>
      <c r="E24" s="43">
        <f>-'Ingresos y Egresos'!G43</f>
        <v>-12172.8</v>
      </c>
      <c r="F24" s="43">
        <f>E24</f>
        <v>-12172.8</v>
      </c>
      <c r="G24" s="43">
        <f>F24</f>
        <v>-12172.8</v>
      </c>
      <c r="H24" s="43">
        <f aca="true" t="shared" si="4" ref="H24:N25">G24*(1+$D$5)</f>
        <v>-12294.528</v>
      </c>
      <c r="I24" s="43">
        <f t="shared" si="4"/>
        <v>-12417.47328</v>
      </c>
      <c r="J24" s="43">
        <f t="shared" si="4"/>
        <v>-12541.6480128</v>
      </c>
      <c r="K24" s="43">
        <f t="shared" si="4"/>
        <v>-12667.064492928</v>
      </c>
      <c r="L24" s="43">
        <f t="shared" si="4"/>
        <v>-12793.73513785728</v>
      </c>
      <c r="M24" s="43">
        <f t="shared" si="4"/>
        <v>-12921.672489235852</v>
      </c>
      <c r="N24" s="43">
        <f t="shared" si="4"/>
        <v>-13050.88921412821</v>
      </c>
    </row>
    <row r="25" spans="2:14" ht="16.5" thickBot="1" thickTop="1">
      <c r="B25" s="15"/>
      <c r="C25" s="90" t="s">
        <v>167</v>
      </c>
      <c r="D25" s="43"/>
      <c r="E25" s="43">
        <f>-'Ingresos y Egresos'!H53</f>
        <v>-10440</v>
      </c>
      <c r="F25" s="43">
        <f>E25</f>
        <v>-10440</v>
      </c>
      <c r="G25" s="43">
        <f>F25</f>
        <v>-10440</v>
      </c>
      <c r="H25" s="43">
        <f t="shared" si="4"/>
        <v>-10544.4</v>
      </c>
      <c r="I25" s="43">
        <f t="shared" si="4"/>
        <v>-10649.844</v>
      </c>
      <c r="J25" s="43">
        <f t="shared" si="4"/>
        <v>-10756.342439999999</v>
      </c>
      <c r="K25" s="43">
        <f t="shared" si="4"/>
        <v>-10863.905864399998</v>
      </c>
      <c r="L25" s="43">
        <f t="shared" si="4"/>
        <v>-10972.544923043997</v>
      </c>
      <c r="M25" s="43">
        <f t="shared" si="4"/>
        <v>-11082.270372274437</v>
      </c>
      <c r="N25" s="43">
        <f t="shared" si="4"/>
        <v>-11193.093075997182</v>
      </c>
    </row>
    <row r="26" spans="3:14" ht="16.5" thickBot="1" thickTop="1">
      <c r="C26" s="91" t="s">
        <v>168</v>
      </c>
      <c r="D26" s="43"/>
      <c r="E26" s="43">
        <v>-3000</v>
      </c>
      <c r="F26" s="43">
        <f>E26</f>
        <v>-3000</v>
      </c>
      <c r="G26" s="43">
        <f>F26*(1+$D$3)</f>
        <v>-3060</v>
      </c>
      <c r="H26" s="43">
        <f aca="true" t="shared" si="5" ref="H26:N26">G26*(1+$D$3)</f>
        <v>-3121.2000000000003</v>
      </c>
      <c r="I26" s="43">
        <f t="shared" si="5"/>
        <v>-3183.6240000000003</v>
      </c>
      <c r="J26" s="43">
        <f t="shared" si="5"/>
        <v>-3247.2964800000004</v>
      </c>
      <c r="K26" s="43">
        <f t="shared" si="5"/>
        <v>-3312.2424096000004</v>
      </c>
      <c r="L26" s="43">
        <f t="shared" si="5"/>
        <v>-3378.4872577920005</v>
      </c>
      <c r="M26" s="43">
        <f t="shared" si="5"/>
        <v>-3446.0570029478404</v>
      </c>
      <c r="N26" s="43">
        <f t="shared" si="5"/>
        <v>-3514.9781430067974</v>
      </c>
    </row>
    <row r="27" spans="3:14" ht="16.5" thickBot="1" thickTop="1">
      <c r="C27" s="7" t="s">
        <v>51</v>
      </c>
      <c r="D27" s="43"/>
      <c r="E27" s="43">
        <f>-'Ingresos y Egresos'!M53</f>
        <v>-4500</v>
      </c>
      <c r="F27" s="43">
        <f>E27</f>
        <v>-4500</v>
      </c>
      <c r="G27" s="43">
        <f>E27*(1+D6)</f>
        <v>-4950</v>
      </c>
      <c r="H27" s="43">
        <f>E27</f>
        <v>-4500</v>
      </c>
      <c r="I27" s="43">
        <f>E27</f>
        <v>-4500</v>
      </c>
      <c r="J27" s="43">
        <f>E27*(1+D6)</f>
        <v>-4950</v>
      </c>
      <c r="K27" s="43">
        <f>E27</f>
        <v>-4500</v>
      </c>
      <c r="L27" s="43">
        <f>E27</f>
        <v>-4500</v>
      </c>
      <c r="M27" s="43">
        <f>E27*(1+D6)</f>
        <v>-4950</v>
      </c>
      <c r="N27" s="43">
        <f>E27</f>
        <v>-4500</v>
      </c>
    </row>
    <row r="28" spans="3:14" ht="16.5" thickBot="1" thickTop="1">
      <c r="C28" s="7" t="s">
        <v>182</v>
      </c>
      <c r="D28" s="43"/>
      <c r="E28" s="43">
        <f>'Ingresos y Egresos'!P71</f>
        <v>9120</v>
      </c>
      <c r="F28" s="43">
        <f>$E$28</f>
        <v>9120</v>
      </c>
      <c r="G28" s="43">
        <f aca="true" t="shared" si="6" ref="G28:N28">$E$28</f>
        <v>9120</v>
      </c>
      <c r="H28" s="43">
        <f t="shared" si="6"/>
        <v>9120</v>
      </c>
      <c r="I28" s="43">
        <f t="shared" si="6"/>
        <v>9120</v>
      </c>
      <c r="J28" s="43">
        <f t="shared" si="6"/>
        <v>9120</v>
      </c>
      <c r="K28" s="43">
        <f t="shared" si="6"/>
        <v>9120</v>
      </c>
      <c r="L28" s="43">
        <f t="shared" si="6"/>
        <v>9120</v>
      </c>
      <c r="M28" s="43">
        <f t="shared" si="6"/>
        <v>9120</v>
      </c>
      <c r="N28" s="43">
        <f t="shared" si="6"/>
        <v>9120</v>
      </c>
    </row>
    <row r="29" spans="3:14" ht="16.5" thickBot="1" thickTop="1">
      <c r="C29" s="7" t="s">
        <v>19</v>
      </c>
      <c r="D29" s="43"/>
      <c r="E29" s="43">
        <f>-Inversiones!K28</f>
        <v>-20131</v>
      </c>
      <c r="F29" s="43">
        <f>-Inversiones!L28</f>
        <v>-20061</v>
      </c>
      <c r="G29" s="43">
        <f>-Inversiones!M28</f>
        <v>-19361</v>
      </c>
      <c r="H29" s="43">
        <f>-Inversiones!N28</f>
        <v>-18934.333333333336</v>
      </c>
      <c r="I29" s="43">
        <f>-Inversiones!O28</f>
        <v>-18454.333333333336</v>
      </c>
      <c r="J29" s="43">
        <f>-Inversiones!P28</f>
        <v>-14422.333333333334</v>
      </c>
      <c r="K29" s="43">
        <f>-Inversiones!Q28</f>
        <v>-14422.333333333334</v>
      </c>
      <c r="L29" s="43">
        <f>-Inversiones!R28</f>
        <v>-14422.333333333334</v>
      </c>
      <c r="M29" s="43">
        <f>-Inversiones!S28</f>
        <v>-14422.333333333334</v>
      </c>
      <c r="N29" s="43">
        <f>-Inversiones!T28</f>
        <v>-14422.333333333334</v>
      </c>
    </row>
    <row r="30" spans="3:14" ht="16.5" thickBot="1" thickTop="1">
      <c r="C30" s="7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3:14" s="88" customFormat="1" ht="16.5" thickBot="1" thickTop="1">
      <c r="C31" s="9" t="s">
        <v>20</v>
      </c>
      <c r="D31" s="96"/>
      <c r="E31" s="96">
        <f aca="true" t="shared" si="7" ref="E31:N31">SUM(E16:E29)</f>
        <v>103636.74919775999</v>
      </c>
      <c r="F31" s="96">
        <f t="shared" si="7"/>
        <v>103706.74919775999</v>
      </c>
      <c r="G31" s="96">
        <f t="shared" si="7"/>
        <v>107795.70658171517</v>
      </c>
      <c r="H31" s="96">
        <f t="shared" si="7"/>
        <v>112356.9474920161</v>
      </c>
      <c r="I31" s="96">
        <f t="shared" si="7"/>
        <v>116592.36469820308</v>
      </c>
      <c r="J31" s="96">
        <f t="shared" si="7"/>
        <v>124001.98769195903</v>
      </c>
      <c r="K31" s="96">
        <f t="shared" si="7"/>
        <v>128353.20563122294</v>
      </c>
      <c r="L31" s="96">
        <f t="shared" si="7"/>
        <v>132329.43451853085</v>
      </c>
      <c r="M31" s="96">
        <f t="shared" si="7"/>
        <v>135932.11772268734</v>
      </c>
      <c r="N31" s="96">
        <f t="shared" si="7"/>
        <v>140512.72651063072</v>
      </c>
    </row>
    <row r="32" spans="3:14" ht="16.5" thickBot="1" thickTop="1">
      <c r="C32" s="7" t="s">
        <v>21</v>
      </c>
      <c r="D32" s="43"/>
      <c r="E32" s="43">
        <f>'Balance Inicial'!F36</f>
        <v>17273.047000000002</v>
      </c>
      <c r="F32" s="43">
        <f>'Balance Inicial'!F37</f>
        <v>16143.167833259557</v>
      </c>
      <c r="G32" s="43">
        <f>'Balance Inicial'!F38</f>
        <v>14910.13069859571</v>
      </c>
      <c r="H32" s="43">
        <f>'Balance Inicial'!F39</f>
        <v>13564.517273537058</v>
      </c>
      <c r="I32" s="43">
        <f>'Balance Inicial'!F40</f>
        <v>12096.049342770548</v>
      </c>
      <c r="J32" s="43">
        <f>'Balance Inicial'!F41</f>
        <v>10493.510289925054</v>
      </c>
      <c r="K32" s="43">
        <f>'Balance Inicial'!F42</f>
        <v>8744.659421554768</v>
      </c>
      <c r="L32" s="43">
        <f>'Balance Inicial'!F43</f>
        <v>6836.138468902274</v>
      </c>
      <c r="M32" s="41">
        <f>'Balance Inicial'!F44</f>
        <v>4753.369553272608</v>
      </c>
      <c r="N32" s="41">
        <f>'Balance Inicial'!F45</f>
        <v>2480.4438356459536</v>
      </c>
    </row>
    <row r="33" spans="3:14" s="88" customFormat="1" ht="16.5" thickBot="1" thickTop="1">
      <c r="C33" s="9" t="s">
        <v>22</v>
      </c>
      <c r="D33" s="96"/>
      <c r="E33" s="96">
        <f>E31-E32</f>
        <v>86363.70219775998</v>
      </c>
      <c r="F33" s="96">
        <f aca="true" t="shared" si="8" ref="F33:N33">F31-F32</f>
        <v>87563.58136450042</v>
      </c>
      <c r="G33" s="96">
        <f t="shared" si="8"/>
        <v>92885.57588311947</v>
      </c>
      <c r="H33" s="96">
        <f t="shared" si="8"/>
        <v>98792.43021847904</v>
      </c>
      <c r="I33" s="96">
        <f t="shared" si="8"/>
        <v>104496.31535543253</v>
      </c>
      <c r="J33" s="96">
        <f t="shared" si="8"/>
        <v>113508.47740203398</v>
      </c>
      <c r="K33" s="96">
        <f t="shared" si="8"/>
        <v>119608.54620966817</v>
      </c>
      <c r="L33" s="96">
        <f t="shared" si="8"/>
        <v>125493.29604962858</v>
      </c>
      <c r="M33" s="96">
        <f t="shared" si="8"/>
        <v>131178.74816941473</v>
      </c>
      <c r="N33" s="96">
        <f t="shared" si="8"/>
        <v>138032.28267498477</v>
      </c>
    </row>
    <row r="34" spans="3:14" ht="16.5" thickBot="1" thickTop="1">
      <c r="C34" s="7" t="s">
        <v>23</v>
      </c>
      <c r="D34" s="43"/>
      <c r="E34" s="43">
        <f aca="true" t="shared" si="9" ref="E34:N34">E33*$D$7</f>
        <v>21590.925549439995</v>
      </c>
      <c r="F34" s="43">
        <f t="shared" si="9"/>
        <v>21890.895341125106</v>
      </c>
      <c r="G34" s="43">
        <f t="shared" si="9"/>
        <v>23221.393970779867</v>
      </c>
      <c r="H34" s="43">
        <f t="shared" si="9"/>
        <v>24698.10755461976</v>
      </c>
      <c r="I34" s="43">
        <f t="shared" si="9"/>
        <v>26124.07883885813</v>
      </c>
      <c r="J34" s="43">
        <f t="shared" si="9"/>
        <v>28377.119350508496</v>
      </c>
      <c r="K34" s="43">
        <f t="shared" si="9"/>
        <v>29902.136552417043</v>
      </c>
      <c r="L34" s="43">
        <f t="shared" si="9"/>
        <v>31373.324012407145</v>
      </c>
      <c r="M34" s="43">
        <f t="shared" si="9"/>
        <v>32794.68704235368</v>
      </c>
      <c r="N34" s="43">
        <f t="shared" si="9"/>
        <v>34508.07066874619</v>
      </c>
    </row>
    <row r="35" spans="3:14" ht="16.5" thickBot="1" thickTop="1">
      <c r="C35" s="7"/>
      <c r="D35" s="43"/>
      <c r="E35" s="41"/>
      <c r="F35" s="43"/>
      <c r="G35" s="43"/>
      <c r="H35" s="43"/>
      <c r="I35" s="43"/>
      <c r="J35" s="43"/>
      <c r="K35" s="43"/>
      <c r="L35" s="43"/>
      <c r="M35" s="41"/>
      <c r="N35" s="41"/>
    </row>
    <row r="36" spans="3:14" s="88" customFormat="1" ht="16.5" thickBot="1" thickTop="1">
      <c r="C36" s="9" t="s">
        <v>24</v>
      </c>
      <c r="D36" s="96"/>
      <c r="E36" s="96">
        <f>E33-E34</f>
        <v>64772.77664831998</v>
      </c>
      <c r="F36" s="96">
        <f aca="true" t="shared" si="10" ref="F36:N36">F33-F34</f>
        <v>65672.68602337531</v>
      </c>
      <c r="G36" s="96">
        <f t="shared" si="10"/>
        <v>69664.1819123396</v>
      </c>
      <c r="H36" s="96">
        <f t="shared" si="10"/>
        <v>74094.32266385929</v>
      </c>
      <c r="I36" s="96">
        <f t="shared" si="10"/>
        <v>78372.2365165744</v>
      </c>
      <c r="J36" s="96">
        <f t="shared" si="10"/>
        <v>85131.35805152549</v>
      </c>
      <c r="K36" s="96">
        <f t="shared" si="10"/>
        <v>89706.40965725113</v>
      </c>
      <c r="L36" s="96">
        <f t="shared" si="10"/>
        <v>94119.97203722144</v>
      </c>
      <c r="M36" s="96">
        <f t="shared" si="10"/>
        <v>98384.06112706105</v>
      </c>
      <c r="N36" s="96">
        <f t="shared" si="10"/>
        <v>103524.21200623858</v>
      </c>
    </row>
    <row r="37" spans="3:14" ht="16.5" thickBot="1" thickTop="1">
      <c r="C37" s="7"/>
      <c r="D37" s="43"/>
      <c r="E37" s="43"/>
      <c r="F37" s="43"/>
      <c r="G37" s="43"/>
      <c r="H37" s="43"/>
      <c r="I37" s="43"/>
      <c r="J37" s="43"/>
      <c r="K37" s="43"/>
      <c r="L37" s="43"/>
      <c r="M37" s="41"/>
      <c r="N37" s="41"/>
    </row>
    <row r="38" spans="3:14" ht="16.5" thickBot="1" thickTop="1">
      <c r="C38" s="7" t="s">
        <v>25</v>
      </c>
      <c r="D38" s="43"/>
      <c r="E38" s="43">
        <f>-E29</f>
        <v>20131</v>
      </c>
      <c r="F38" s="43">
        <f aca="true" t="shared" si="11" ref="F38:N38">-F29</f>
        <v>20061</v>
      </c>
      <c r="G38" s="43">
        <f t="shared" si="11"/>
        <v>19361</v>
      </c>
      <c r="H38" s="43">
        <f t="shared" si="11"/>
        <v>18934.333333333336</v>
      </c>
      <c r="I38" s="43">
        <f t="shared" si="11"/>
        <v>18454.333333333336</v>
      </c>
      <c r="J38" s="43">
        <f t="shared" si="11"/>
        <v>14422.333333333334</v>
      </c>
      <c r="K38" s="43">
        <f t="shared" si="11"/>
        <v>14422.333333333334</v>
      </c>
      <c r="L38" s="43">
        <f t="shared" si="11"/>
        <v>14422.333333333334</v>
      </c>
      <c r="M38" s="43">
        <f t="shared" si="11"/>
        <v>14422.333333333334</v>
      </c>
      <c r="N38" s="43">
        <f t="shared" si="11"/>
        <v>14422.333333333334</v>
      </c>
    </row>
    <row r="39" spans="3:14" ht="16.5" thickBot="1" thickTop="1">
      <c r="C39" s="7"/>
      <c r="D39" s="43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3:14" ht="16.5" thickBot="1" thickTop="1">
      <c r="C40" s="9" t="s">
        <v>199</v>
      </c>
      <c r="D40" s="96">
        <f>-SUM(D41:D44)</f>
        <v>-461475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3:14" ht="16.5" thickBot="1" thickTop="1">
      <c r="C41" s="7" t="s">
        <v>114</v>
      </c>
      <c r="D41" s="43">
        <f>+Inversiones!F25+Inversiones!F30+Inversiones!F34</f>
        <v>1955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3:14" ht="16.5" thickBot="1" thickTop="1">
      <c r="C42" s="7" t="s">
        <v>70</v>
      </c>
      <c r="D42" s="43">
        <f>Inversiones!F21</f>
        <v>234750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3:14" ht="16.5" thickBot="1" thickTop="1">
      <c r="C43" s="7" t="s">
        <v>62</v>
      </c>
      <c r="D43" s="43">
        <f>Inversiones!G38</f>
        <v>20340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3:14" ht="16.5" thickBot="1" thickTop="1">
      <c r="C44" s="7" t="s">
        <v>72</v>
      </c>
      <c r="D44" s="43">
        <f>SUM(Inversiones!G39:G44)</f>
        <v>204430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3:14" ht="16.5" thickBot="1" thickTop="1">
      <c r="C45" s="67" t="s">
        <v>192</v>
      </c>
      <c r="D45" s="43"/>
      <c r="E45" s="97">
        <f>-Inversiones!M49</f>
        <v>0</v>
      </c>
      <c r="F45" s="97">
        <f>-Inversiones!N49</f>
        <v>-1400</v>
      </c>
      <c r="G45" s="97">
        <f>-Inversiones!O49</f>
        <v>-40</v>
      </c>
      <c r="H45" s="97">
        <f>-Inversiones!P49</f>
        <v>-1400</v>
      </c>
      <c r="I45" s="97">
        <f>-Inversiones!Q49</f>
        <v>-22560</v>
      </c>
      <c r="J45" s="97">
        <f>-Inversiones!R49</f>
        <v>-1440</v>
      </c>
      <c r="K45" s="97">
        <f>-Inversiones!S49</f>
        <v>0</v>
      </c>
      <c r="L45" s="97">
        <f>-Inversiones!T49</f>
        <v>-1400</v>
      </c>
      <c r="M45" s="97">
        <f>-Inversiones!U49</f>
        <v>-40</v>
      </c>
      <c r="N45" s="97">
        <f>-Inversiones!V49</f>
        <v>-34060</v>
      </c>
    </row>
    <row r="46" spans="3:14" ht="16.5" thickBot="1" thickTop="1">
      <c r="C46" s="7" t="s">
        <v>26</v>
      </c>
      <c r="D46" s="43">
        <v>-15000</v>
      </c>
      <c r="E46" s="97"/>
      <c r="F46" s="97"/>
      <c r="G46" s="97"/>
      <c r="H46" s="97"/>
      <c r="I46" s="97"/>
      <c r="J46" s="97"/>
      <c r="K46" s="97"/>
      <c r="L46" s="97"/>
      <c r="M46" s="97"/>
      <c r="N46" s="97">
        <v>15000</v>
      </c>
    </row>
    <row r="47" spans="3:14" ht="16.5" thickBot="1" thickTop="1">
      <c r="C47" s="7"/>
      <c r="D47" s="43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8" spans="3:14" ht="16.5" thickBot="1" thickTop="1">
      <c r="C48" s="7" t="s">
        <v>27</v>
      </c>
      <c r="D48" s="43">
        <f>'Balance Inicial'!D35</f>
        <v>189190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3:14" ht="16.5" thickBot="1" thickTop="1">
      <c r="C49" s="7" t="s">
        <v>28</v>
      </c>
      <c r="D49" s="43"/>
      <c r="E49" s="43">
        <f>-'Balance Inicial'!G36</f>
        <v>-12375.456371746368</v>
      </c>
      <c r="F49" s="43">
        <f>-'Balance Inicial'!G37</f>
        <v>-13505.335538486814</v>
      </c>
      <c r="G49" s="43">
        <f>-'Balance Inicial'!G38</f>
        <v>-14738.37267315066</v>
      </c>
      <c r="H49" s="43">
        <f>-'Balance Inicial'!G39</f>
        <v>-16083.986098209312</v>
      </c>
      <c r="I49" s="43">
        <f>-'Balance Inicial'!G40</f>
        <v>-17552.454028975822</v>
      </c>
      <c r="J49" s="43">
        <f>-'Balance Inicial'!G41</f>
        <v>-19154.993081821318</v>
      </c>
      <c r="K49" s="43">
        <f>-'Balance Inicial'!G42</f>
        <v>-20903.8439501916</v>
      </c>
      <c r="L49" s="43">
        <f>-'Balance Inicial'!G43</f>
        <v>-22812.364902844096</v>
      </c>
      <c r="M49" s="43">
        <f>-'Balance Inicial'!G44</f>
        <v>-24895.13381847376</v>
      </c>
      <c r="N49" s="43">
        <f>-'Balance Inicial'!G45</f>
        <v>-27168.059536100416</v>
      </c>
    </row>
    <row r="50" spans="3:54" ht="16.5" thickBot="1" thickTop="1">
      <c r="C50" s="7" t="s">
        <v>289</v>
      </c>
      <c r="D50" s="43"/>
      <c r="E50" s="43"/>
      <c r="F50" s="43"/>
      <c r="G50" s="43"/>
      <c r="H50" s="43"/>
      <c r="I50" s="43"/>
      <c r="J50" s="43"/>
      <c r="K50" s="43"/>
      <c r="L50" s="43"/>
      <c r="M50" s="41"/>
      <c r="N50" s="98">
        <f>Inversiones!H48</f>
        <v>130399.33333333334</v>
      </c>
      <c r="AY50" s="67" t="s">
        <v>84</v>
      </c>
      <c r="AZ50" s="257" t="s">
        <v>79</v>
      </c>
      <c r="BA50" s="257"/>
      <c r="BB50" s="99">
        <f>BB56</f>
        <v>0.10856000000000002</v>
      </c>
    </row>
    <row r="51" spans="3:54" s="88" customFormat="1" ht="16.5" thickBot="1" thickTop="1">
      <c r="C51" s="9" t="s">
        <v>93</v>
      </c>
      <c r="D51" s="96">
        <f>D40+D48</f>
        <v>-272285</v>
      </c>
      <c r="E51" s="96">
        <f>SUM(E36:E49)</f>
        <v>72528.32027657362</v>
      </c>
      <c r="F51" s="96">
        <f aca="true" t="shared" si="12" ref="F51:M51">SUM(F36:F49)</f>
        <v>70828.35048488849</v>
      </c>
      <c r="G51" s="96">
        <f t="shared" si="12"/>
        <v>74246.80923918894</v>
      </c>
      <c r="H51" s="96">
        <f t="shared" si="12"/>
        <v>75544.66989898332</v>
      </c>
      <c r="I51" s="96">
        <f t="shared" si="12"/>
        <v>56714.11582093192</v>
      </c>
      <c r="J51" s="96">
        <f t="shared" si="12"/>
        <v>78958.6983030375</v>
      </c>
      <c r="K51" s="96">
        <f t="shared" si="12"/>
        <v>83224.89904039286</v>
      </c>
      <c r="L51" s="96">
        <f t="shared" si="12"/>
        <v>84329.94046771066</v>
      </c>
      <c r="M51" s="96">
        <f t="shared" si="12"/>
        <v>87871.26064192061</v>
      </c>
      <c r="N51" s="96">
        <f>SUM(N36:N50)</f>
        <v>202117.81913680484</v>
      </c>
      <c r="O51" s="254">
        <f>SUM(D51:N51)</f>
        <v>614079.8833104328</v>
      </c>
      <c r="P51" s="209"/>
      <c r="AY51"/>
      <c r="AZ51" s="255"/>
      <c r="BA51" s="255"/>
      <c r="BB51" s="59"/>
    </row>
    <row r="52" spans="4:54" ht="16.5" thickBot="1" thickTop="1">
      <c r="D52" s="2"/>
      <c r="E52" s="2"/>
      <c r="F52" s="2"/>
      <c r="G52" s="2"/>
      <c r="H52" s="2"/>
      <c r="I52" s="2"/>
      <c r="J52" s="2"/>
      <c r="K52" s="2"/>
      <c r="L52" s="2"/>
      <c r="AZ52" s="256" t="s">
        <v>80</v>
      </c>
      <c r="BA52" s="256"/>
      <c r="BB52" s="112">
        <v>0.0913</v>
      </c>
    </row>
    <row r="53" spans="3:54" ht="16.5" thickBot="1" thickTop="1">
      <c r="C53" s="85" t="s">
        <v>77</v>
      </c>
      <c r="D53" s="182">
        <f>NPV(0.193,E51:N51,D51)</f>
        <v>300666.7535754044</v>
      </c>
      <c r="F53" s="123"/>
      <c r="G53" s="124"/>
      <c r="H53" s="2"/>
      <c r="I53" s="65"/>
      <c r="J53" s="2"/>
      <c r="K53" s="2"/>
      <c r="L53" s="2"/>
      <c r="AZ53" s="256" t="s">
        <v>81</v>
      </c>
      <c r="BA53" s="256"/>
      <c r="BB53" s="112">
        <v>0.0444</v>
      </c>
    </row>
    <row r="54" spans="3:54" ht="16.5" thickBot="1" thickTop="1">
      <c r="C54" s="67" t="s">
        <v>78</v>
      </c>
      <c r="D54" s="11">
        <f>IRR(D51:N51)</f>
        <v>0.2548042776949267</v>
      </c>
      <c r="E54" s="2"/>
      <c r="F54" s="122"/>
      <c r="G54" s="15"/>
      <c r="AZ54" s="13" t="s">
        <v>82</v>
      </c>
      <c r="BA54" s="13"/>
      <c r="BB54" s="93">
        <v>0.25</v>
      </c>
    </row>
    <row r="55" spans="4:54" ht="20.25" thickBot="1" thickTop="1">
      <c r="D55" s="2"/>
      <c r="E55" s="2"/>
      <c r="F55" s="134"/>
      <c r="H55" s="260" t="s">
        <v>173</v>
      </c>
      <c r="I55" s="260"/>
      <c r="J55" s="260"/>
      <c r="K55" s="260"/>
      <c r="L55" s="260"/>
      <c r="AZ55" s="255"/>
      <c r="BA55" s="255"/>
      <c r="BB55" s="59"/>
    </row>
    <row r="56" spans="4:54" ht="31.5" thickBot="1" thickTop="1">
      <c r="D56" s="2"/>
      <c r="E56" s="2"/>
      <c r="F56" s="2"/>
      <c r="H56" s="50" t="s">
        <v>174</v>
      </c>
      <c r="I56" s="50" t="s">
        <v>175</v>
      </c>
      <c r="J56" s="58" t="s">
        <v>176</v>
      </c>
      <c r="K56" s="58" t="s">
        <v>177</v>
      </c>
      <c r="L56" s="58" t="s">
        <v>178</v>
      </c>
      <c r="AZ56" s="14" t="s">
        <v>83</v>
      </c>
      <c r="BA56" s="14"/>
      <c r="BB56" s="99">
        <f>((BB52+BB53)*(1-0.2))</f>
        <v>0.10856000000000002</v>
      </c>
    </row>
    <row r="57" spans="4:12" ht="17.25" thickBot="1" thickTop="1">
      <c r="D57" s="2"/>
      <c r="E57" s="286" t="s">
        <v>279</v>
      </c>
      <c r="F57" s="286"/>
      <c r="H57" s="41">
        <v>0</v>
      </c>
      <c r="I57" s="7"/>
      <c r="J57" s="7"/>
      <c r="K57" s="7"/>
      <c r="L57" s="7"/>
    </row>
    <row r="58" spans="5:12" ht="20.25" thickBot="1" thickTop="1">
      <c r="E58" s="184" t="s">
        <v>280</v>
      </c>
      <c r="F58" s="185">
        <v>0.193</v>
      </c>
      <c r="H58" s="41">
        <v>1</v>
      </c>
      <c r="I58" s="102">
        <f>-D51</f>
        <v>272285</v>
      </c>
      <c r="J58" s="104">
        <f>E51</f>
        <v>72528.32027657362</v>
      </c>
      <c r="K58" s="102">
        <f>I58*0.193</f>
        <v>52551.005000000005</v>
      </c>
      <c r="L58" s="102">
        <f>J58-K58</f>
        <v>19977.315276573616</v>
      </c>
    </row>
    <row r="59" spans="5:12" ht="20.25" thickBot="1" thickTop="1">
      <c r="E59" s="184" t="s">
        <v>281</v>
      </c>
      <c r="F59" s="186" t="s">
        <v>286</v>
      </c>
      <c r="H59" s="41">
        <v>2</v>
      </c>
      <c r="I59" s="102">
        <f aca="true" t="shared" si="13" ref="I59:I67">I58-L58</f>
        <v>252307.68472342638</v>
      </c>
      <c r="J59" s="104">
        <f>F51</f>
        <v>70828.35048488849</v>
      </c>
      <c r="K59" s="102">
        <f aca="true" t="shared" si="14" ref="K59:K67">I59*$BB$50</f>
        <v>27390.52225357517</v>
      </c>
      <c r="L59" s="102">
        <f aca="true" t="shared" si="15" ref="L59:L67">J59-K59</f>
        <v>43437.828231313324</v>
      </c>
    </row>
    <row r="60" spans="5:12" ht="20.25" thickBot="1" thickTop="1">
      <c r="E60" s="184" t="s">
        <v>282</v>
      </c>
      <c r="F60" s="186" t="s">
        <v>283</v>
      </c>
      <c r="H60" s="41">
        <v>3</v>
      </c>
      <c r="I60" s="102">
        <f t="shared" si="13"/>
        <v>208869.85649211306</v>
      </c>
      <c r="J60" s="104">
        <f>G51</f>
        <v>74246.80923918894</v>
      </c>
      <c r="K60" s="102">
        <f t="shared" si="14"/>
        <v>22674.911620783798</v>
      </c>
      <c r="L60" s="102">
        <f t="shared" si="15"/>
        <v>51571.89761840514</v>
      </c>
    </row>
    <row r="61" spans="5:12" ht="20.25" thickBot="1" thickTop="1">
      <c r="E61" s="184" t="s">
        <v>284</v>
      </c>
      <c r="F61" s="186" t="s">
        <v>287</v>
      </c>
      <c r="H61" s="41">
        <v>4</v>
      </c>
      <c r="I61" s="102">
        <f t="shared" si="13"/>
        <v>157297.95887370792</v>
      </c>
      <c r="J61" s="104">
        <f>H51</f>
        <v>75544.66989898332</v>
      </c>
      <c r="K61" s="102">
        <f t="shared" si="14"/>
        <v>17076.266415329734</v>
      </c>
      <c r="L61" s="102">
        <f t="shared" si="15"/>
        <v>58468.40348365359</v>
      </c>
    </row>
    <row r="62" spans="5:12" ht="20.25" thickBot="1" thickTop="1">
      <c r="E62" s="184" t="s">
        <v>285</v>
      </c>
      <c r="F62" s="186" t="s">
        <v>288</v>
      </c>
      <c r="H62" s="41">
        <v>5</v>
      </c>
      <c r="I62" s="102">
        <f t="shared" si="13"/>
        <v>98829.55539005433</v>
      </c>
      <c r="J62" s="104">
        <f>I51</f>
        <v>56714.11582093192</v>
      </c>
      <c r="K62" s="102">
        <f t="shared" si="14"/>
        <v>10728.9365331443</v>
      </c>
      <c r="L62" s="102">
        <f t="shared" si="15"/>
        <v>45985.179287787614</v>
      </c>
    </row>
    <row r="63" spans="8:12" ht="16.5" thickBot="1" thickTop="1">
      <c r="H63" s="187">
        <v>6</v>
      </c>
      <c r="I63" s="188">
        <f t="shared" si="13"/>
        <v>52844.37610226672</v>
      </c>
      <c r="J63" s="189">
        <f>J51</f>
        <v>78958.6983030375</v>
      </c>
      <c r="K63" s="188">
        <f t="shared" si="14"/>
        <v>5736.785469662076</v>
      </c>
      <c r="L63" s="188">
        <f t="shared" si="15"/>
        <v>73221.91283337542</v>
      </c>
    </row>
    <row r="64" spans="7:14" ht="16.5" thickBot="1" thickTop="1">
      <c r="G64" s="94"/>
      <c r="H64" s="119">
        <v>7</v>
      </c>
      <c r="I64" s="120">
        <f t="shared" si="13"/>
        <v>-20377.536731108703</v>
      </c>
      <c r="J64" s="121">
        <f>K51</f>
        <v>83224.89904039286</v>
      </c>
      <c r="K64" s="120">
        <f t="shared" si="14"/>
        <v>-2212.1853875291613</v>
      </c>
      <c r="L64" s="120">
        <f t="shared" si="15"/>
        <v>85437.08442792202</v>
      </c>
      <c r="N64" s="94"/>
    </row>
    <row r="65" spans="8:12" ht="16.5" thickBot="1" thickTop="1">
      <c r="H65" s="119">
        <v>8</v>
      </c>
      <c r="I65" s="120">
        <f t="shared" si="13"/>
        <v>-105814.62115903072</v>
      </c>
      <c r="J65" s="121">
        <f>L51</f>
        <v>84329.94046771066</v>
      </c>
      <c r="K65" s="120">
        <f t="shared" si="14"/>
        <v>-11487.235273024377</v>
      </c>
      <c r="L65" s="120">
        <f t="shared" si="15"/>
        <v>95817.17574073504</v>
      </c>
    </row>
    <row r="66" spans="8:12" ht="16.5" thickBot="1" thickTop="1">
      <c r="H66" s="119">
        <v>9</v>
      </c>
      <c r="I66" s="120">
        <f t="shared" si="13"/>
        <v>-201631.79689976576</v>
      </c>
      <c r="J66" s="121">
        <f>M51</f>
        <v>87871.26064192061</v>
      </c>
      <c r="K66" s="120">
        <f t="shared" si="14"/>
        <v>-21889.147871438574</v>
      </c>
      <c r="L66" s="120">
        <f t="shared" si="15"/>
        <v>109760.40851335919</v>
      </c>
    </row>
    <row r="67" spans="8:12" ht="16.5" thickBot="1" thickTop="1">
      <c r="H67" s="41">
        <v>10</v>
      </c>
      <c r="I67" s="102">
        <f t="shared" si="13"/>
        <v>-311392.20541312493</v>
      </c>
      <c r="J67" s="104">
        <f>N51</f>
        <v>202117.81913680484</v>
      </c>
      <c r="K67" s="102">
        <f t="shared" si="14"/>
        <v>-33804.73781964885</v>
      </c>
      <c r="L67" s="102">
        <f t="shared" si="15"/>
        <v>235922.55695645369</v>
      </c>
    </row>
    <row r="68" ht="15.75" thickTop="1"/>
    <row r="106" ht="15.75" thickBot="1"/>
    <row r="107" spans="4:7" ht="16.5" thickBot="1" thickTop="1">
      <c r="D107" s="67" t="s">
        <v>84</v>
      </c>
      <c r="E107" s="257" t="s">
        <v>79</v>
      </c>
      <c r="F107" s="257"/>
      <c r="G107" s="99">
        <f>G113</f>
        <v>0.10856000000000002</v>
      </c>
    </row>
    <row r="108" spans="5:7" ht="16.5" thickBot="1" thickTop="1">
      <c r="E108" s="255"/>
      <c r="F108" s="255"/>
      <c r="G108" s="146"/>
    </row>
    <row r="109" spans="5:7" ht="16.5" thickBot="1" thickTop="1">
      <c r="E109" s="256" t="s">
        <v>80</v>
      </c>
      <c r="F109" s="256"/>
      <c r="G109" s="112">
        <v>0.0913</v>
      </c>
    </row>
    <row r="110" spans="5:7" ht="16.5" thickBot="1" thickTop="1">
      <c r="E110" s="256" t="s">
        <v>81</v>
      </c>
      <c r="F110" s="256"/>
      <c r="G110" s="112">
        <v>0.0444</v>
      </c>
    </row>
    <row r="111" spans="5:7" ht="16.5" thickBot="1" thickTop="1">
      <c r="E111" s="13" t="s">
        <v>82</v>
      </c>
      <c r="F111" s="13"/>
      <c r="G111" s="93">
        <v>0.25</v>
      </c>
    </row>
    <row r="112" spans="5:7" ht="16.5" thickBot="1" thickTop="1">
      <c r="E112" s="255"/>
      <c r="F112" s="255"/>
      <c r="G112" s="146"/>
    </row>
    <row r="113" spans="5:7" ht="16.5" thickBot="1" thickTop="1">
      <c r="E113" s="14" t="s">
        <v>83</v>
      </c>
      <c r="F113" s="14"/>
      <c r="G113" s="99">
        <f>((G109+G110)*(1-0.2))</f>
        <v>0.10856000000000002</v>
      </c>
    </row>
    <row r="114" ht="15.75" thickTop="1"/>
  </sheetData>
  <sheetProtection/>
  <mergeCells count="16">
    <mergeCell ref="E109:F109"/>
    <mergeCell ref="E110:F110"/>
    <mergeCell ref="E112:F112"/>
    <mergeCell ref="C13:N13"/>
    <mergeCell ref="E6:F6"/>
    <mergeCell ref="E3:F5"/>
    <mergeCell ref="H55:L55"/>
    <mergeCell ref="E107:F107"/>
    <mergeCell ref="E108:F108"/>
    <mergeCell ref="E57:F57"/>
    <mergeCell ref="O51:P51"/>
    <mergeCell ref="AZ51:BA51"/>
    <mergeCell ref="AZ55:BA55"/>
    <mergeCell ref="AZ52:BA52"/>
    <mergeCell ref="AZ53:BA53"/>
    <mergeCell ref="AZ50:BA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I65"/>
  <sheetViews>
    <sheetView zoomScale="80" zoomScaleNormal="80" zoomScalePageLayoutView="0" workbookViewId="0" topLeftCell="B40">
      <selection activeCell="D60" sqref="D60:F65"/>
    </sheetView>
  </sheetViews>
  <sheetFormatPr defaultColWidth="9.00390625" defaultRowHeight="15"/>
  <cols>
    <col min="1" max="1" width="9.00390625" style="0" customWidth="1"/>
    <col min="2" max="2" width="17.8515625" style="0" bestFit="1" customWidth="1"/>
    <col min="3" max="3" width="27.8515625" style="0" customWidth="1"/>
    <col min="4" max="4" width="24.7109375" style="0" customWidth="1"/>
    <col min="5" max="5" width="20.140625" style="0" customWidth="1"/>
    <col min="6" max="6" width="22.140625" style="0" customWidth="1"/>
    <col min="7" max="7" width="16.7109375" style="0" customWidth="1"/>
    <col min="8" max="8" width="14.421875" style="0" customWidth="1"/>
    <col min="9" max="9" width="19.00390625" style="0" bestFit="1" customWidth="1"/>
  </cols>
  <sheetData>
    <row r="3" ht="15.75" thickBot="1"/>
    <row r="4" spans="3:9" ht="16.5" thickBot="1" thickTop="1">
      <c r="C4" s="268" t="s">
        <v>52</v>
      </c>
      <c r="D4" s="269"/>
      <c r="E4" s="269"/>
      <c r="F4" s="269"/>
      <c r="G4" s="269"/>
      <c r="H4" s="269"/>
      <c r="I4" s="270"/>
    </row>
    <row r="5" ht="15.75" thickTop="1"/>
    <row r="6" ht="15.75" thickBot="1"/>
    <row r="7" spans="3:7" ht="16.5" thickBot="1" thickTop="1">
      <c r="C7" s="67" t="s">
        <v>53</v>
      </c>
      <c r="G7" s="67" t="s">
        <v>54</v>
      </c>
    </row>
    <row r="8" spans="3:9" ht="16.5" thickBot="1" thickTop="1">
      <c r="C8" s="67" t="s">
        <v>138</v>
      </c>
      <c r="D8" s="65"/>
      <c r="E8" s="65"/>
      <c r="F8" s="65"/>
      <c r="G8" s="7" t="s">
        <v>27</v>
      </c>
      <c r="H8" s="8">
        <f>E24*0.4</f>
        <v>189190</v>
      </c>
      <c r="I8" s="83"/>
    </row>
    <row r="9" spans="3:9" ht="16.5" thickBot="1" thickTop="1">
      <c r="C9" s="7" t="s">
        <v>139</v>
      </c>
      <c r="D9" s="70">
        <v>500</v>
      </c>
      <c r="E9" s="80"/>
      <c r="F9" s="65"/>
      <c r="G9" s="271" t="s">
        <v>155</v>
      </c>
      <c r="H9" s="272"/>
      <c r="I9" s="8">
        <f>H8</f>
        <v>189190</v>
      </c>
    </row>
    <row r="10" spans="3:6" ht="16.5" thickBot="1" thickTop="1">
      <c r="C10" s="7" t="s">
        <v>140</v>
      </c>
      <c r="D10" s="70">
        <v>10000</v>
      </c>
      <c r="E10" s="76"/>
      <c r="F10" s="65"/>
    </row>
    <row r="11" spans="3:6" ht="16.5" thickBot="1" thickTop="1">
      <c r="C11" s="271" t="s">
        <v>141</v>
      </c>
      <c r="D11" s="272"/>
      <c r="E11" s="75">
        <f>SUM(D9:D10)</f>
        <v>10500</v>
      </c>
      <c r="F11" s="74"/>
    </row>
    <row r="12" spans="3:9" ht="16.5" thickBot="1" thickTop="1">
      <c r="C12" s="67" t="s">
        <v>142</v>
      </c>
      <c r="D12" s="76"/>
      <c r="E12" s="81"/>
      <c r="F12" s="65"/>
      <c r="G12" s="67" t="s">
        <v>55</v>
      </c>
      <c r="H12" s="83"/>
      <c r="I12" s="84"/>
    </row>
    <row r="13" spans="3:9" ht="16.5" thickBot="1" thickTop="1">
      <c r="C13" s="7" t="s">
        <v>143</v>
      </c>
      <c r="D13" s="70">
        <f>Inversiones!F34</f>
        <v>225</v>
      </c>
      <c r="E13" s="80"/>
      <c r="F13" s="65"/>
      <c r="G13" s="273" t="s">
        <v>56</v>
      </c>
      <c r="H13" s="274"/>
      <c r="I13" s="8">
        <f>E24*0.6</f>
        <v>283785</v>
      </c>
    </row>
    <row r="14" spans="3:6" ht="16.5" thickBot="1" thickTop="1">
      <c r="C14" s="7" t="s">
        <v>144</v>
      </c>
      <c r="D14" s="70">
        <f>Inversiones!F30</f>
        <v>490</v>
      </c>
      <c r="E14" s="80"/>
      <c r="F14" s="65"/>
    </row>
    <row r="15" spans="3:6" ht="16.5" thickBot="1" thickTop="1">
      <c r="C15" s="7" t="s">
        <v>145</v>
      </c>
      <c r="D15" s="70">
        <f>Inversiones!F25</f>
        <v>1240</v>
      </c>
      <c r="E15" s="80"/>
      <c r="F15" s="65"/>
    </row>
    <row r="16" spans="3:9" ht="16.5" thickBot="1" thickTop="1">
      <c r="C16" s="7" t="s">
        <v>146</v>
      </c>
      <c r="D16" s="70">
        <f>Inversiones!F21</f>
        <v>234750</v>
      </c>
      <c r="E16" s="80"/>
      <c r="F16" s="65"/>
      <c r="G16" s="271" t="s">
        <v>154</v>
      </c>
      <c r="H16" s="272"/>
      <c r="I16" s="85">
        <f>SUM(I8:I15)</f>
        <v>472975</v>
      </c>
    </row>
    <row r="17" spans="3:6" ht="16.5" thickBot="1" thickTop="1">
      <c r="C17" s="7" t="s">
        <v>147</v>
      </c>
      <c r="D17" s="70">
        <f>Inversiones!G38</f>
        <v>20340</v>
      </c>
      <c r="E17" s="80"/>
      <c r="F17" s="65"/>
    </row>
    <row r="18" spans="3:6" ht="16.5" thickBot="1" thickTop="1">
      <c r="C18" s="7" t="s">
        <v>148</v>
      </c>
      <c r="D18" s="70">
        <f>SUM(Inversiones!G39:G44)</f>
        <v>204430</v>
      </c>
      <c r="E18" s="76"/>
      <c r="F18" s="65"/>
    </row>
    <row r="19" spans="3:6" ht="16.5" thickBot="1" thickTop="1">
      <c r="C19" s="271" t="s">
        <v>149</v>
      </c>
      <c r="D19" s="272"/>
      <c r="E19" s="75">
        <f>SUM(D13:D18)</f>
        <v>461475</v>
      </c>
      <c r="F19" s="65"/>
    </row>
    <row r="20" spans="3:6" ht="16.5" thickBot="1" thickTop="1">
      <c r="C20" s="67" t="s">
        <v>150</v>
      </c>
      <c r="D20" s="77"/>
      <c r="E20" s="82"/>
      <c r="F20" s="74"/>
    </row>
    <row r="21" spans="3:6" ht="16.5" thickBot="1" thickTop="1">
      <c r="C21" s="7" t="s">
        <v>151</v>
      </c>
      <c r="D21" s="70">
        <v>1000</v>
      </c>
      <c r="E21" s="76"/>
      <c r="F21" s="65"/>
    </row>
    <row r="22" spans="3:6" ht="16.5" thickBot="1" thickTop="1">
      <c r="C22" s="271" t="s">
        <v>152</v>
      </c>
      <c r="D22" s="272"/>
      <c r="E22" s="75">
        <f>+D21</f>
        <v>1000</v>
      </c>
      <c r="F22" s="65"/>
    </row>
    <row r="23" spans="3:6" ht="16.5" thickBot="1" thickTop="1">
      <c r="C23" s="78"/>
      <c r="D23" s="79"/>
      <c r="E23" s="79"/>
      <c r="F23" s="65"/>
    </row>
    <row r="24" spans="3:6" ht="16.5" thickBot="1" thickTop="1">
      <c r="C24" s="271" t="s">
        <v>153</v>
      </c>
      <c r="D24" s="272"/>
      <c r="E24" s="75">
        <f>SUM(E11:E22)</f>
        <v>472975</v>
      </c>
      <c r="F24" s="74"/>
    </row>
    <row r="25" ht="15.75" thickTop="1">
      <c r="F25" s="65"/>
    </row>
    <row r="26" ht="15">
      <c r="F26" s="65"/>
    </row>
    <row r="27" ht="15.75" thickBot="1">
      <c r="F27" s="65"/>
    </row>
    <row r="28" spans="3:7" ht="15.75" thickTop="1">
      <c r="C28" s="262" t="s">
        <v>263</v>
      </c>
      <c r="D28" s="263"/>
      <c r="E28" s="263"/>
      <c r="F28" s="263"/>
      <c r="G28" s="264"/>
    </row>
    <row r="29" spans="3:7" ht="15.75" thickBot="1">
      <c r="C29" s="265"/>
      <c r="D29" s="266"/>
      <c r="E29" s="266"/>
      <c r="F29" s="266"/>
      <c r="G29" s="267"/>
    </row>
    <row r="30" ht="16.5" thickBot="1" thickTop="1"/>
    <row r="31" spans="3:4" ht="16.5" thickBot="1" thickTop="1">
      <c r="C31" s="73" t="s">
        <v>137</v>
      </c>
      <c r="D31" s="43">
        <f>H8</f>
        <v>189190</v>
      </c>
    </row>
    <row r="32" spans="3:4" ht="16.5" thickBot="1" thickTop="1">
      <c r="C32" s="64" t="s">
        <v>136</v>
      </c>
      <c r="D32" s="153">
        <v>0.0913</v>
      </c>
    </row>
    <row r="33" spans="4:7" ht="16.5" thickBot="1" thickTop="1">
      <c r="D33" s="4"/>
      <c r="E33" s="4"/>
      <c r="F33" s="4"/>
      <c r="G33" s="4"/>
    </row>
    <row r="34" spans="3:7" ht="16.5" thickBot="1" thickTop="1">
      <c r="C34" s="4"/>
      <c r="D34" s="108" t="s">
        <v>73</v>
      </c>
      <c r="E34" s="108" t="s">
        <v>74</v>
      </c>
      <c r="F34" s="108" t="s">
        <v>75</v>
      </c>
      <c r="G34" s="108" t="s">
        <v>76</v>
      </c>
    </row>
    <row r="35" spans="3:7" ht="16.5" thickBot="1" thickTop="1">
      <c r="C35" s="61">
        <v>0</v>
      </c>
      <c r="D35" s="47">
        <f>H8</f>
        <v>189190</v>
      </c>
      <c r="E35" s="52"/>
      <c r="F35" s="52"/>
      <c r="G35" s="52"/>
    </row>
    <row r="36" spans="3:7" ht="16.5" thickBot="1" thickTop="1">
      <c r="C36" s="61">
        <v>1</v>
      </c>
      <c r="D36" s="71">
        <f>D35-G36</f>
        <v>176814.54362825362</v>
      </c>
      <c r="E36" s="71">
        <f>-PMT(D32,C45,D35)</f>
        <v>29648.50337174637</v>
      </c>
      <c r="F36" s="47">
        <f>D35*$D$32</f>
        <v>17273.047000000002</v>
      </c>
      <c r="G36" s="71">
        <f aca="true" t="shared" si="0" ref="G36:G45">E36-F36</f>
        <v>12375.456371746368</v>
      </c>
    </row>
    <row r="37" spans="3:7" ht="16.5" thickBot="1" thickTop="1">
      <c r="C37" s="61">
        <v>2</v>
      </c>
      <c r="D37" s="71">
        <f aca="true" t="shared" si="1" ref="D37:D45">D36-G37</f>
        <v>163309.20808976682</v>
      </c>
      <c r="E37" s="71">
        <f>E36</f>
        <v>29648.50337174637</v>
      </c>
      <c r="F37" s="47">
        <f aca="true" t="shared" si="2" ref="F37:F45">D36*$D$32</f>
        <v>16143.167833259557</v>
      </c>
      <c r="G37" s="71">
        <f t="shared" si="0"/>
        <v>13505.335538486814</v>
      </c>
    </row>
    <row r="38" spans="3:7" ht="16.5" thickBot="1" thickTop="1">
      <c r="C38" s="61">
        <v>3</v>
      </c>
      <c r="D38" s="71">
        <f t="shared" si="1"/>
        <v>148570.83541661617</v>
      </c>
      <c r="E38" s="71">
        <f aca="true" t="shared" si="3" ref="E38:E44">E37</f>
        <v>29648.50337174637</v>
      </c>
      <c r="F38" s="47">
        <f t="shared" si="2"/>
        <v>14910.13069859571</v>
      </c>
      <c r="G38" s="71">
        <f t="shared" si="0"/>
        <v>14738.37267315066</v>
      </c>
    </row>
    <row r="39" spans="3:7" ht="16.5" thickBot="1" thickTop="1">
      <c r="C39" s="61">
        <v>4</v>
      </c>
      <c r="D39" s="71">
        <f t="shared" si="1"/>
        <v>132486.84931840686</v>
      </c>
      <c r="E39" s="71">
        <f t="shared" si="3"/>
        <v>29648.50337174637</v>
      </c>
      <c r="F39" s="47">
        <f t="shared" si="2"/>
        <v>13564.517273537058</v>
      </c>
      <c r="G39" s="71">
        <f t="shared" si="0"/>
        <v>16083.986098209312</v>
      </c>
    </row>
    <row r="40" spans="3:7" ht="16.5" thickBot="1" thickTop="1">
      <c r="C40" s="61">
        <v>5</v>
      </c>
      <c r="D40" s="71">
        <f t="shared" si="1"/>
        <v>114934.39528943104</v>
      </c>
      <c r="E40" s="71">
        <f t="shared" si="3"/>
        <v>29648.50337174637</v>
      </c>
      <c r="F40" s="47">
        <f t="shared" si="2"/>
        <v>12096.049342770548</v>
      </c>
      <c r="G40" s="71">
        <f t="shared" si="0"/>
        <v>17552.454028975822</v>
      </c>
    </row>
    <row r="41" spans="3:7" ht="16.5" thickBot="1" thickTop="1">
      <c r="C41" s="61">
        <v>6</v>
      </c>
      <c r="D41" s="71">
        <f t="shared" si="1"/>
        <v>95779.40220760972</v>
      </c>
      <c r="E41" s="71">
        <f t="shared" si="3"/>
        <v>29648.50337174637</v>
      </c>
      <c r="F41" s="47">
        <f t="shared" si="2"/>
        <v>10493.510289925054</v>
      </c>
      <c r="G41" s="71">
        <f t="shared" si="0"/>
        <v>19154.993081821318</v>
      </c>
    </row>
    <row r="42" spans="3:7" ht="16.5" thickBot="1" thickTop="1">
      <c r="C42" s="61">
        <v>7</v>
      </c>
      <c r="D42" s="71">
        <f t="shared" si="1"/>
        <v>74875.55825741812</v>
      </c>
      <c r="E42" s="71">
        <f t="shared" si="3"/>
        <v>29648.50337174637</v>
      </c>
      <c r="F42" s="47">
        <f t="shared" si="2"/>
        <v>8744.659421554768</v>
      </c>
      <c r="G42" s="71">
        <f t="shared" si="0"/>
        <v>20903.8439501916</v>
      </c>
    </row>
    <row r="43" spans="3:7" ht="16.5" thickBot="1" thickTop="1">
      <c r="C43" s="61">
        <v>8</v>
      </c>
      <c r="D43" s="71">
        <f t="shared" si="1"/>
        <v>52063.19335457402</v>
      </c>
      <c r="E43" s="71">
        <f t="shared" si="3"/>
        <v>29648.50337174637</v>
      </c>
      <c r="F43" s="47">
        <f t="shared" si="2"/>
        <v>6836.138468902274</v>
      </c>
      <c r="G43" s="71">
        <f t="shared" si="0"/>
        <v>22812.364902844096</v>
      </c>
    </row>
    <row r="44" spans="3:7" ht="16.5" thickBot="1" thickTop="1">
      <c r="C44" s="61">
        <v>9</v>
      </c>
      <c r="D44" s="71">
        <f t="shared" si="1"/>
        <v>27168.059536100256</v>
      </c>
      <c r="E44" s="71">
        <f t="shared" si="3"/>
        <v>29648.50337174637</v>
      </c>
      <c r="F44" s="47">
        <f t="shared" si="2"/>
        <v>4753.369553272608</v>
      </c>
      <c r="G44" s="71">
        <f t="shared" si="0"/>
        <v>24895.13381847376</v>
      </c>
    </row>
    <row r="45" spans="3:7" ht="16.5" thickBot="1" thickTop="1">
      <c r="C45" s="61">
        <v>10</v>
      </c>
      <c r="D45" s="71">
        <f t="shared" si="1"/>
        <v>-1.6007106751203537E-10</v>
      </c>
      <c r="E45" s="71">
        <f>E44</f>
        <v>29648.50337174637</v>
      </c>
      <c r="F45" s="47">
        <f t="shared" si="2"/>
        <v>2480.4438356459536</v>
      </c>
      <c r="G45" s="71">
        <f t="shared" si="0"/>
        <v>27168.059536100416</v>
      </c>
    </row>
    <row r="46" spans="3:7" ht="16.5" thickBot="1" thickTop="1">
      <c r="C46" s="4"/>
      <c r="D46" s="4"/>
      <c r="E46" s="4"/>
      <c r="F46" s="4"/>
      <c r="G46" s="72">
        <f>SUM(G36:G45)</f>
        <v>189190.00000000015</v>
      </c>
    </row>
    <row r="47" ht="15.75" thickTop="1"/>
    <row r="59" ht="15.75" thickBot="1"/>
    <row r="60" spans="4:7" ht="20.25" thickBot="1" thickTop="1">
      <c r="D60" s="261" t="s">
        <v>274</v>
      </c>
      <c r="E60" s="261"/>
      <c r="F60" s="261"/>
      <c r="G60" s="176"/>
    </row>
    <row r="61" spans="4:7" ht="16.5" thickBot="1" thickTop="1">
      <c r="D61" s="178" t="s">
        <v>275</v>
      </c>
      <c r="E61" s="178" t="s">
        <v>276</v>
      </c>
      <c r="F61" s="178" t="s">
        <v>277</v>
      </c>
      <c r="G61" s="175"/>
    </row>
    <row r="62" spans="4:6" ht="16.5" thickBot="1" thickTop="1">
      <c r="D62" s="179" t="s">
        <v>278</v>
      </c>
      <c r="E62" s="180">
        <v>0.6</v>
      </c>
      <c r="F62" s="8">
        <f>I13</f>
        <v>283785</v>
      </c>
    </row>
    <row r="63" spans="4:6" ht="16.5" thickBot="1" thickTop="1">
      <c r="D63" s="179" t="s">
        <v>263</v>
      </c>
      <c r="E63" s="180">
        <v>0.4</v>
      </c>
      <c r="F63" s="8">
        <f>H8</f>
        <v>189190</v>
      </c>
    </row>
    <row r="64" spans="4:6" ht="16.5" thickBot="1" thickTop="1">
      <c r="D64" s="179" t="s">
        <v>9</v>
      </c>
      <c r="E64" s="180">
        <v>1</v>
      </c>
      <c r="F64" s="7">
        <f>F62+F63</f>
        <v>472975</v>
      </c>
    </row>
    <row r="65" spans="4:6" ht="16.5" thickBot="1" thickTop="1">
      <c r="D65" s="177" t="s">
        <v>271</v>
      </c>
      <c r="E65" s="84"/>
      <c r="F65" s="161"/>
    </row>
    <row r="66" ht="15.75" thickTop="1"/>
  </sheetData>
  <sheetProtection/>
  <mergeCells count="10">
    <mergeCell ref="D60:F60"/>
    <mergeCell ref="C28:G29"/>
    <mergeCell ref="C4:I4"/>
    <mergeCell ref="C11:D11"/>
    <mergeCell ref="C19:D19"/>
    <mergeCell ref="C22:D22"/>
    <mergeCell ref="C24:D24"/>
    <mergeCell ref="G9:H9"/>
    <mergeCell ref="G16:H16"/>
    <mergeCell ref="G13:H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M226"/>
  <sheetViews>
    <sheetView zoomScale="86" zoomScaleNormal="86" zoomScalePageLayoutView="0" workbookViewId="0" topLeftCell="A1">
      <selection activeCell="M49" sqref="M49"/>
    </sheetView>
  </sheetViews>
  <sheetFormatPr defaultColWidth="11.421875" defaultRowHeight="15"/>
  <cols>
    <col min="2" max="2" width="28.7109375" style="0" bestFit="1" customWidth="1"/>
    <col min="3" max="3" width="19.8515625" style="0" customWidth="1"/>
    <col min="4" max="4" width="15.421875" style="0" customWidth="1"/>
    <col min="5" max="5" width="17.28125" style="0" bestFit="1" customWidth="1"/>
    <col min="6" max="6" width="16.7109375" style="0" bestFit="1" customWidth="1"/>
    <col min="7" max="7" width="13.421875" style="0" customWidth="1"/>
    <col min="8" max="8" width="14.140625" style="0" customWidth="1"/>
    <col min="9" max="9" width="13.140625" style="0" customWidth="1"/>
    <col min="10" max="10" width="12.57421875" style="0" customWidth="1"/>
    <col min="11" max="11" width="13.140625" style="0" customWidth="1"/>
    <col min="12" max="12" width="17.00390625" style="0" bestFit="1" customWidth="1"/>
    <col min="13" max="13" width="15.8515625" style="0" bestFit="1" customWidth="1"/>
  </cols>
  <sheetData>
    <row r="2" ht="15.75" thickBot="1"/>
    <row r="3" ht="16.5" thickBot="1" thickTop="1">
      <c r="B3" s="145" t="s">
        <v>201</v>
      </c>
    </row>
    <row r="4" ht="16.5" thickBot="1" thickTop="1"/>
    <row r="5" spans="2:6" ht="16.5" thickBot="1" thickTop="1">
      <c r="B5" s="6" t="s">
        <v>88</v>
      </c>
      <c r="C5" s="105">
        <v>399130</v>
      </c>
      <c r="F5" s="130" t="s">
        <v>210</v>
      </c>
    </row>
    <row r="6" spans="2:6" ht="16.5" thickBot="1" thickTop="1">
      <c r="B6" s="6" t="s">
        <v>94</v>
      </c>
      <c r="C6" s="42">
        <v>0.71</v>
      </c>
      <c r="D6" s="25">
        <v>283382.3</v>
      </c>
      <c r="F6" s="130" t="s">
        <v>211</v>
      </c>
    </row>
    <row r="7" spans="2:6" ht="16.5" thickBot="1" thickTop="1">
      <c r="B7" s="6" t="s">
        <v>95</v>
      </c>
      <c r="C7" s="42">
        <v>0.31</v>
      </c>
      <c r="F7" s="130"/>
    </row>
    <row r="8" spans="2:9" ht="16.5" thickBot="1" thickTop="1">
      <c r="B8" s="6" t="s">
        <v>96</v>
      </c>
      <c r="C8" s="43">
        <v>12</v>
      </c>
      <c r="F8" s="130"/>
      <c r="G8" s="127" t="s">
        <v>202</v>
      </c>
      <c r="H8" s="127" t="s">
        <v>209</v>
      </c>
      <c r="I8" s="127" t="s">
        <v>219</v>
      </c>
    </row>
    <row r="9" spans="2:9" ht="16.5" thickBot="1" thickTop="1">
      <c r="B9" s="6" t="s">
        <v>103</v>
      </c>
      <c r="C9" s="44">
        <v>0.02</v>
      </c>
      <c r="F9" s="130"/>
      <c r="G9" s="102">
        <v>184354.4336970523</v>
      </c>
      <c r="H9" s="102">
        <v>363175.0289560426</v>
      </c>
      <c r="I9" s="102">
        <f>-(G9-H9)</f>
        <v>178820.5952589903</v>
      </c>
    </row>
    <row r="10" spans="2:6" ht="16.5" thickBot="1" thickTop="1">
      <c r="B10" s="6" t="s">
        <v>104</v>
      </c>
      <c r="C10" s="43">
        <v>1.5</v>
      </c>
      <c r="F10" s="130"/>
    </row>
    <row r="11" spans="2:6" ht="16.5" thickBot="1" thickTop="1">
      <c r="B11" s="6" t="s">
        <v>97</v>
      </c>
      <c r="C11" s="44">
        <v>0.02</v>
      </c>
      <c r="F11" s="130" t="s">
        <v>212</v>
      </c>
    </row>
    <row r="12" spans="2:6" ht="16.5" thickBot="1" thickTop="1">
      <c r="B12" s="6" t="s">
        <v>98</v>
      </c>
      <c r="C12" s="43">
        <v>2.5</v>
      </c>
      <c r="F12" s="130"/>
    </row>
    <row r="13" spans="2:6" ht="15.75" thickTop="1">
      <c r="B13" s="128"/>
      <c r="C13" s="129"/>
      <c r="F13" s="130" t="s">
        <v>216</v>
      </c>
    </row>
    <row r="14" spans="2:6" ht="15">
      <c r="B14" s="128"/>
      <c r="C14" s="129"/>
      <c r="F14" s="130" t="s">
        <v>215</v>
      </c>
    </row>
    <row r="17" spans="2:13" ht="16.5" customHeight="1" thickBot="1" thickTop="1">
      <c r="B17" s="283" t="s">
        <v>172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5"/>
    </row>
    <row r="18" ht="16.5" customHeight="1" thickBot="1" thickTop="1"/>
    <row r="19" spans="2:13" ht="16.5" customHeight="1" thickBot="1" thickTop="1">
      <c r="B19" s="137" t="s">
        <v>89</v>
      </c>
      <c r="C19" s="127">
        <v>0</v>
      </c>
      <c r="D19" s="127">
        <v>1</v>
      </c>
      <c r="E19" s="127">
        <v>2</v>
      </c>
      <c r="F19" s="127">
        <v>3</v>
      </c>
      <c r="G19" s="127">
        <v>4</v>
      </c>
      <c r="H19" s="127">
        <v>5</v>
      </c>
      <c r="I19" s="127">
        <v>6</v>
      </c>
      <c r="J19" s="127">
        <v>7</v>
      </c>
      <c r="K19" s="127">
        <v>8</v>
      </c>
      <c r="L19" s="127">
        <v>9</v>
      </c>
      <c r="M19" s="127">
        <v>10</v>
      </c>
    </row>
    <row r="20" spans="2:13" ht="16.5" customHeight="1" thickBot="1" thickTop="1">
      <c r="B20" s="7" t="s">
        <v>31</v>
      </c>
      <c r="C20" s="125"/>
      <c r="D20" s="125">
        <v>482515.9065260149</v>
      </c>
      <c r="E20" s="125">
        <v>482515.9065260149</v>
      </c>
      <c r="F20" s="125">
        <v>489753.6451239051</v>
      </c>
      <c r="G20" s="125">
        <v>497099.9498007636</v>
      </c>
      <c r="H20" s="125">
        <v>504556.449047775</v>
      </c>
      <c r="I20" s="125">
        <v>512124.7957834916</v>
      </c>
      <c r="J20" s="125">
        <v>519806.6677202439</v>
      </c>
      <c r="K20" s="125">
        <v>527603.7677360475</v>
      </c>
      <c r="L20" s="125">
        <v>535517.8242520882</v>
      </c>
      <c r="M20" s="125">
        <v>543550.5916158694</v>
      </c>
    </row>
    <row r="21" spans="2:13" ht="16.5" customHeight="1" thickBot="1" thickTop="1">
      <c r="B21" s="138" t="s">
        <v>15</v>
      </c>
      <c r="C21" s="135"/>
      <c r="D21" s="135">
        <v>198367.61000000002</v>
      </c>
      <c r="E21" s="135">
        <v>198367.61000000002</v>
      </c>
      <c r="F21" s="135">
        <v>201343.12415</v>
      </c>
      <c r="G21" s="135">
        <v>204363.27101224996</v>
      </c>
      <c r="H21" s="135">
        <v>207428.72007743368</v>
      </c>
      <c r="I21" s="135">
        <v>210540.15087859516</v>
      </c>
      <c r="J21" s="135">
        <v>213698.25314177407</v>
      </c>
      <c r="K21" s="135">
        <v>216903.72693890065</v>
      </c>
      <c r="L21" s="135">
        <v>220157.28284298413</v>
      </c>
      <c r="M21" s="135">
        <v>223459.64208562888</v>
      </c>
    </row>
    <row r="22" spans="2:13" ht="16.5" customHeight="1" thickBot="1" thickTop="1">
      <c r="B22" s="7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</row>
    <row r="23" spans="2:13" ht="16.5" customHeight="1" thickBot="1" thickTop="1">
      <c r="B23" s="126" t="s">
        <v>18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2:13" ht="16.5" customHeight="1" thickBot="1" thickTop="1">
      <c r="B24" s="7" t="s">
        <v>133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</row>
    <row r="25" spans="2:13" ht="16.5" customHeight="1" thickBot="1" thickTop="1">
      <c r="B25" s="138" t="s">
        <v>29</v>
      </c>
      <c r="C25" s="135"/>
      <c r="D25" s="135">
        <v>-160800</v>
      </c>
      <c r="E25" s="135">
        <v>-160800</v>
      </c>
      <c r="F25" s="135">
        <v>-160800</v>
      </c>
      <c r="G25" s="135">
        <v>-160800</v>
      </c>
      <c r="H25" s="135">
        <v>-160800</v>
      </c>
      <c r="I25" s="135">
        <v>-160800</v>
      </c>
      <c r="J25" s="135">
        <v>-160800</v>
      </c>
      <c r="K25" s="135">
        <v>-160800</v>
      </c>
      <c r="L25" s="135">
        <v>-160800</v>
      </c>
      <c r="M25" s="135">
        <v>-160800</v>
      </c>
    </row>
    <row r="26" spans="2:13" ht="16.5" customHeight="1" thickBot="1" thickTop="1">
      <c r="B26" s="7" t="s">
        <v>132</v>
      </c>
      <c r="C26" s="125"/>
      <c r="D26" s="125">
        <v>-4080</v>
      </c>
      <c r="E26" s="125">
        <v>-4080</v>
      </c>
      <c r="F26" s="125">
        <v>-4080</v>
      </c>
      <c r="G26" s="125">
        <v>-4080</v>
      </c>
      <c r="H26" s="125">
        <v>-4080</v>
      </c>
      <c r="I26" s="125">
        <v>-4080</v>
      </c>
      <c r="J26" s="125">
        <v>-4080</v>
      </c>
      <c r="K26" s="125">
        <v>-4080</v>
      </c>
      <c r="L26" s="125">
        <v>-4080</v>
      </c>
      <c r="M26" s="125">
        <v>-4080</v>
      </c>
    </row>
    <row r="27" spans="2:13" ht="16.5" customHeight="1" thickBot="1" thickTop="1">
      <c r="B27" s="7" t="s">
        <v>135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8" spans="2:13" ht="16.5" customHeight="1" thickBot="1" thickTop="1">
      <c r="B28" s="7" t="s">
        <v>166</v>
      </c>
      <c r="C28" s="125"/>
      <c r="D28" s="125">
        <v>-20040</v>
      </c>
      <c r="E28" s="125">
        <v>-20040</v>
      </c>
      <c r="F28" s="125">
        <v>-20040</v>
      </c>
      <c r="G28" s="125">
        <v>-20240.4</v>
      </c>
      <c r="H28" s="125">
        <v>-20442.804</v>
      </c>
      <c r="I28" s="125">
        <v>-20647.23204</v>
      </c>
      <c r="J28" s="125">
        <v>-20853.7043604</v>
      </c>
      <c r="K28" s="125">
        <v>-21062.241404004</v>
      </c>
      <c r="L28" s="125">
        <v>-21272.86381804404</v>
      </c>
      <c r="M28" s="125">
        <v>-21485.59245622448</v>
      </c>
    </row>
    <row r="29" spans="2:13" ht="16.5" customHeight="1" thickBot="1" thickTop="1">
      <c r="B29" s="7" t="s">
        <v>167</v>
      </c>
      <c r="C29" s="125"/>
      <c r="D29" s="125">
        <v>-23496</v>
      </c>
      <c r="E29" s="125">
        <v>-23496</v>
      </c>
      <c r="F29" s="125">
        <v>-23496</v>
      </c>
      <c r="G29" s="125">
        <v>-23730.96</v>
      </c>
      <c r="H29" s="125">
        <v>-23968.2696</v>
      </c>
      <c r="I29" s="125">
        <v>-24207.952296</v>
      </c>
      <c r="J29" s="125">
        <v>-24450.03181896</v>
      </c>
      <c r="K29" s="125">
        <v>-24694.5321371496</v>
      </c>
      <c r="L29" s="125">
        <v>-24941.477458521094</v>
      </c>
      <c r="M29" s="125">
        <v>-25190.892233106304</v>
      </c>
    </row>
    <row r="30" spans="2:13" ht="16.5" customHeight="1" thickBot="1" thickTop="1">
      <c r="B30" s="7" t="s">
        <v>168</v>
      </c>
      <c r="C30" s="125"/>
      <c r="D30" s="125">
        <v>-3000</v>
      </c>
      <c r="E30" s="125">
        <v>-3000</v>
      </c>
      <c r="F30" s="125">
        <v>-3044.9999999999995</v>
      </c>
      <c r="G30" s="125">
        <v>-3090.6749999999993</v>
      </c>
      <c r="H30" s="125">
        <v>-3137.035124999999</v>
      </c>
      <c r="I30" s="125">
        <v>-3184.0906518749985</v>
      </c>
      <c r="J30" s="125">
        <v>-3231.852011653123</v>
      </c>
      <c r="K30" s="125">
        <v>-3280.3297918279195</v>
      </c>
      <c r="L30" s="125">
        <v>-3329.534738705338</v>
      </c>
      <c r="M30" s="125">
        <v>-3379.477759785918</v>
      </c>
    </row>
    <row r="31" spans="2:13" ht="16.5" customHeight="1" thickBot="1" thickTop="1">
      <c r="B31" s="7" t="s">
        <v>51</v>
      </c>
      <c r="C31" s="125"/>
      <c r="D31" s="125">
        <v>-5500</v>
      </c>
      <c r="E31" s="125">
        <v>-5500</v>
      </c>
      <c r="F31" s="125">
        <v>-6050.000000000001</v>
      </c>
      <c r="G31" s="125">
        <v>-5500</v>
      </c>
      <c r="H31" s="125">
        <v>-5500</v>
      </c>
      <c r="I31" s="125">
        <v>-6050.000000000001</v>
      </c>
      <c r="J31" s="125">
        <v>-5500</v>
      </c>
      <c r="K31" s="125">
        <v>-5500</v>
      </c>
      <c r="L31" s="125">
        <v>-6050.000000000001</v>
      </c>
      <c r="M31" s="125">
        <v>-5500</v>
      </c>
    </row>
    <row r="32" spans="2:13" ht="16.5" customHeight="1" thickBot="1" thickTop="1">
      <c r="B32" s="7" t="s">
        <v>182</v>
      </c>
      <c r="C32" s="125"/>
      <c r="D32" s="125">
        <v>10020</v>
      </c>
      <c r="E32" s="125">
        <v>10020</v>
      </c>
      <c r="F32" s="125">
        <v>10020</v>
      </c>
      <c r="G32" s="125">
        <v>10020</v>
      </c>
      <c r="H32" s="125">
        <v>10020</v>
      </c>
      <c r="I32" s="125">
        <v>10020</v>
      </c>
      <c r="J32" s="125">
        <v>10020</v>
      </c>
      <c r="K32" s="125">
        <v>10020</v>
      </c>
      <c r="L32" s="125">
        <v>10020</v>
      </c>
      <c r="M32" s="125">
        <v>10020</v>
      </c>
    </row>
    <row r="33" spans="2:13" ht="16.5" customHeight="1" thickBot="1" thickTop="1">
      <c r="B33" s="7" t="s">
        <v>19</v>
      </c>
      <c r="C33" s="125"/>
      <c r="D33" s="125">
        <v>-72406.16666666666</v>
      </c>
      <c r="E33" s="125">
        <v>-72406.16666666666</v>
      </c>
      <c r="F33" s="125">
        <v>-70906.16666666666</v>
      </c>
      <c r="G33" s="125">
        <v>-68279.5</v>
      </c>
      <c r="H33" s="125">
        <v>-55779.5</v>
      </c>
      <c r="I33" s="125">
        <v>-41519.5</v>
      </c>
      <c r="J33" s="125">
        <v>-41519.5</v>
      </c>
      <c r="K33" s="125">
        <v>-41519.5</v>
      </c>
      <c r="L33" s="125">
        <v>-41519.5</v>
      </c>
      <c r="M33" s="125">
        <v>-41519.5</v>
      </c>
    </row>
    <row r="34" spans="2:13" ht="16.5" customHeight="1" thickBot="1" thickTop="1">
      <c r="B34" s="7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2:13" ht="16.5" customHeight="1" thickBot="1" thickTop="1">
      <c r="B35" s="126" t="s">
        <v>20</v>
      </c>
      <c r="C35" s="136"/>
      <c r="D35" s="136">
        <v>401581.34985934827</v>
      </c>
      <c r="E35" s="136">
        <v>401581.34985934827</v>
      </c>
      <c r="F35" s="136">
        <v>412699.60260723846</v>
      </c>
      <c r="G35" s="136">
        <v>425761.6858130136</v>
      </c>
      <c r="H35" s="136">
        <v>448297.56040020863</v>
      </c>
      <c r="I35" s="136">
        <v>472196.17167421174</v>
      </c>
      <c r="J35" s="136">
        <v>483089.83267100493</v>
      </c>
      <c r="K35" s="136">
        <v>493590.8913419666</v>
      </c>
      <c r="L35" s="136">
        <v>503701.7310798017</v>
      </c>
      <c r="M35" s="136">
        <v>515074.7712523815</v>
      </c>
    </row>
    <row r="36" spans="2:13" ht="16.5" customHeight="1" thickBot="1" thickTop="1">
      <c r="B36" s="7" t="s">
        <v>21</v>
      </c>
      <c r="C36" s="125"/>
      <c r="D36" s="125">
        <v>96336</v>
      </c>
      <c r="E36" s="125">
        <v>90846.37356149725</v>
      </c>
      <c r="F36" s="125">
        <v>84697.9919503742</v>
      </c>
      <c r="G36" s="125">
        <v>77811.80454591637</v>
      </c>
      <c r="H36" s="125">
        <v>70099.27465292359</v>
      </c>
      <c r="I36" s="125">
        <v>61461.24117277169</v>
      </c>
      <c r="J36" s="125">
        <v>51786.64367500156</v>
      </c>
      <c r="K36" s="125">
        <v>40951.094477499006</v>
      </c>
      <c r="L36" s="125">
        <v>28815.27937629615</v>
      </c>
      <c r="M36" s="125">
        <v>15223.166462948951</v>
      </c>
    </row>
    <row r="37" spans="2:13" ht="16.5" customHeight="1" thickBot="1" thickTop="1">
      <c r="B37" s="126" t="s">
        <v>22</v>
      </c>
      <c r="C37" s="125"/>
      <c r="D37" s="125">
        <v>305245.34985934827</v>
      </c>
      <c r="E37" s="125">
        <v>310734.976297851</v>
      </c>
      <c r="F37" s="125">
        <v>328001.61065686424</v>
      </c>
      <c r="G37" s="125">
        <v>347949.8812670972</v>
      </c>
      <c r="H37" s="125">
        <v>378198.28574728506</v>
      </c>
      <c r="I37" s="125">
        <v>410734.9305014401</v>
      </c>
      <c r="J37" s="125">
        <v>431303.18899600336</v>
      </c>
      <c r="K37" s="125">
        <v>452639.79686446756</v>
      </c>
      <c r="L37" s="125">
        <v>474886.45170350553</v>
      </c>
      <c r="M37" s="125">
        <v>499851.60478943255</v>
      </c>
    </row>
    <row r="38" spans="2:13" ht="16.5" customHeight="1" thickBot="1" thickTop="1">
      <c r="B38" s="7" t="s">
        <v>23</v>
      </c>
      <c r="C38" s="125"/>
      <c r="D38" s="125">
        <v>76311.33746483707</v>
      </c>
      <c r="E38" s="125">
        <v>77683.74407446275</v>
      </c>
      <c r="F38" s="125">
        <v>82000.40266421606</v>
      </c>
      <c r="G38" s="125">
        <v>86987.4703167743</v>
      </c>
      <c r="H38" s="125">
        <v>94549.57143682126</v>
      </c>
      <c r="I38" s="125">
        <v>102683.73262536002</v>
      </c>
      <c r="J38" s="125">
        <v>107825.79724900084</v>
      </c>
      <c r="K38" s="125">
        <v>113159.94921611689</v>
      </c>
      <c r="L38" s="125">
        <v>118721.61292587638</v>
      </c>
      <c r="M38" s="125">
        <v>124962.90119735814</v>
      </c>
    </row>
    <row r="39" spans="2:13" ht="16.5" customHeight="1" thickBot="1" thickTop="1">
      <c r="B39" s="126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2:13" ht="16.5" customHeight="1" thickBot="1" thickTop="1">
      <c r="B40" s="126" t="s">
        <v>24</v>
      </c>
      <c r="C40" s="136"/>
      <c r="D40" s="136">
        <v>228934.0123945112</v>
      </c>
      <c r="E40" s="136">
        <v>233051.23222338827</v>
      </c>
      <c r="F40" s="136">
        <v>246001.20799264818</v>
      </c>
      <c r="G40" s="136">
        <v>260962.4109503229</v>
      </c>
      <c r="H40" s="136">
        <v>283648.7143104638</v>
      </c>
      <c r="I40" s="136">
        <v>308051.19787608006</v>
      </c>
      <c r="J40" s="136">
        <v>323477.3917470025</v>
      </c>
      <c r="K40" s="136">
        <v>339479.84764835064</v>
      </c>
      <c r="L40" s="136">
        <v>356164.83877762913</v>
      </c>
      <c r="M40" s="136">
        <v>374888.7035920744</v>
      </c>
    </row>
    <row r="41" spans="2:13" ht="16.5" customHeight="1" thickBot="1" thickTop="1">
      <c r="B41" s="7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2:13" ht="16.5" customHeight="1" thickBot="1" thickTop="1">
      <c r="B42" s="138" t="s">
        <v>25</v>
      </c>
      <c r="C42" s="135"/>
      <c r="D42" s="135">
        <v>72406.16666666666</v>
      </c>
      <c r="E42" s="135">
        <v>72406.16666666666</v>
      </c>
      <c r="F42" s="135">
        <v>70906.16666666666</v>
      </c>
      <c r="G42" s="135">
        <v>68279.5</v>
      </c>
      <c r="H42" s="135">
        <v>55779.5</v>
      </c>
      <c r="I42" s="135">
        <v>41519.5</v>
      </c>
      <c r="J42" s="135">
        <v>41519.5</v>
      </c>
      <c r="K42" s="135">
        <v>41519.5</v>
      </c>
      <c r="L42" s="135">
        <v>41519.5</v>
      </c>
      <c r="M42" s="135">
        <v>41519.5</v>
      </c>
    </row>
    <row r="43" spans="2:13" ht="16.5" customHeight="1" thickBot="1" thickTop="1"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2:13" ht="16.5" customHeight="1" thickBot="1" thickTop="1">
      <c r="B44" s="126" t="s">
        <v>199</v>
      </c>
      <c r="C44" s="136">
        <v>-1594100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</row>
    <row r="45" spans="2:13" ht="16.5" customHeight="1" thickBot="1" thickTop="1">
      <c r="B45" s="7" t="s">
        <v>114</v>
      </c>
      <c r="C45" s="125">
        <v>10920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2:13" ht="16.5" customHeight="1" thickBot="1" thickTop="1">
      <c r="B46" s="138" t="s">
        <v>70</v>
      </c>
      <c r="C46" s="135">
        <v>738880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2:13" ht="16.5" customHeight="1" thickBot="1" thickTop="1">
      <c r="B47" s="7" t="s">
        <v>62</v>
      </c>
      <c r="C47" s="125">
        <v>500000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2:13" ht="16.5" customHeight="1" thickBot="1" thickTop="1">
      <c r="B48" s="7" t="s">
        <v>72</v>
      </c>
      <c r="C48" s="125">
        <v>344300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2:13" ht="16.5" customHeight="1" thickBot="1" thickTop="1">
      <c r="B49" s="7" t="s">
        <v>192</v>
      </c>
      <c r="C49" s="125"/>
      <c r="D49" s="125">
        <v>0</v>
      </c>
      <c r="E49" s="125">
        <v>-3000</v>
      </c>
      <c r="F49" s="125">
        <v>-80</v>
      </c>
      <c r="G49" s="125">
        <v>-53000</v>
      </c>
      <c r="H49" s="125">
        <v>-71300</v>
      </c>
      <c r="I49" s="125">
        <v>-3080</v>
      </c>
      <c r="J49" s="125">
        <v>0</v>
      </c>
      <c r="K49" s="125">
        <v>-53000</v>
      </c>
      <c r="L49" s="125">
        <v>-80</v>
      </c>
      <c r="M49" s="125">
        <v>-88500</v>
      </c>
    </row>
    <row r="50" spans="2:13" ht="16.5" customHeight="1" thickBot="1" thickTop="1">
      <c r="B50" s="7" t="s">
        <v>26</v>
      </c>
      <c r="C50" s="125">
        <v>-15000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>
        <v>15000</v>
      </c>
    </row>
    <row r="51" spans="2:13" ht="16.5" customHeight="1" thickBot="1" thickTop="1">
      <c r="B51" s="7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2:13" ht="16.5" customHeight="1" thickBot="1" thickTop="1">
      <c r="B52" s="138" t="s">
        <v>27</v>
      </c>
      <c r="C52" s="135">
        <v>802800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</row>
    <row r="53" spans="2:13" ht="16.5" customHeight="1" thickBot="1" thickTop="1">
      <c r="B53" s="7" t="s">
        <v>28</v>
      </c>
      <c r="C53" s="125"/>
      <c r="D53" s="125">
        <v>-45746.8869875228</v>
      </c>
      <c r="E53" s="125">
        <v>-51236.51342602554</v>
      </c>
      <c r="F53" s="125">
        <v>-57384.8950371486</v>
      </c>
      <c r="G53" s="125">
        <v>-64271.08244160643</v>
      </c>
      <c r="H53" s="125">
        <v>-71983.61233459921</v>
      </c>
      <c r="I53" s="125">
        <v>-80621.6458147511</v>
      </c>
      <c r="J53" s="125">
        <v>-90296.24331252124</v>
      </c>
      <c r="K53" s="125">
        <v>-101131.79251002379</v>
      </c>
      <c r="L53" s="125">
        <v>-113267.60761122665</v>
      </c>
      <c r="M53" s="125">
        <v>-126859.72052457384</v>
      </c>
    </row>
    <row r="54" spans="2:13" ht="16.5" customHeight="1" thickBot="1" thickTop="1">
      <c r="B54" s="7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2:13" ht="16.5" customHeight="1" thickBot="1" thickTop="1">
      <c r="B55" s="126" t="s">
        <v>93</v>
      </c>
      <c r="C55" s="136">
        <v>-791300</v>
      </c>
      <c r="D55" s="136">
        <v>255593.2920736551</v>
      </c>
      <c r="E55" s="136">
        <v>251220.88546402936</v>
      </c>
      <c r="F55" s="136">
        <v>259442.47962216625</v>
      </c>
      <c r="G55" s="136">
        <v>211970.82850871643</v>
      </c>
      <c r="H55" s="136">
        <v>196144.6019758646</v>
      </c>
      <c r="I55" s="136">
        <v>265869.05206132896</v>
      </c>
      <c r="J55" s="136">
        <v>274700.64843448123</v>
      </c>
      <c r="K55" s="136">
        <v>226867.55513832683</v>
      </c>
      <c r="L55" s="136">
        <v>284336.73116640246</v>
      </c>
      <c r="M55" s="136">
        <v>216048.48306750055</v>
      </c>
    </row>
    <row r="56" ht="15.75" thickTop="1"/>
    <row r="57" ht="15.75" thickBot="1">
      <c r="B57" s="130"/>
    </row>
    <row r="58" spans="2:3" ht="16.5" thickBot="1" thickTop="1">
      <c r="B58" s="126" t="s">
        <v>209</v>
      </c>
      <c r="C58" s="125">
        <f>(NPV(E64,D55:M55))+C55</f>
        <v>363175.0289560426</v>
      </c>
    </row>
    <row r="59" spans="2:3" ht="16.5" thickBot="1" thickTop="1">
      <c r="B59" s="9" t="s">
        <v>226</v>
      </c>
      <c r="C59" s="139">
        <v>0.28507581053348124</v>
      </c>
    </row>
    <row r="60" spans="2:11" ht="16.5" customHeight="1" thickBot="1" thickTop="1">
      <c r="B60" s="130"/>
      <c r="G60" s="275" t="s">
        <v>173</v>
      </c>
      <c r="H60" s="276"/>
      <c r="I60" s="276"/>
      <c r="J60" s="276"/>
      <c r="K60" s="277"/>
    </row>
    <row r="61" spans="2:12" ht="46.5" customHeight="1" thickBot="1" thickTop="1">
      <c r="B61" s="130"/>
      <c r="G61" s="133" t="s">
        <v>174</v>
      </c>
      <c r="H61" s="133" t="s">
        <v>175</v>
      </c>
      <c r="I61" s="133" t="s">
        <v>176</v>
      </c>
      <c r="J61" s="133" t="s">
        <v>177</v>
      </c>
      <c r="K61" s="133" t="s">
        <v>178</v>
      </c>
      <c r="L61" s="144"/>
    </row>
    <row r="62" spans="7:12" ht="16.5" customHeight="1" thickBot="1" thickTop="1">
      <c r="G62" s="143">
        <v>0</v>
      </c>
      <c r="H62" s="143"/>
      <c r="I62" s="143"/>
      <c r="J62" s="143"/>
      <c r="K62" s="143"/>
      <c r="L62" s="131"/>
    </row>
    <row r="63" spans="7:12" ht="16.5" customHeight="1" thickBot="1" thickTop="1">
      <c r="G63" s="141">
        <v>1</v>
      </c>
      <c r="H63" s="142">
        <v>791300</v>
      </c>
      <c r="I63" s="142">
        <v>255593.2920736551</v>
      </c>
      <c r="J63" s="142">
        <v>131862.23200000002</v>
      </c>
      <c r="K63" s="142">
        <v>123731.06007365507</v>
      </c>
      <c r="L63" s="4"/>
    </row>
    <row r="64" spans="2:11" ht="16.5" customHeight="1" thickBot="1" thickTop="1">
      <c r="B64" s="126" t="s">
        <v>84</v>
      </c>
      <c r="C64" s="278" t="s">
        <v>79</v>
      </c>
      <c r="D64" s="279"/>
      <c r="E64" s="139">
        <v>0.16664</v>
      </c>
      <c r="G64" s="7">
        <v>2</v>
      </c>
      <c r="H64" s="7">
        <v>667568.9399263449</v>
      </c>
      <c r="I64" s="7">
        <v>251220.88546402936</v>
      </c>
      <c r="J64" s="7">
        <v>111243.68814932612</v>
      </c>
      <c r="K64" s="7">
        <v>139977.19731470325</v>
      </c>
    </row>
    <row r="65" spans="3:11" ht="16.5" customHeight="1" thickBot="1" thickTop="1">
      <c r="C65" s="280"/>
      <c r="D65" s="281"/>
      <c r="E65" s="282"/>
      <c r="G65" s="7">
        <v>3</v>
      </c>
      <c r="H65" s="7">
        <v>527591.7426116416</v>
      </c>
      <c r="I65" s="7">
        <v>259442.47962216625</v>
      </c>
      <c r="J65" s="7">
        <v>87917.88798880397</v>
      </c>
      <c r="K65" s="7">
        <v>171524.5916333623</v>
      </c>
    </row>
    <row r="66" spans="3:11" ht="16.5" customHeight="1" thickBot="1" thickTop="1">
      <c r="C66" s="278" t="s">
        <v>80</v>
      </c>
      <c r="D66" s="279"/>
      <c r="E66" s="139">
        <v>0.12</v>
      </c>
      <c r="G66" s="7">
        <v>4</v>
      </c>
      <c r="H66" s="7">
        <v>356067.15097827936</v>
      </c>
      <c r="I66" s="7">
        <v>211970.82850871643</v>
      </c>
      <c r="J66" s="7">
        <v>59335.03003902048</v>
      </c>
      <c r="K66" s="7">
        <v>152635.79846969596</v>
      </c>
    </row>
    <row r="67" spans="3:11" ht="16.5" customHeight="1" thickBot="1" thickTop="1">
      <c r="C67" s="278" t="s">
        <v>81</v>
      </c>
      <c r="D67" s="279"/>
      <c r="E67" s="139">
        <v>0.0883</v>
      </c>
      <c r="G67" s="7">
        <v>5</v>
      </c>
      <c r="H67" s="7">
        <v>203431.3525085834</v>
      </c>
      <c r="I67" s="7">
        <v>196144.6019758646</v>
      </c>
      <c r="J67" s="7">
        <v>33899.80058203034</v>
      </c>
      <c r="K67" s="7">
        <v>162244.8013938343</v>
      </c>
    </row>
    <row r="68" spans="3:11" ht="16.5" customHeight="1" thickBot="1" thickTop="1">
      <c r="C68" s="126" t="s">
        <v>82</v>
      </c>
      <c r="D68" s="7"/>
      <c r="E68" s="139">
        <v>0.25</v>
      </c>
      <c r="G68" s="7">
        <v>6</v>
      </c>
      <c r="H68" s="7">
        <v>41186.551114749105</v>
      </c>
      <c r="I68" s="7">
        <v>265869.05206132896</v>
      </c>
      <c r="J68" s="7">
        <v>6863.326877761791</v>
      </c>
      <c r="K68" s="7">
        <v>259005.72518356718</v>
      </c>
    </row>
    <row r="69" spans="3:11" ht="16.5" customHeight="1" thickBot="1" thickTop="1">
      <c r="C69" s="280"/>
      <c r="D69" s="281"/>
      <c r="E69" s="282"/>
      <c r="G69" s="7">
        <v>7</v>
      </c>
      <c r="H69" s="7">
        <v>-217819.17406881807</v>
      </c>
      <c r="I69" s="7">
        <v>274700.64843448123</v>
      </c>
      <c r="J69" s="7">
        <v>-36297.387166827844</v>
      </c>
      <c r="K69" s="7">
        <v>310998.0356013091</v>
      </c>
    </row>
    <row r="70" spans="3:11" ht="16.5" customHeight="1" thickBot="1" thickTop="1">
      <c r="C70" s="126" t="s">
        <v>83</v>
      </c>
      <c r="D70" s="7"/>
      <c r="E70" s="139">
        <v>0.16664</v>
      </c>
      <c r="G70" s="7">
        <v>8</v>
      </c>
      <c r="H70" s="7">
        <v>-528817.2096701271</v>
      </c>
      <c r="I70" s="7">
        <v>226867.55513832683</v>
      </c>
      <c r="J70" s="7">
        <v>-88122.09981942999</v>
      </c>
      <c r="K70" s="7">
        <v>314989.6549577568</v>
      </c>
    </row>
    <row r="71" spans="7:11" ht="16.5" customHeight="1" thickBot="1" thickTop="1">
      <c r="G71" s="7">
        <v>9</v>
      </c>
      <c r="H71" s="7">
        <v>-843806.864627884</v>
      </c>
      <c r="I71" s="7">
        <v>284336.73116640246</v>
      </c>
      <c r="J71" s="7">
        <v>-140611.9759215906</v>
      </c>
      <c r="K71" s="7">
        <v>424948.70708799304</v>
      </c>
    </row>
    <row r="72" spans="7:11" ht="16.5" customHeight="1" thickBot="1" thickTop="1">
      <c r="G72" s="7">
        <v>10</v>
      </c>
      <c r="H72" s="7">
        <v>-1268755.571715877</v>
      </c>
      <c r="I72" s="7">
        <v>216048.48306750055</v>
      </c>
      <c r="J72" s="7">
        <v>-211425.42847073375</v>
      </c>
      <c r="K72" s="7">
        <v>427473.91153823433</v>
      </c>
    </row>
    <row r="73" ht="15.75" thickTop="1"/>
    <row r="75" ht="15.75" thickBot="1"/>
    <row r="76" ht="16.5" thickBot="1" thickTop="1">
      <c r="B76" s="145" t="s">
        <v>200</v>
      </c>
    </row>
    <row r="77" ht="16.5" thickBot="1" thickTop="1">
      <c r="F77" s="130" t="s">
        <v>206</v>
      </c>
    </row>
    <row r="78" spans="2:6" ht="16.5" thickBot="1" thickTop="1">
      <c r="B78" s="6" t="s">
        <v>88</v>
      </c>
      <c r="C78" s="105">
        <v>399130</v>
      </c>
      <c r="F78" s="130" t="s">
        <v>207</v>
      </c>
    </row>
    <row r="79" spans="2:6" ht="16.5" thickBot="1" thickTop="1">
      <c r="B79" s="6" t="s">
        <v>94</v>
      </c>
      <c r="C79" s="42">
        <v>0.73</v>
      </c>
      <c r="D79" s="25">
        <v>291364.9</v>
      </c>
      <c r="F79" s="130" t="s">
        <v>208</v>
      </c>
    </row>
    <row r="80" spans="2:3" ht="16.5" thickBot="1" thickTop="1">
      <c r="B80" s="6" t="s">
        <v>95</v>
      </c>
      <c r="C80" s="42">
        <v>0.33</v>
      </c>
    </row>
    <row r="81" spans="2:9" ht="16.5" thickBot="1" thickTop="1">
      <c r="B81" s="6" t="s">
        <v>96</v>
      </c>
      <c r="C81" s="43">
        <v>15</v>
      </c>
      <c r="G81" s="127" t="s">
        <v>202</v>
      </c>
      <c r="H81" s="127" t="s">
        <v>203</v>
      </c>
      <c r="I81" s="127" t="s">
        <v>219</v>
      </c>
    </row>
    <row r="82" spans="2:9" ht="16.5" thickBot="1" thickTop="1">
      <c r="B82" s="6" t="s">
        <v>103</v>
      </c>
      <c r="C82" s="44">
        <v>0.03</v>
      </c>
      <c r="G82" s="102">
        <v>184354.4336970523</v>
      </c>
      <c r="H82" s="132">
        <v>727776.9545177256</v>
      </c>
      <c r="I82" s="102">
        <f>-(G82-H82)</f>
        <v>543422.5208206733</v>
      </c>
    </row>
    <row r="83" spans="2:3" ht="16.5" thickBot="1" thickTop="1">
      <c r="B83" s="6" t="s">
        <v>104</v>
      </c>
      <c r="C83" s="43">
        <v>2</v>
      </c>
    </row>
    <row r="84" spans="2:6" ht="16.5" thickBot="1" thickTop="1">
      <c r="B84" s="6" t="s">
        <v>97</v>
      </c>
      <c r="C84" s="44">
        <v>0.03</v>
      </c>
      <c r="F84" s="130" t="s">
        <v>213</v>
      </c>
    </row>
    <row r="85" spans="2:6" ht="16.5" thickBot="1" thickTop="1">
      <c r="B85" s="6" t="s">
        <v>98</v>
      </c>
      <c r="C85" s="43">
        <v>3</v>
      </c>
      <c r="F85" s="130" t="s">
        <v>214</v>
      </c>
    </row>
    <row r="86" ht="15.75" thickTop="1">
      <c r="F86" s="130"/>
    </row>
    <row r="87" ht="15">
      <c r="F87" s="130" t="s">
        <v>204</v>
      </c>
    </row>
    <row r="88" ht="15">
      <c r="F88" s="130" t="s">
        <v>205</v>
      </c>
    </row>
    <row r="89" ht="15.75" thickBot="1"/>
    <row r="90" spans="2:13" ht="16.5" customHeight="1" thickBot="1" thickTop="1">
      <c r="B90" s="283" t="s">
        <v>172</v>
      </c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5"/>
    </row>
    <row r="91" ht="16.5" customHeight="1" thickBot="1" thickTop="1"/>
    <row r="92" spans="2:13" ht="16.5" customHeight="1" thickBot="1" thickTop="1">
      <c r="B92" s="137" t="s">
        <v>89</v>
      </c>
      <c r="C92" s="137">
        <v>0</v>
      </c>
      <c r="D92" s="137">
        <v>1</v>
      </c>
      <c r="E92" s="137">
        <v>2</v>
      </c>
      <c r="F92" s="137">
        <v>3</v>
      </c>
      <c r="G92" s="137">
        <v>4</v>
      </c>
      <c r="H92" s="137">
        <v>5</v>
      </c>
      <c r="I92" s="137">
        <v>6</v>
      </c>
      <c r="J92" s="137">
        <v>7</v>
      </c>
      <c r="K92" s="137">
        <v>8</v>
      </c>
      <c r="L92" s="137">
        <v>9</v>
      </c>
      <c r="M92" s="137">
        <v>10</v>
      </c>
    </row>
    <row r="93" spans="2:13" ht="16.5" customHeight="1" thickBot="1" thickTop="1">
      <c r="B93" s="7" t="s">
        <v>31</v>
      </c>
      <c r="C93" s="125"/>
      <c r="D93" s="125">
        <v>496107.9038929449</v>
      </c>
      <c r="E93" s="125">
        <v>496107.9038929449</v>
      </c>
      <c r="F93" s="125">
        <v>503549.52245133906</v>
      </c>
      <c r="G93" s="125">
        <v>511102.7652881091</v>
      </c>
      <c r="H93" s="125">
        <v>518769.3067674307</v>
      </c>
      <c r="I93" s="125">
        <v>526550.8463689421</v>
      </c>
      <c r="J93" s="125">
        <v>534449.1090644761</v>
      </c>
      <c r="K93" s="125">
        <v>542465.8457004431</v>
      </c>
      <c r="L93" s="125">
        <v>550602.8333859497</v>
      </c>
      <c r="M93" s="125">
        <v>558861.8758867389</v>
      </c>
    </row>
    <row r="94" spans="2:13" ht="16.5" customHeight="1" thickBot="1" thickTop="1">
      <c r="B94" s="138" t="s">
        <v>15</v>
      </c>
      <c r="C94" s="135"/>
      <c r="D94" s="135">
        <v>284080.77749999997</v>
      </c>
      <c r="E94" s="135">
        <v>284080.77749999997</v>
      </c>
      <c r="F94" s="135">
        <v>288341.98916249996</v>
      </c>
      <c r="G94" s="135">
        <v>292667.11899993743</v>
      </c>
      <c r="H94" s="135">
        <v>297057.1257849365</v>
      </c>
      <c r="I94" s="135">
        <v>301512.9826717105</v>
      </c>
      <c r="J94" s="135">
        <v>306035.6774117861</v>
      </c>
      <c r="K94" s="135">
        <v>310626.21257296286</v>
      </c>
      <c r="L94" s="135">
        <v>315285.6057615573</v>
      </c>
      <c r="M94" s="135">
        <v>320014.88984798064</v>
      </c>
    </row>
    <row r="95" spans="2:13" ht="16.5" customHeight="1" thickBot="1" thickTop="1">
      <c r="B95" s="7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2:13" ht="16.5" customHeight="1" thickBot="1" thickTop="1">
      <c r="B96" s="126" t="s">
        <v>18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2:13" ht="16.5" customHeight="1" thickBot="1" thickTop="1">
      <c r="B97" s="7" t="s">
        <v>133</v>
      </c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</row>
    <row r="98" spans="2:13" ht="16.5" customHeight="1" thickBot="1" thickTop="1">
      <c r="B98" s="138" t="s">
        <v>29</v>
      </c>
      <c r="C98" s="135"/>
      <c r="D98" s="135">
        <v>-160800</v>
      </c>
      <c r="E98" s="135">
        <v>-160800</v>
      </c>
      <c r="F98" s="135">
        <v>-160800</v>
      </c>
      <c r="G98" s="135">
        <v>-160800</v>
      </c>
      <c r="H98" s="135">
        <v>-160800</v>
      </c>
      <c r="I98" s="135">
        <v>-160800</v>
      </c>
      <c r="J98" s="135">
        <v>-160800</v>
      </c>
      <c r="K98" s="135">
        <v>-160800</v>
      </c>
      <c r="L98" s="135">
        <v>-160800</v>
      </c>
      <c r="M98" s="135">
        <v>-160800</v>
      </c>
    </row>
    <row r="99" spans="2:13" ht="16.5" customHeight="1" thickBot="1" thickTop="1">
      <c r="B99" s="7" t="s">
        <v>132</v>
      </c>
      <c r="C99" s="125"/>
      <c r="D99" s="125">
        <v>-4080</v>
      </c>
      <c r="E99" s="125">
        <v>-4080</v>
      </c>
      <c r="F99" s="125">
        <v>-4080</v>
      </c>
      <c r="G99" s="125">
        <v>-4080</v>
      </c>
      <c r="H99" s="125">
        <v>-4080</v>
      </c>
      <c r="I99" s="125">
        <v>-4080</v>
      </c>
      <c r="J99" s="125">
        <v>-4080</v>
      </c>
      <c r="K99" s="125">
        <v>-4080</v>
      </c>
      <c r="L99" s="125">
        <v>-4080</v>
      </c>
      <c r="M99" s="125">
        <v>-4080</v>
      </c>
    </row>
    <row r="100" spans="2:13" ht="16.5" customHeight="1" thickBot="1" thickTop="1">
      <c r="B100" s="7" t="s">
        <v>135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</row>
    <row r="101" spans="2:13" ht="16.5" customHeight="1" thickBot="1" thickTop="1">
      <c r="B101" s="7" t="s">
        <v>166</v>
      </c>
      <c r="C101" s="125"/>
      <c r="D101" s="125">
        <v>-20040</v>
      </c>
      <c r="E101" s="125">
        <v>-20040</v>
      </c>
      <c r="F101" s="125">
        <v>-20040</v>
      </c>
      <c r="G101" s="125">
        <v>-20240.4</v>
      </c>
      <c r="H101" s="125">
        <v>-20442.804</v>
      </c>
      <c r="I101" s="125">
        <v>-20647.23204</v>
      </c>
      <c r="J101" s="125">
        <v>-20853.7043604</v>
      </c>
      <c r="K101" s="125">
        <v>-21062.241404004</v>
      </c>
      <c r="L101" s="125">
        <v>-21272.86381804404</v>
      </c>
      <c r="M101" s="125">
        <v>-21485.59245622448</v>
      </c>
    </row>
    <row r="102" spans="2:13" ht="16.5" customHeight="1" thickBot="1" thickTop="1">
      <c r="B102" s="7" t="s">
        <v>167</v>
      </c>
      <c r="C102" s="125"/>
      <c r="D102" s="125">
        <v>-23496</v>
      </c>
      <c r="E102" s="125">
        <v>-23496</v>
      </c>
      <c r="F102" s="125">
        <v>-23496</v>
      </c>
      <c r="G102" s="125">
        <v>-23730.96</v>
      </c>
      <c r="H102" s="125">
        <v>-23968.2696</v>
      </c>
      <c r="I102" s="125">
        <v>-24207.952296</v>
      </c>
      <c r="J102" s="125">
        <v>-24450.03181896</v>
      </c>
      <c r="K102" s="125">
        <v>-24694.5321371496</v>
      </c>
      <c r="L102" s="125">
        <v>-24941.477458521094</v>
      </c>
      <c r="M102" s="125">
        <v>-25190.892233106304</v>
      </c>
    </row>
    <row r="103" spans="2:13" ht="16.5" customHeight="1" thickBot="1" thickTop="1">
      <c r="B103" s="7" t="s">
        <v>168</v>
      </c>
      <c r="C103" s="125"/>
      <c r="D103" s="125">
        <v>-3000</v>
      </c>
      <c r="E103" s="125">
        <v>-3000</v>
      </c>
      <c r="F103" s="125">
        <v>-3044.9999999999995</v>
      </c>
      <c r="G103" s="125">
        <v>-3090.6749999999993</v>
      </c>
      <c r="H103" s="125">
        <v>-3137.035124999999</v>
      </c>
      <c r="I103" s="125">
        <v>-3184.0906518749985</v>
      </c>
      <c r="J103" s="125">
        <v>-3231.852011653123</v>
      </c>
      <c r="K103" s="125">
        <v>-3280.3297918279195</v>
      </c>
      <c r="L103" s="125">
        <v>-3329.534738705338</v>
      </c>
      <c r="M103" s="125">
        <v>-3379.477759785918</v>
      </c>
    </row>
    <row r="104" spans="2:13" ht="16.5" customHeight="1" thickBot="1" thickTop="1">
      <c r="B104" s="7" t="s">
        <v>51</v>
      </c>
      <c r="C104" s="125"/>
      <c r="D104" s="125">
        <v>-5500</v>
      </c>
      <c r="E104" s="125">
        <v>-5500</v>
      </c>
      <c r="F104" s="125">
        <v>-6050.000000000001</v>
      </c>
      <c r="G104" s="125">
        <v>-5500</v>
      </c>
      <c r="H104" s="125">
        <v>-5500</v>
      </c>
      <c r="I104" s="125">
        <v>-6050.000000000001</v>
      </c>
      <c r="J104" s="125">
        <v>-5500</v>
      </c>
      <c r="K104" s="125">
        <v>-5500</v>
      </c>
      <c r="L104" s="125">
        <v>-6050.000000000001</v>
      </c>
      <c r="M104" s="125">
        <v>-5500</v>
      </c>
    </row>
    <row r="105" spans="2:13" ht="16.5" customHeight="1" thickBot="1" thickTop="1">
      <c r="B105" s="7" t="s">
        <v>182</v>
      </c>
      <c r="C105" s="125"/>
      <c r="D105" s="125">
        <v>10020</v>
      </c>
      <c r="E105" s="125">
        <v>10020</v>
      </c>
      <c r="F105" s="125">
        <v>10020</v>
      </c>
      <c r="G105" s="125">
        <v>10020</v>
      </c>
      <c r="H105" s="125">
        <v>10020</v>
      </c>
      <c r="I105" s="125">
        <v>10020</v>
      </c>
      <c r="J105" s="125">
        <v>10020</v>
      </c>
      <c r="K105" s="125">
        <v>10020</v>
      </c>
      <c r="L105" s="125">
        <v>10020</v>
      </c>
      <c r="M105" s="125">
        <v>10020</v>
      </c>
    </row>
    <row r="106" spans="2:13" ht="16.5" customHeight="1" thickBot="1" thickTop="1">
      <c r="B106" s="7" t="s">
        <v>19</v>
      </c>
      <c r="C106" s="125"/>
      <c r="D106" s="125">
        <v>-72406.16666666666</v>
      </c>
      <c r="E106" s="125">
        <v>-72406.16666666666</v>
      </c>
      <c r="F106" s="125">
        <v>-70906.16666666666</v>
      </c>
      <c r="G106" s="125">
        <v>-68279.5</v>
      </c>
      <c r="H106" s="125">
        <v>-55779.5</v>
      </c>
      <c r="I106" s="125">
        <v>-41519.5</v>
      </c>
      <c r="J106" s="125">
        <v>-41519.5</v>
      </c>
      <c r="K106" s="125">
        <v>-41519.5</v>
      </c>
      <c r="L106" s="125">
        <v>-41519.5</v>
      </c>
      <c r="M106" s="125">
        <v>-41519.5</v>
      </c>
    </row>
    <row r="107" spans="2:13" ht="16.5" customHeight="1" thickBot="1" thickTop="1">
      <c r="B107" s="7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2:13" ht="16.5" customHeight="1" thickBot="1" thickTop="1">
      <c r="B108" s="126" t="s">
        <v>20</v>
      </c>
      <c r="C108" s="136"/>
      <c r="D108" s="136">
        <v>500886.51472627826</v>
      </c>
      <c r="E108" s="136">
        <v>500886.51472627826</v>
      </c>
      <c r="F108" s="136">
        <v>513494.34494717245</v>
      </c>
      <c r="G108" s="136">
        <v>528068.3492880465</v>
      </c>
      <c r="H108" s="136">
        <v>552138.8238273672</v>
      </c>
      <c r="I108" s="136">
        <v>577595.0540527776</v>
      </c>
      <c r="J108" s="136">
        <v>590069.6982852491</v>
      </c>
      <c r="K108" s="136">
        <v>602175.4549404244</v>
      </c>
      <c r="L108" s="136">
        <v>613915.0631322365</v>
      </c>
      <c r="M108" s="136">
        <v>626941.3032856028</v>
      </c>
    </row>
    <row r="109" spans="2:13" ht="16.5" customHeight="1" thickBot="1" thickTop="1">
      <c r="B109" s="7" t="s">
        <v>21</v>
      </c>
      <c r="C109" s="125"/>
      <c r="D109" s="125">
        <v>96336</v>
      </c>
      <c r="E109" s="125">
        <v>90846.37356149725</v>
      </c>
      <c r="F109" s="125">
        <v>84697.9919503742</v>
      </c>
      <c r="G109" s="125">
        <v>77811.80454591637</v>
      </c>
      <c r="H109" s="125">
        <v>70099.27465292359</v>
      </c>
      <c r="I109" s="125">
        <v>61461.24117277169</v>
      </c>
      <c r="J109" s="125">
        <v>51786.64367500156</v>
      </c>
      <c r="K109" s="125">
        <v>40951.094477499006</v>
      </c>
      <c r="L109" s="125">
        <v>28815.27937629615</v>
      </c>
      <c r="M109" s="125">
        <v>15223.166462948951</v>
      </c>
    </row>
    <row r="110" spans="2:13" ht="16.5" customHeight="1" thickBot="1" thickTop="1">
      <c r="B110" s="126" t="s">
        <v>22</v>
      </c>
      <c r="C110" s="125"/>
      <c r="D110" s="125">
        <v>404550.51472627826</v>
      </c>
      <c r="E110" s="125">
        <v>410040.141164781</v>
      </c>
      <c r="F110" s="125">
        <v>428796.35299679823</v>
      </c>
      <c r="G110" s="125">
        <v>450256.5447421301</v>
      </c>
      <c r="H110" s="125">
        <v>482039.5491744436</v>
      </c>
      <c r="I110" s="125">
        <v>516133.8128800059</v>
      </c>
      <c r="J110" s="125">
        <v>538283.0546102475</v>
      </c>
      <c r="K110" s="125">
        <v>561224.3604629254</v>
      </c>
      <c r="L110" s="125">
        <v>585099.7837559404</v>
      </c>
      <c r="M110" s="125">
        <v>611718.1368226539</v>
      </c>
    </row>
    <row r="111" spans="2:13" ht="16.5" customHeight="1" thickBot="1" thickTop="1">
      <c r="B111" s="7" t="s">
        <v>23</v>
      </c>
      <c r="C111" s="125"/>
      <c r="D111" s="125">
        <v>101137.62868156956</v>
      </c>
      <c r="E111" s="125">
        <v>102510.03529119525</v>
      </c>
      <c r="F111" s="125">
        <v>107199.08824919956</v>
      </c>
      <c r="G111" s="125">
        <v>112564.13618553252</v>
      </c>
      <c r="H111" s="125">
        <v>120509.8872936109</v>
      </c>
      <c r="I111" s="125">
        <v>129033.45322000148</v>
      </c>
      <c r="J111" s="125">
        <v>134570.76365256187</v>
      </c>
      <c r="K111" s="125">
        <v>140306.09011573135</v>
      </c>
      <c r="L111" s="125">
        <v>146274.9459389851</v>
      </c>
      <c r="M111" s="125">
        <v>152929.53420566348</v>
      </c>
    </row>
    <row r="112" spans="2:13" ht="16.5" customHeight="1" thickBot="1" thickTop="1">
      <c r="B112" s="126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</row>
    <row r="113" spans="2:13" ht="16.5" customHeight="1" thickBot="1" thickTop="1">
      <c r="B113" s="126" t="s">
        <v>24</v>
      </c>
      <c r="C113" s="136"/>
      <c r="D113" s="136">
        <v>303412.88604470866</v>
      </c>
      <c r="E113" s="136">
        <v>307530.10587358574</v>
      </c>
      <c r="F113" s="136">
        <v>321597.2647475987</v>
      </c>
      <c r="G113" s="136">
        <v>337692.40855659754</v>
      </c>
      <c r="H113" s="136">
        <v>361529.6618808327</v>
      </c>
      <c r="I113" s="136">
        <v>387100.35966000444</v>
      </c>
      <c r="J113" s="136">
        <v>403712.2909576856</v>
      </c>
      <c r="K113" s="136">
        <v>420918.27034719405</v>
      </c>
      <c r="L113" s="136">
        <v>438824.8378169553</v>
      </c>
      <c r="M113" s="136">
        <v>458788.60261699045</v>
      </c>
    </row>
    <row r="114" spans="2:13" ht="16.5" customHeight="1" thickBot="1" thickTop="1">
      <c r="B114" s="7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</row>
    <row r="115" spans="2:13" ht="16.5" customHeight="1" thickBot="1" thickTop="1">
      <c r="B115" s="138" t="s">
        <v>25</v>
      </c>
      <c r="C115" s="135"/>
      <c r="D115" s="135">
        <v>72406.16666666666</v>
      </c>
      <c r="E115" s="135">
        <v>72406.16666666666</v>
      </c>
      <c r="F115" s="135">
        <v>70906.16666666666</v>
      </c>
      <c r="G115" s="135">
        <v>68279.5</v>
      </c>
      <c r="H115" s="135">
        <v>55779.5</v>
      </c>
      <c r="I115" s="135">
        <v>41519.5</v>
      </c>
      <c r="J115" s="135">
        <v>41519.5</v>
      </c>
      <c r="K115" s="135">
        <v>41519.5</v>
      </c>
      <c r="L115" s="135">
        <v>41519.5</v>
      </c>
      <c r="M115" s="135">
        <v>41519.5</v>
      </c>
    </row>
    <row r="116" spans="2:13" ht="16.5" customHeight="1" thickBot="1" thickTop="1">
      <c r="B116" s="7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2:13" s="130" customFormat="1" ht="16.5" customHeight="1" thickBot="1" thickTop="1">
      <c r="B117" s="126" t="s">
        <v>199</v>
      </c>
      <c r="C117" s="136">
        <v>-1594100</v>
      </c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</row>
    <row r="118" spans="2:13" ht="16.5" customHeight="1" thickBot="1" thickTop="1">
      <c r="B118" s="7" t="s">
        <v>114</v>
      </c>
      <c r="C118" s="125">
        <v>10920</v>
      </c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</row>
    <row r="119" spans="2:13" s="37" customFormat="1" ht="16.5" customHeight="1" thickBot="1" thickTop="1">
      <c r="B119" s="138" t="s">
        <v>70</v>
      </c>
      <c r="C119" s="135">
        <v>738880</v>
      </c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</row>
    <row r="120" spans="2:13" ht="16.5" customHeight="1" thickBot="1" thickTop="1">
      <c r="B120" s="7" t="s">
        <v>62</v>
      </c>
      <c r="C120" s="125">
        <v>500000</v>
      </c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</row>
    <row r="121" spans="2:13" ht="16.5" customHeight="1" thickBot="1" thickTop="1">
      <c r="B121" s="7" t="s">
        <v>72</v>
      </c>
      <c r="C121" s="125">
        <v>344300</v>
      </c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</row>
    <row r="122" spans="2:13" ht="16.5" customHeight="1" thickBot="1" thickTop="1">
      <c r="B122" s="7" t="s">
        <v>192</v>
      </c>
      <c r="C122" s="125"/>
      <c r="D122" s="125">
        <v>0</v>
      </c>
      <c r="E122" s="125">
        <v>-3000</v>
      </c>
      <c r="F122" s="125">
        <v>-80</v>
      </c>
      <c r="G122" s="125">
        <v>-53000</v>
      </c>
      <c r="H122" s="125">
        <v>-71300</v>
      </c>
      <c r="I122" s="125">
        <v>-3080</v>
      </c>
      <c r="J122" s="125">
        <v>0</v>
      </c>
      <c r="K122" s="125">
        <v>-53000</v>
      </c>
      <c r="L122" s="125">
        <v>-80</v>
      </c>
      <c r="M122" s="125">
        <v>-88500</v>
      </c>
    </row>
    <row r="123" spans="2:13" ht="16.5" customHeight="1" thickBot="1" thickTop="1">
      <c r="B123" s="7" t="s">
        <v>26</v>
      </c>
      <c r="C123" s="125">
        <v>-15000</v>
      </c>
      <c r="D123" s="125"/>
      <c r="E123" s="125"/>
      <c r="F123" s="125"/>
      <c r="G123" s="125"/>
      <c r="H123" s="125"/>
      <c r="I123" s="125"/>
      <c r="J123" s="125"/>
      <c r="K123" s="125"/>
      <c r="L123" s="125"/>
      <c r="M123" s="125">
        <v>15000</v>
      </c>
    </row>
    <row r="124" spans="2:13" ht="16.5" customHeight="1" thickBot="1" thickTop="1">
      <c r="B124" s="7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2:13" ht="16.5" customHeight="1" thickBot="1" thickTop="1">
      <c r="B125" s="138" t="s">
        <v>27</v>
      </c>
      <c r="C125" s="135">
        <v>802800</v>
      </c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</row>
    <row r="126" spans="2:13" ht="16.5" customHeight="1" thickBot="1" thickTop="1">
      <c r="B126" s="7" t="s">
        <v>28</v>
      </c>
      <c r="C126" s="125"/>
      <c r="D126" s="125">
        <v>-45746.8869875228</v>
      </c>
      <c r="E126" s="125">
        <v>-51236.51342602554</v>
      </c>
      <c r="F126" s="125">
        <v>-57384.8950371486</v>
      </c>
      <c r="G126" s="125">
        <v>-64271.08244160643</v>
      </c>
      <c r="H126" s="125">
        <v>-71983.61233459921</v>
      </c>
      <c r="I126" s="125">
        <v>-80621.6458147511</v>
      </c>
      <c r="J126" s="125">
        <v>-90296.24331252124</v>
      </c>
      <c r="K126" s="125">
        <v>-101131.79251002379</v>
      </c>
      <c r="L126" s="125">
        <v>-113267.60761122665</v>
      </c>
      <c r="M126" s="125">
        <v>-126859.72052457384</v>
      </c>
    </row>
    <row r="127" spans="2:13" ht="16.5" customHeight="1" thickBot="1" thickTop="1">
      <c r="B127" s="7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</row>
    <row r="128" spans="2:13" ht="16.5" customHeight="1" thickBot="1" thickTop="1">
      <c r="B128" s="126" t="s">
        <v>93</v>
      </c>
      <c r="C128" s="136">
        <v>-791300</v>
      </c>
      <c r="D128" s="136">
        <v>330072.16572385246</v>
      </c>
      <c r="E128" s="136">
        <v>325699.7591142269</v>
      </c>
      <c r="F128" s="136">
        <v>335038.5363771167</v>
      </c>
      <c r="G128" s="136">
        <v>288700.8261149911</v>
      </c>
      <c r="H128" s="136">
        <v>274025.5495462335</v>
      </c>
      <c r="I128" s="136">
        <v>344918.21384525334</v>
      </c>
      <c r="J128" s="136">
        <v>354935.54764516436</v>
      </c>
      <c r="K128" s="136">
        <v>308305.97783717024</v>
      </c>
      <c r="L128" s="136">
        <v>366996.7302057287</v>
      </c>
      <c r="M128" s="136">
        <v>299948.38209241664</v>
      </c>
    </row>
    <row r="129" ht="15.75" customHeight="1" thickTop="1"/>
    <row r="130" ht="15.75" thickBot="1">
      <c r="B130" s="130"/>
    </row>
    <row r="131" spans="2:3" ht="16.5" thickBot="1" thickTop="1">
      <c r="B131" s="126" t="s">
        <v>203</v>
      </c>
      <c r="C131" s="125">
        <f>(NPV(E137,D128:M128))+C128</f>
        <v>727776.9545177256</v>
      </c>
    </row>
    <row r="132" spans="2:3" ht="16.5" customHeight="1" thickBot="1" thickTop="1">
      <c r="B132" s="9" t="s">
        <v>224</v>
      </c>
      <c r="C132" s="139">
        <v>0.3928183521739978</v>
      </c>
    </row>
    <row r="133" spans="2:11" ht="16.5" customHeight="1" thickBot="1" thickTop="1">
      <c r="B133" s="130"/>
      <c r="G133" s="275" t="s">
        <v>173</v>
      </c>
      <c r="H133" s="276"/>
      <c r="I133" s="276"/>
      <c r="J133" s="276"/>
      <c r="K133" s="277"/>
    </row>
    <row r="134" spans="2:12" ht="46.5" customHeight="1" thickBot="1" thickTop="1">
      <c r="B134" s="130"/>
      <c r="G134" s="133" t="s">
        <v>174</v>
      </c>
      <c r="H134" s="133" t="s">
        <v>175</v>
      </c>
      <c r="I134" s="133" t="s">
        <v>176</v>
      </c>
      <c r="J134" s="133" t="s">
        <v>177</v>
      </c>
      <c r="K134" s="133" t="s">
        <v>178</v>
      </c>
      <c r="L134" s="144"/>
    </row>
    <row r="135" spans="7:12" ht="16.5" customHeight="1" thickBot="1" thickTop="1">
      <c r="G135" s="143">
        <v>0</v>
      </c>
      <c r="H135" s="143"/>
      <c r="I135" s="143"/>
      <c r="J135" s="143"/>
      <c r="K135" s="143"/>
      <c r="L135" s="131"/>
    </row>
    <row r="136" spans="7:12" ht="16.5" customHeight="1" thickBot="1" thickTop="1">
      <c r="G136" s="141">
        <v>1</v>
      </c>
      <c r="H136" s="142">
        <v>791300</v>
      </c>
      <c r="I136" s="142">
        <v>330072.16572385246</v>
      </c>
      <c r="J136" s="142">
        <v>131862.23200000002</v>
      </c>
      <c r="K136" s="142">
        <v>198209.93372385245</v>
      </c>
      <c r="L136" s="4"/>
    </row>
    <row r="137" spans="2:11" ht="16.5" customHeight="1" thickBot="1" thickTop="1">
      <c r="B137" s="126" t="s">
        <v>84</v>
      </c>
      <c r="C137" s="278" t="s">
        <v>79</v>
      </c>
      <c r="D137" s="279"/>
      <c r="E137" s="139">
        <v>0.16664</v>
      </c>
      <c r="G137" s="7">
        <v>2</v>
      </c>
      <c r="H137" s="7">
        <v>593090.0662761475</v>
      </c>
      <c r="I137" s="7">
        <v>325699.7591142269</v>
      </c>
      <c r="J137" s="7">
        <v>98832.52864425723</v>
      </c>
      <c r="K137" s="7">
        <v>226867.23046996968</v>
      </c>
    </row>
    <row r="138" spans="3:11" ht="16.5" customHeight="1" thickBot="1" thickTop="1">
      <c r="C138" s="280"/>
      <c r="D138" s="281"/>
      <c r="E138" s="282"/>
      <c r="G138" s="7">
        <v>3</v>
      </c>
      <c r="H138" s="7">
        <v>366222.8358061778</v>
      </c>
      <c r="I138" s="7">
        <v>335038.5363771167</v>
      </c>
      <c r="J138" s="7">
        <v>61027.373358741475</v>
      </c>
      <c r="K138" s="7">
        <v>274011.1630183752</v>
      </c>
    </row>
    <row r="139" spans="3:11" ht="16.5" customHeight="1" thickBot="1" thickTop="1">
      <c r="C139" s="278" t="s">
        <v>80</v>
      </c>
      <c r="D139" s="279"/>
      <c r="E139" s="139">
        <v>0.12</v>
      </c>
      <c r="G139" s="7">
        <v>4</v>
      </c>
      <c r="H139" s="7">
        <v>92211.67278780258</v>
      </c>
      <c r="I139" s="7">
        <v>288700.8261149911</v>
      </c>
      <c r="J139" s="7">
        <v>15366.153153359424</v>
      </c>
      <c r="K139" s="7">
        <v>273334.6729616317</v>
      </c>
    </row>
    <row r="140" spans="3:11" ht="16.5" customHeight="1" thickBot="1" thickTop="1">
      <c r="C140" s="278" t="s">
        <v>81</v>
      </c>
      <c r="D140" s="279"/>
      <c r="E140" s="139">
        <v>0.0883</v>
      </c>
      <c r="G140" s="7">
        <v>5</v>
      </c>
      <c r="H140" s="7">
        <v>-181123.0001738291</v>
      </c>
      <c r="I140" s="7">
        <v>274025.5495462335</v>
      </c>
      <c r="J140" s="7">
        <v>-30182.33674896688</v>
      </c>
      <c r="K140" s="7">
        <v>304207.8862952004</v>
      </c>
    </row>
    <row r="141" spans="3:11" ht="16.5" customHeight="1" thickBot="1" thickTop="1">
      <c r="C141" s="126" t="s">
        <v>82</v>
      </c>
      <c r="D141" s="7"/>
      <c r="E141" s="139">
        <v>0.25</v>
      </c>
      <c r="G141" s="7">
        <v>6</v>
      </c>
      <c r="H141" s="7">
        <v>-485330.8864690295</v>
      </c>
      <c r="I141" s="7">
        <v>344918.21384525334</v>
      </c>
      <c r="J141" s="7">
        <v>-80875.53892119907</v>
      </c>
      <c r="K141" s="7">
        <v>425793.7527664524</v>
      </c>
    </row>
    <row r="142" spans="3:11" ht="16.5" customHeight="1" thickBot="1" thickTop="1">
      <c r="C142" s="280"/>
      <c r="D142" s="281"/>
      <c r="E142" s="282"/>
      <c r="G142" s="7">
        <v>7</v>
      </c>
      <c r="H142" s="7">
        <v>-911124.6392354819</v>
      </c>
      <c r="I142" s="7">
        <v>354935.54764516436</v>
      </c>
      <c r="J142" s="7">
        <v>-151829.8098822007</v>
      </c>
      <c r="K142" s="7">
        <v>506765.3575273651</v>
      </c>
    </row>
    <row r="143" spans="3:11" ht="16.5" customHeight="1" thickBot="1" thickTop="1">
      <c r="C143" s="126" t="s">
        <v>83</v>
      </c>
      <c r="D143" s="7"/>
      <c r="E143" s="139">
        <v>0.16664</v>
      </c>
      <c r="G143" s="7">
        <v>8</v>
      </c>
      <c r="H143" s="7">
        <v>-1417889.996762847</v>
      </c>
      <c r="I143" s="7">
        <v>308305.97783717024</v>
      </c>
      <c r="J143" s="7">
        <v>-236277.18906056084</v>
      </c>
      <c r="K143" s="7">
        <v>544583.1668977311</v>
      </c>
    </row>
    <row r="144" spans="7:11" ht="16.5" customHeight="1" thickBot="1" thickTop="1">
      <c r="G144" s="7">
        <v>9</v>
      </c>
      <c r="H144" s="7">
        <v>-1962473.1636605782</v>
      </c>
      <c r="I144" s="7">
        <v>366996.7302057287</v>
      </c>
      <c r="J144" s="7">
        <v>-327026.52799239877</v>
      </c>
      <c r="K144" s="7">
        <v>694023.2581981274</v>
      </c>
    </row>
    <row r="145" spans="7:11" ht="16.5" customHeight="1" thickBot="1" thickTop="1">
      <c r="G145" s="7">
        <v>10</v>
      </c>
      <c r="H145" s="7">
        <v>-2656496.4218587056</v>
      </c>
      <c r="I145" s="7">
        <v>299948.38209241664</v>
      </c>
      <c r="J145" s="7">
        <v>-442678.56373853475</v>
      </c>
      <c r="K145" s="7">
        <v>742626.9458309514</v>
      </c>
    </row>
    <row r="146" ht="15.75" thickTop="1"/>
    <row r="149" ht="15.75" thickBot="1"/>
    <row r="150" ht="16.5" thickBot="1" thickTop="1">
      <c r="B150" s="145" t="s">
        <v>217</v>
      </c>
    </row>
    <row r="151" ht="16.5" thickBot="1" thickTop="1">
      <c r="F151" s="130" t="s">
        <v>220</v>
      </c>
    </row>
    <row r="152" spans="2:6" ht="16.5" thickBot="1" thickTop="1">
      <c r="B152" s="6" t="s">
        <v>88</v>
      </c>
      <c r="C152" s="105">
        <v>399130</v>
      </c>
      <c r="E152" s="16"/>
      <c r="F152" s="130" t="s">
        <v>221</v>
      </c>
    </row>
    <row r="153" spans="2:6" ht="16.5" thickBot="1" thickTop="1">
      <c r="B153" s="6" t="s">
        <v>94</v>
      </c>
      <c r="C153" s="42">
        <v>0.6</v>
      </c>
      <c r="D153" s="25">
        <f>$C$152*C153</f>
        <v>239478</v>
      </c>
      <c r="E153" s="16"/>
      <c r="F153" s="130" t="s">
        <v>222</v>
      </c>
    </row>
    <row r="154" spans="2:5" ht="16.5" thickBot="1" thickTop="1">
      <c r="B154" s="6" t="s">
        <v>95</v>
      </c>
      <c r="C154" s="42">
        <v>0.3</v>
      </c>
      <c r="E154" s="16"/>
    </row>
    <row r="155" spans="2:9" ht="16.5" thickBot="1" thickTop="1">
      <c r="B155" s="6" t="s">
        <v>96</v>
      </c>
      <c r="C155" s="43">
        <v>10</v>
      </c>
      <c r="E155" s="15"/>
      <c r="G155" s="127" t="s">
        <v>202</v>
      </c>
      <c r="H155" s="127" t="s">
        <v>218</v>
      </c>
      <c r="I155" s="127" t="s">
        <v>219</v>
      </c>
    </row>
    <row r="156" spans="2:9" ht="16.5" thickBot="1" thickTop="1">
      <c r="B156" s="6" t="s">
        <v>103</v>
      </c>
      <c r="C156" s="44">
        <v>0.02</v>
      </c>
      <c r="G156" s="102">
        <v>184354.4336970523</v>
      </c>
      <c r="H156" s="102">
        <v>-147226.12237927818</v>
      </c>
      <c r="I156" s="102">
        <f>-(G156+H156)</f>
        <v>-37128.31131777412</v>
      </c>
    </row>
    <row r="157" spans="2:3" ht="16.5" thickBot="1" thickTop="1">
      <c r="B157" s="6" t="s">
        <v>104</v>
      </c>
      <c r="C157" s="43">
        <v>1</v>
      </c>
    </row>
    <row r="158" spans="2:3" ht="16.5" thickBot="1" thickTop="1">
      <c r="B158" s="6" t="s">
        <v>97</v>
      </c>
      <c r="C158" s="44">
        <v>0.02</v>
      </c>
    </row>
    <row r="159" spans="2:3" ht="16.5" thickBot="1" thickTop="1">
      <c r="B159" s="6" t="s">
        <v>98</v>
      </c>
      <c r="C159" s="43">
        <v>2</v>
      </c>
    </row>
    <row r="160" ht="15.75" thickTop="1"/>
    <row r="161" ht="15.75" thickBot="1"/>
    <row r="162" spans="2:5" ht="16.5" thickBot="1" thickTop="1">
      <c r="B162" s="18" t="s">
        <v>0</v>
      </c>
      <c r="C162" s="18" t="s">
        <v>1</v>
      </c>
      <c r="D162" s="18" t="s">
        <v>2</v>
      </c>
      <c r="E162" s="18" t="s">
        <v>7</v>
      </c>
    </row>
    <row r="163" spans="2:5" ht="27" thickBot="1" thickTop="1">
      <c r="B163" s="17" t="s">
        <v>3</v>
      </c>
      <c r="C163" s="17" t="s">
        <v>195</v>
      </c>
      <c r="D163" s="17" t="s">
        <v>193</v>
      </c>
      <c r="E163" s="19">
        <v>1.5</v>
      </c>
    </row>
    <row r="164" spans="2:5" ht="27" thickBot="1" thickTop="1">
      <c r="B164" s="109" t="s">
        <v>4</v>
      </c>
      <c r="C164" s="17" t="s">
        <v>196</v>
      </c>
      <c r="D164" s="17" t="s">
        <v>194</v>
      </c>
      <c r="E164" s="19">
        <v>2</v>
      </c>
    </row>
    <row r="165" spans="2:5" ht="27" thickBot="1" thickTop="1">
      <c r="B165" s="214" t="s">
        <v>5</v>
      </c>
      <c r="C165" s="17" t="s">
        <v>197</v>
      </c>
      <c r="D165" s="17" t="s">
        <v>194</v>
      </c>
      <c r="E165" s="19">
        <v>2</v>
      </c>
    </row>
    <row r="166" spans="2:5" ht="27" thickBot="1" thickTop="1">
      <c r="B166" s="215"/>
      <c r="C166" s="101" t="s">
        <v>198</v>
      </c>
      <c r="D166" s="17" t="s">
        <v>6</v>
      </c>
      <c r="E166" s="19">
        <v>8</v>
      </c>
    </row>
    <row r="167" ht="15.75" thickTop="1"/>
    <row r="169" spans="2:13" ht="16.5" customHeight="1" thickBot="1" thickTop="1">
      <c r="B169" s="283" t="s">
        <v>172</v>
      </c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5"/>
    </row>
    <row r="170" ht="16.5" customHeight="1" thickBot="1" thickTop="1"/>
    <row r="171" spans="2:13" ht="16.5" customHeight="1" thickBot="1" thickTop="1">
      <c r="B171" s="137" t="s">
        <v>89</v>
      </c>
      <c r="C171" s="137">
        <v>0</v>
      </c>
      <c r="D171" s="137">
        <v>1</v>
      </c>
      <c r="E171" s="137">
        <v>2</v>
      </c>
      <c r="F171" s="137">
        <v>3</v>
      </c>
      <c r="G171" s="137">
        <v>4</v>
      </c>
      <c r="H171" s="137">
        <v>5</v>
      </c>
      <c r="I171" s="137">
        <v>6</v>
      </c>
      <c r="J171" s="137">
        <v>7</v>
      </c>
      <c r="K171" s="137">
        <v>8</v>
      </c>
      <c r="L171" s="137">
        <v>9</v>
      </c>
      <c r="M171" s="137">
        <v>10</v>
      </c>
    </row>
    <row r="172" spans="2:13" ht="16.5" customHeight="1" thickBot="1" thickTop="1">
      <c r="B172" s="7" t="s">
        <v>31</v>
      </c>
      <c r="C172" s="125"/>
      <c r="D172" s="125">
        <v>407759.92100790003</v>
      </c>
      <c r="E172" s="125">
        <v>407759.92100790003</v>
      </c>
      <c r="F172" s="125">
        <v>413876.3198230185</v>
      </c>
      <c r="G172" s="125">
        <v>420084.4646203637</v>
      </c>
      <c r="H172" s="125">
        <v>426385.7315896691</v>
      </c>
      <c r="I172" s="125">
        <v>432781.5175635141</v>
      </c>
      <c r="J172" s="125">
        <v>439273.2403269668</v>
      </c>
      <c r="K172" s="125">
        <v>445862.3389318713</v>
      </c>
      <c r="L172" s="125">
        <v>452550.27401584934</v>
      </c>
      <c r="M172" s="125">
        <v>459338.52812608704</v>
      </c>
    </row>
    <row r="173" spans="2:13" s="37" customFormat="1" ht="16.5" customHeight="1" thickBot="1" thickTop="1">
      <c r="B173" s="138" t="s">
        <v>15</v>
      </c>
      <c r="C173" s="135"/>
      <c r="D173" s="135">
        <v>134107.68</v>
      </c>
      <c r="E173" s="135">
        <v>134107.68</v>
      </c>
      <c r="F173" s="135">
        <v>136119.2952</v>
      </c>
      <c r="G173" s="135">
        <v>138161.08462799998</v>
      </c>
      <c r="H173" s="135">
        <v>140233.50089741996</v>
      </c>
      <c r="I173" s="135">
        <v>142337.00341088124</v>
      </c>
      <c r="J173" s="135">
        <v>144472.05846204446</v>
      </c>
      <c r="K173" s="135">
        <v>146639.1393389751</v>
      </c>
      <c r="L173" s="135">
        <v>148838.72642905972</v>
      </c>
      <c r="M173" s="135">
        <v>151071.3073254956</v>
      </c>
    </row>
    <row r="174" spans="2:13" ht="16.5" customHeight="1" thickBot="1" thickTop="1">
      <c r="B174" s="7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2:13" s="130" customFormat="1" ht="16.5" customHeight="1" thickBot="1" thickTop="1">
      <c r="B175" s="126" t="s">
        <v>18</v>
      </c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</row>
    <row r="176" spans="2:13" ht="16.5" customHeight="1" thickBot="1" thickTop="1">
      <c r="B176" s="7" t="s">
        <v>133</v>
      </c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2:13" s="37" customFormat="1" ht="16.5" customHeight="1" thickBot="1" thickTop="1">
      <c r="B177" s="138" t="s">
        <v>29</v>
      </c>
      <c r="C177" s="135"/>
      <c r="D177" s="135">
        <v>-160800</v>
      </c>
      <c r="E177" s="135">
        <v>-160800</v>
      </c>
      <c r="F177" s="135">
        <v>-160800</v>
      </c>
      <c r="G177" s="135">
        <v>-160800</v>
      </c>
      <c r="H177" s="135">
        <v>-160800</v>
      </c>
      <c r="I177" s="135">
        <v>-160800</v>
      </c>
      <c r="J177" s="135">
        <v>-160800</v>
      </c>
      <c r="K177" s="135">
        <v>-160800</v>
      </c>
      <c r="L177" s="135">
        <v>-160800</v>
      </c>
      <c r="M177" s="135">
        <v>-160800</v>
      </c>
    </row>
    <row r="178" spans="2:13" ht="16.5" customHeight="1" thickBot="1" thickTop="1">
      <c r="B178" s="7" t="s">
        <v>132</v>
      </c>
      <c r="C178" s="125"/>
      <c r="D178" s="125">
        <v>-4080</v>
      </c>
      <c r="E178" s="125">
        <v>-4080</v>
      </c>
      <c r="F178" s="125">
        <v>-4080</v>
      </c>
      <c r="G178" s="125">
        <v>-4080</v>
      </c>
      <c r="H178" s="125">
        <v>-4080</v>
      </c>
      <c r="I178" s="125">
        <v>-4080</v>
      </c>
      <c r="J178" s="125">
        <v>-4080</v>
      </c>
      <c r="K178" s="125">
        <v>-4080</v>
      </c>
      <c r="L178" s="125">
        <v>-4080</v>
      </c>
      <c r="M178" s="125">
        <v>-4080</v>
      </c>
    </row>
    <row r="179" spans="2:13" ht="16.5" customHeight="1" thickBot="1" thickTop="1">
      <c r="B179" s="7" t="s">
        <v>135</v>
      </c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2:13" ht="16.5" customHeight="1" thickBot="1" thickTop="1">
      <c r="B180" s="7" t="s">
        <v>166</v>
      </c>
      <c r="C180" s="125"/>
      <c r="D180" s="125">
        <v>-20040</v>
      </c>
      <c r="E180" s="125">
        <v>-20040</v>
      </c>
      <c r="F180" s="125">
        <v>-20040</v>
      </c>
      <c r="G180" s="125">
        <v>-20240.4</v>
      </c>
      <c r="H180" s="125">
        <v>-20442.804</v>
      </c>
      <c r="I180" s="125">
        <v>-20647.23204</v>
      </c>
      <c r="J180" s="125">
        <v>-20853.7043604</v>
      </c>
      <c r="K180" s="125">
        <v>-21062.241404004</v>
      </c>
      <c r="L180" s="125">
        <v>-21272.86381804404</v>
      </c>
      <c r="M180" s="125">
        <v>-21485.59245622448</v>
      </c>
    </row>
    <row r="181" spans="2:13" ht="16.5" customHeight="1" thickBot="1" thickTop="1">
      <c r="B181" s="7" t="s">
        <v>167</v>
      </c>
      <c r="C181" s="125"/>
      <c r="D181" s="125">
        <v>-23496</v>
      </c>
      <c r="E181" s="125">
        <v>-23496</v>
      </c>
      <c r="F181" s="125">
        <v>-23496</v>
      </c>
      <c r="G181" s="125">
        <v>-23730.96</v>
      </c>
      <c r="H181" s="125">
        <v>-23968.2696</v>
      </c>
      <c r="I181" s="125">
        <v>-24207.952296</v>
      </c>
      <c r="J181" s="125">
        <v>-24450.03181896</v>
      </c>
      <c r="K181" s="125">
        <v>-24694.5321371496</v>
      </c>
      <c r="L181" s="125">
        <v>-24941.477458521094</v>
      </c>
      <c r="M181" s="125">
        <v>-25190.892233106304</v>
      </c>
    </row>
    <row r="182" spans="2:13" ht="16.5" customHeight="1" thickBot="1" thickTop="1">
      <c r="B182" s="7" t="s">
        <v>168</v>
      </c>
      <c r="C182" s="125"/>
      <c r="D182" s="125">
        <v>-3000</v>
      </c>
      <c r="E182" s="125">
        <v>-3000</v>
      </c>
      <c r="F182" s="125">
        <v>-3044.9999999999995</v>
      </c>
      <c r="G182" s="125">
        <v>-3090.6749999999993</v>
      </c>
      <c r="H182" s="125">
        <v>-3137.035124999999</v>
      </c>
      <c r="I182" s="125">
        <v>-3184.0906518749985</v>
      </c>
      <c r="J182" s="125">
        <v>-3231.852011653123</v>
      </c>
      <c r="K182" s="125">
        <v>-3280.3297918279195</v>
      </c>
      <c r="L182" s="125">
        <v>-3329.534738705338</v>
      </c>
      <c r="M182" s="125">
        <v>-3379.477759785918</v>
      </c>
    </row>
    <row r="183" spans="2:13" ht="16.5" customHeight="1" thickBot="1" thickTop="1">
      <c r="B183" s="7" t="s">
        <v>51</v>
      </c>
      <c r="C183" s="125"/>
      <c r="D183" s="125">
        <v>-5500</v>
      </c>
      <c r="E183" s="125">
        <v>-5500</v>
      </c>
      <c r="F183" s="125">
        <v>-6050.000000000001</v>
      </c>
      <c r="G183" s="125">
        <v>-5500</v>
      </c>
      <c r="H183" s="125">
        <v>-5500</v>
      </c>
      <c r="I183" s="125">
        <v>-6050.000000000001</v>
      </c>
      <c r="J183" s="125">
        <v>-5500</v>
      </c>
      <c r="K183" s="125">
        <v>-5500</v>
      </c>
      <c r="L183" s="125">
        <v>-6050.000000000001</v>
      </c>
      <c r="M183" s="125">
        <v>-5500</v>
      </c>
    </row>
    <row r="184" spans="2:13" ht="16.5" customHeight="1" thickBot="1" thickTop="1">
      <c r="B184" s="7" t="s">
        <v>182</v>
      </c>
      <c r="C184" s="125"/>
      <c r="D184" s="125">
        <v>10020</v>
      </c>
      <c r="E184" s="125">
        <v>10020</v>
      </c>
      <c r="F184" s="125">
        <v>10020</v>
      </c>
      <c r="G184" s="125">
        <v>10020</v>
      </c>
      <c r="H184" s="125">
        <v>10020</v>
      </c>
      <c r="I184" s="125">
        <v>10020</v>
      </c>
      <c r="J184" s="125">
        <v>10020</v>
      </c>
      <c r="K184" s="125">
        <v>10020</v>
      </c>
      <c r="L184" s="125">
        <v>10020</v>
      </c>
      <c r="M184" s="125">
        <v>10020</v>
      </c>
    </row>
    <row r="185" spans="2:13" ht="16.5" customHeight="1" thickBot="1" thickTop="1">
      <c r="B185" s="7" t="s">
        <v>19</v>
      </c>
      <c r="C185" s="125"/>
      <c r="D185" s="125">
        <v>-72406.16666666666</v>
      </c>
      <c r="E185" s="125">
        <v>-72406.16666666666</v>
      </c>
      <c r="F185" s="125">
        <v>-70906.16666666666</v>
      </c>
      <c r="G185" s="125">
        <v>-68279.5</v>
      </c>
      <c r="H185" s="125">
        <v>-55779.5</v>
      </c>
      <c r="I185" s="125">
        <v>-41519.5</v>
      </c>
      <c r="J185" s="125">
        <v>-41519.5</v>
      </c>
      <c r="K185" s="125">
        <v>-41519.5</v>
      </c>
      <c r="L185" s="125">
        <v>-41519.5</v>
      </c>
      <c r="M185" s="125">
        <v>-41519.5</v>
      </c>
    </row>
    <row r="186" spans="2:13" ht="16.5" customHeight="1" thickBot="1" thickTop="1">
      <c r="B186" s="7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2:13" s="130" customFormat="1" ht="16.5" customHeight="1" thickBot="1" thickTop="1">
      <c r="B187" s="126" t="s">
        <v>20</v>
      </c>
      <c r="C187" s="136"/>
      <c r="D187" s="136">
        <v>262565.43434123334</v>
      </c>
      <c r="E187" s="136">
        <v>262565.43434123334</v>
      </c>
      <c r="F187" s="136">
        <v>271598.44835635193</v>
      </c>
      <c r="G187" s="136">
        <v>282544.0142483637</v>
      </c>
      <c r="H187" s="136">
        <v>302931.6237620891</v>
      </c>
      <c r="I187" s="136">
        <v>324649.7459865204</v>
      </c>
      <c r="J187" s="136">
        <v>333330.21059799823</v>
      </c>
      <c r="K187" s="136">
        <v>341584.8749378649</v>
      </c>
      <c r="L187" s="136">
        <v>349415.6244296387</v>
      </c>
      <c r="M187" s="136">
        <v>358474.373002466</v>
      </c>
    </row>
    <row r="188" spans="2:13" ht="16.5" customHeight="1" thickBot="1" thickTop="1">
      <c r="B188" s="7" t="s">
        <v>21</v>
      </c>
      <c r="C188" s="125"/>
      <c r="D188" s="125">
        <v>96336</v>
      </c>
      <c r="E188" s="125">
        <v>90846.37356149725</v>
      </c>
      <c r="F188" s="125">
        <v>84697.9919503742</v>
      </c>
      <c r="G188" s="125">
        <v>77811.80454591637</v>
      </c>
      <c r="H188" s="125">
        <v>70099.27465292359</v>
      </c>
      <c r="I188" s="125">
        <v>61461.24117277169</v>
      </c>
      <c r="J188" s="125">
        <v>51786.64367500156</v>
      </c>
      <c r="K188" s="125">
        <v>40951.094477499006</v>
      </c>
      <c r="L188" s="125">
        <v>28815.27937629615</v>
      </c>
      <c r="M188" s="125">
        <v>15223.166462948951</v>
      </c>
    </row>
    <row r="189" spans="2:13" ht="16.5" customHeight="1" thickBot="1" thickTop="1">
      <c r="B189" s="126" t="s">
        <v>22</v>
      </c>
      <c r="C189" s="125"/>
      <c r="D189" s="125">
        <v>166229.43434123334</v>
      </c>
      <c r="E189" s="125">
        <v>171719.0607797361</v>
      </c>
      <c r="F189" s="125">
        <v>186900.45640597772</v>
      </c>
      <c r="G189" s="125">
        <v>204732.2097024473</v>
      </c>
      <c r="H189" s="125">
        <v>232832.34910916555</v>
      </c>
      <c r="I189" s="125">
        <v>263188.5048137487</v>
      </c>
      <c r="J189" s="125">
        <v>281543.56692299666</v>
      </c>
      <c r="K189" s="125">
        <v>300633.7804603659</v>
      </c>
      <c r="L189" s="125">
        <v>320600.3450533425</v>
      </c>
      <c r="M189" s="125">
        <v>343251.20653951704</v>
      </c>
    </row>
    <row r="190" spans="2:13" ht="16.5" customHeight="1" thickBot="1" thickTop="1">
      <c r="B190" s="7" t="s">
        <v>23</v>
      </c>
      <c r="C190" s="125"/>
      <c r="D190" s="125">
        <v>41557.358585308335</v>
      </c>
      <c r="E190" s="125">
        <v>42929.76519493402</v>
      </c>
      <c r="F190" s="125">
        <v>46725.11410149443</v>
      </c>
      <c r="G190" s="125">
        <v>51183.05242561182</v>
      </c>
      <c r="H190" s="125">
        <v>58208.087277291386</v>
      </c>
      <c r="I190" s="125">
        <v>65797.12620343718</v>
      </c>
      <c r="J190" s="125">
        <v>70385.89173074916</v>
      </c>
      <c r="K190" s="125">
        <v>75158.44511509147</v>
      </c>
      <c r="L190" s="125">
        <v>80150.08626333563</v>
      </c>
      <c r="M190" s="125">
        <v>85812.80163487926</v>
      </c>
    </row>
    <row r="191" spans="2:13" ht="16.5" customHeight="1" thickBot="1" thickTop="1">
      <c r="B191" s="126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2:13" s="130" customFormat="1" ht="16.5" customHeight="1" thickBot="1" thickTop="1">
      <c r="B192" s="126" t="s">
        <v>24</v>
      </c>
      <c r="C192" s="136"/>
      <c r="D192" s="136">
        <v>124672.075755925</v>
      </c>
      <c r="E192" s="136">
        <v>128789.29558480206</v>
      </c>
      <c r="F192" s="136">
        <v>140175.3423044833</v>
      </c>
      <c r="G192" s="136">
        <v>153549.15727683547</v>
      </c>
      <c r="H192" s="136">
        <v>174624.26183187414</v>
      </c>
      <c r="I192" s="136">
        <v>197391.37861031154</v>
      </c>
      <c r="J192" s="136">
        <v>211157.6751922475</v>
      </c>
      <c r="K192" s="136">
        <v>225475.33534527442</v>
      </c>
      <c r="L192" s="136">
        <v>240450.2587900069</v>
      </c>
      <c r="M192" s="136">
        <v>257438.40490463778</v>
      </c>
    </row>
    <row r="193" spans="2:13" ht="16.5" customHeight="1" thickBot="1" thickTop="1">
      <c r="B193" s="7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2:13" s="37" customFormat="1" ht="16.5" customHeight="1" thickBot="1" thickTop="1">
      <c r="B194" s="138" t="s">
        <v>25</v>
      </c>
      <c r="C194" s="135"/>
      <c r="D194" s="135">
        <v>72406.16666666666</v>
      </c>
      <c r="E194" s="135">
        <v>72406.16666666666</v>
      </c>
      <c r="F194" s="135">
        <v>70906.16666666666</v>
      </c>
      <c r="G194" s="135">
        <v>68279.5</v>
      </c>
      <c r="H194" s="135">
        <v>55779.5</v>
      </c>
      <c r="I194" s="135">
        <v>41519.5</v>
      </c>
      <c r="J194" s="135">
        <v>41519.5</v>
      </c>
      <c r="K194" s="135">
        <v>41519.5</v>
      </c>
      <c r="L194" s="135">
        <v>41519.5</v>
      </c>
      <c r="M194" s="135">
        <v>41519.5</v>
      </c>
    </row>
    <row r="195" spans="2:13" ht="16.5" customHeight="1" thickBot="1" thickTop="1">
      <c r="B195" s="7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2:13" ht="16.5" customHeight="1" thickBot="1" thickTop="1">
      <c r="B196" s="7" t="s">
        <v>199</v>
      </c>
      <c r="C196" s="125">
        <v>-1594100</v>
      </c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2:13" ht="16.5" customHeight="1" thickBot="1" thickTop="1">
      <c r="B197" s="7" t="s">
        <v>114</v>
      </c>
      <c r="C197" s="125">
        <v>10920</v>
      </c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2:13" ht="16.5" customHeight="1" thickBot="1" thickTop="1">
      <c r="B198" s="126" t="s">
        <v>70</v>
      </c>
      <c r="C198" s="136">
        <v>738880</v>
      </c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2:13" ht="16.5" customHeight="1" thickBot="1" thickTop="1">
      <c r="B199" s="7" t="s">
        <v>62</v>
      </c>
      <c r="C199" s="125">
        <v>500000</v>
      </c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2:13" ht="16.5" customHeight="1" thickBot="1" thickTop="1">
      <c r="B200" s="7" t="s">
        <v>72</v>
      </c>
      <c r="C200" s="125">
        <v>344300</v>
      </c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2:13" ht="16.5" customHeight="1" thickBot="1" thickTop="1">
      <c r="B201" s="7" t="s">
        <v>192</v>
      </c>
      <c r="C201" s="125"/>
      <c r="D201" s="125">
        <v>0</v>
      </c>
      <c r="E201" s="125">
        <v>-3000</v>
      </c>
      <c r="F201" s="125">
        <v>-80</v>
      </c>
      <c r="G201" s="125">
        <v>-53000</v>
      </c>
      <c r="H201" s="125">
        <v>-71300</v>
      </c>
      <c r="I201" s="125">
        <v>-3080</v>
      </c>
      <c r="J201" s="125">
        <v>0</v>
      </c>
      <c r="K201" s="125">
        <v>-53000</v>
      </c>
      <c r="L201" s="125">
        <v>-80</v>
      </c>
      <c r="M201" s="125">
        <v>-88500</v>
      </c>
    </row>
    <row r="202" spans="2:13" ht="16.5" customHeight="1" thickBot="1" thickTop="1">
      <c r="B202" s="7" t="s">
        <v>26</v>
      </c>
      <c r="C202" s="125">
        <v>-15000</v>
      </c>
      <c r="D202" s="125"/>
      <c r="E202" s="125"/>
      <c r="F202" s="125"/>
      <c r="G202" s="125"/>
      <c r="H202" s="125"/>
      <c r="I202" s="125"/>
      <c r="J202" s="125"/>
      <c r="K202" s="125"/>
      <c r="L202" s="125"/>
      <c r="M202" s="125">
        <v>15000</v>
      </c>
    </row>
    <row r="203" spans="2:13" ht="16.5" customHeight="1" thickBot="1" thickTop="1">
      <c r="B203" s="7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2:13" s="37" customFormat="1" ht="16.5" customHeight="1" thickBot="1" thickTop="1">
      <c r="B204" s="138" t="s">
        <v>27</v>
      </c>
      <c r="C204" s="135">
        <v>802800</v>
      </c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2:13" ht="16.5" customHeight="1" thickBot="1" thickTop="1">
      <c r="B205" s="7" t="s">
        <v>28</v>
      </c>
      <c r="C205" s="125"/>
      <c r="D205" s="125">
        <v>-45746.8869875228</v>
      </c>
      <c r="E205" s="125">
        <v>-51236.51342602554</v>
      </c>
      <c r="F205" s="125">
        <v>-57384.8950371486</v>
      </c>
      <c r="G205" s="125">
        <v>-64271.08244160643</v>
      </c>
      <c r="H205" s="125">
        <v>-71983.61233459921</v>
      </c>
      <c r="I205" s="125">
        <v>-80621.6458147511</v>
      </c>
      <c r="J205" s="125">
        <v>-90296.24331252124</v>
      </c>
      <c r="K205" s="125">
        <v>-101131.79251002379</v>
      </c>
      <c r="L205" s="125">
        <v>-113267.60761122665</v>
      </c>
      <c r="M205" s="125">
        <v>-126859.72052457384</v>
      </c>
    </row>
    <row r="206" spans="2:13" ht="16.5" customHeight="1" thickBot="1" thickTop="1">
      <c r="B206" s="7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2:13" s="130" customFormat="1" ht="16.5" customHeight="1" thickBot="1" thickTop="1">
      <c r="B207" s="126" t="s">
        <v>93</v>
      </c>
      <c r="C207" s="136">
        <v>-791300</v>
      </c>
      <c r="D207" s="136">
        <v>151331.35543506886</v>
      </c>
      <c r="E207" s="136">
        <v>146958.9488254432</v>
      </c>
      <c r="F207" s="136">
        <v>153616.61393400136</v>
      </c>
      <c r="G207" s="136">
        <v>104557.57483522904</v>
      </c>
      <c r="H207" s="136">
        <v>87120.14949727494</v>
      </c>
      <c r="I207" s="136">
        <v>155209.23279556044</v>
      </c>
      <c r="J207" s="136">
        <v>162380.93187972624</v>
      </c>
      <c r="K207" s="136">
        <v>112863.04283525063</v>
      </c>
      <c r="L207" s="136">
        <v>168622.15117878022</v>
      </c>
      <c r="M207" s="136">
        <v>98598.18438006393</v>
      </c>
    </row>
    <row r="209" ht="15.75" thickBot="1">
      <c r="B209" s="130"/>
    </row>
    <row r="210" spans="2:3" ht="16.5" thickBot="1" thickTop="1">
      <c r="B210" s="126" t="s">
        <v>218</v>
      </c>
      <c r="C210" s="125">
        <f>(NPV(E216,D207:M207))+C207</f>
        <v>-147226.12237927818</v>
      </c>
    </row>
    <row r="211" spans="2:3" ht="16.5" thickBot="1" thickTop="1">
      <c r="B211" s="9" t="s">
        <v>225</v>
      </c>
      <c r="C211" s="139">
        <v>0.1124769807608962</v>
      </c>
    </row>
    <row r="212" spans="2:11" ht="16.5" customHeight="1" thickBot="1" thickTop="1">
      <c r="B212" s="130"/>
      <c r="G212" s="275" t="s">
        <v>173</v>
      </c>
      <c r="H212" s="276"/>
      <c r="I212" s="276"/>
      <c r="J212" s="276"/>
      <c r="K212" s="277"/>
    </row>
    <row r="213" spans="2:12" ht="46.5" customHeight="1" thickBot="1" thickTop="1">
      <c r="B213" s="130"/>
      <c r="G213" s="133" t="s">
        <v>174</v>
      </c>
      <c r="H213" s="133" t="s">
        <v>175</v>
      </c>
      <c r="I213" s="133" t="s">
        <v>176</v>
      </c>
      <c r="J213" s="133" t="s">
        <v>177</v>
      </c>
      <c r="K213" s="133" t="s">
        <v>178</v>
      </c>
      <c r="L213" s="144"/>
    </row>
    <row r="214" spans="7:12" ht="16.5" customHeight="1" thickBot="1" thickTop="1">
      <c r="G214" s="143">
        <v>0</v>
      </c>
      <c r="H214" s="143"/>
      <c r="I214" s="143"/>
      <c r="J214" s="143"/>
      <c r="K214" s="143"/>
      <c r="L214" s="131"/>
    </row>
    <row r="215" spans="7:12" ht="16.5" customHeight="1" thickBot="1" thickTop="1">
      <c r="G215" s="141">
        <v>1</v>
      </c>
      <c r="H215" s="142">
        <v>791300</v>
      </c>
      <c r="I215" s="142">
        <v>151331.35543506886</v>
      </c>
      <c r="J215" s="142">
        <v>131862.23200000002</v>
      </c>
      <c r="K215" s="142">
        <v>19469.123435068846</v>
      </c>
      <c r="L215" s="4"/>
    </row>
    <row r="216" spans="2:11" ht="16.5" customHeight="1" thickBot="1" thickTop="1">
      <c r="B216" s="126" t="s">
        <v>84</v>
      </c>
      <c r="C216" s="278" t="s">
        <v>79</v>
      </c>
      <c r="D216" s="279"/>
      <c r="E216" s="139">
        <v>0.16664</v>
      </c>
      <c r="G216" s="7">
        <v>2</v>
      </c>
      <c r="H216" s="7">
        <v>771830.8765649311</v>
      </c>
      <c r="I216" s="7">
        <v>146958.9488254432</v>
      </c>
      <c r="J216" s="7">
        <v>128617.89727078013</v>
      </c>
      <c r="K216" s="7">
        <v>18341.051554663063</v>
      </c>
    </row>
    <row r="217" spans="3:11" ht="16.5" customHeight="1" thickBot="1" thickTop="1">
      <c r="C217" s="280"/>
      <c r="D217" s="281"/>
      <c r="E217" s="282"/>
      <c r="G217" s="7">
        <v>3</v>
      </c>
      <c r="H217" s="7">
        <v>753489.825010268</v>
      </c>
      <c r="I217" s="7">
        <v>153616.61393400136</v>
      </c>
      <c r="J217" s="7">
        <v>125561.54443971107</v>
      </c>
      <c r="K217" s="7">
        <v>28055.069494290292</v>
      </c>
    </row>
    <row r="218" spans="3:11" ht="16.5" customHeight="1" thickBot="1" thickTop="1">
      <c r="C218" s="278" t="s">
        <v>80</v>
      </c>
      <c r="D218" s="279"/>
      <c r="E218" s="139">
        <v>0.12</v>
      </c>
      <c r="G218" s="7">
        <v>4</v>
      </c>
      <c r="H218" s="7">
        <v>725434.7555159777</v>
      </c>
      <c r="I218" s="7">
        <v>104557.57483522904</v>
      </c>
      <c r="J218" s="7">
        <v>120886.44765918254</v>
      </c>
      <c r="K218" s="7">
        <v>-16328.872823953498</v>
      </c>
    </row>
    <row r="219" spans="3:11" ht="16.5" customHeight="1" thickBot="1" thickTop="1">
      <c r="C219" s="278" t="s">
        <v>81</v>
      </c>
      <c r="D219" s="279"/>
      <c r="E219" s="139">
        <v>0.0883</v>
      </c>
      <c r="G219" s="7">
        <v>5</v>
      </c>
      <c r="H219" s="7">
        <v>741763.6283399313</v>
      </c>
      <c r="I219" s="7">
        <v>87120.14949727494</v>
      </c>
      <c r="J219" s="7">
        <v>123607.49102656615</v>
      </c>
      <c r="K219" s="7">
        <v>-36487.34152929121</v>
      </c>
    </row>
    <row r="220" spans="3:11" ht="16.5" customHeight="1" thickBot="1" thickTop="1">
      <c r="C220" s="126" t="s">
        <v>82</v>
      </c>
      <c r="D220" s="7"/>
      <c r="E220" s="139">
        <v>0.25</v>
      </c>
      <c r="G220" s="7">
        <v>6</v>
      </c>
      <c r="H220" s="7">
        <v>778250.9698692225</v>
      </c>
      <c r="I220" s="7">
        <v>155209.23279556044</v>
      </c>
      <c r="J220" s="7">
        <v>129687.74161900724</v>
      </c>
      <c r="K220" s="7">
        <v>25521.4911765532</v>
      </c>
    </row>
    <row r="221" spans="3:11" ht="16.5" customHeight="1" thickBot="1" thickTop="1">
      <c r="C221" s="280"/>
      <c r="D221" s="281"/>
      <c r="E221" s="282"/>
      <c r="G221" s="7">
        <v>7</v>
      </c>
      <c r="H221" s="7">
        <v>752729.4786926693</v>
      </c>
      <c r="I221" s="7">
        <v>162380.93187972624</v>
      </c>
      <c r="J221" s="7">
        <v>125434.84032934642</v>
      </c>
      <c r="K221" s="7">
        <v>36946.09155037982</v>
      </c>
    </row>
    <row r="222" spans="3:11" ht="16.5" customHeight="1" thickBot="1" thickTop="1">
      <c r="C222" s="126" t="s">
        <v>83</v>
      </c>
      <c r="D222" s="7"/>
      <c r="E222" s="139">
        <v>0.16664</v>
      </c>
      <c r="G222" s="7">
        <v>8</v>
      </c>
      <c r="H222" s="7">
        <v>715783.3871422894</v>
      </c>
      <c r="I222" s="7">
        <v>112863.04283525063</v>
      </c>
      <c r="J222" s="7">
        <v>119278.14363339111</v>
      </c>
      <c r="K222" s="7">
        <v>-6415.100798140484</v>
      </c>
    </row>
    <row r="223" spans="7:11" ht="16.5" customHeight="1" thickBot="1" thickTop="1">
      <c r="G223" s="7">
        <v>9</v>
      </c>
      <c r="H223" s="7">
        <v>722198.48794043</v>
      </c>
      <c r="I223" s="7">
        <v>168622.15117878022</v>
      </c>
      <c r="J223" s="7">
        <v>120347.15603039325</v>
      </c>
      <c r="K223" s="7">
        <v>48274.995148386966</v>
      </c>
    </row>
    <row r="224" spans="7:11" ht="16.5" customHeight="1" thickBot="1" thickTop="1">
      <c r="G224" s="7">
        <v>10</v>
      </c>
      <c r="H224" s="7">
        <v>673923.492792043</v>
      </c>
      <c r="I224" s="7">
        <v>98598.18438006393</v>
      </c>
      <c r="J224" s="7">
        <v>112302.61083886605</v>
      </c>
      <c r="K224" s="7">
        <v>-13704.426458802118</v>
      </c>
    </row>
    <row r="225" spans="7:11" ht="15.75" thickTop="1">
      <c r="G225" s="140"/>
      <c r="H225" s="140"/>
      <c r="I225" s="140"/>
      <c r="J225" s="140"/>
      <c r="K225" s="140"/>
    </row>
    <row r="226" spans="7:11" ht="15">
      <c r="G226" s="111"/>
      <c r="H226" s="111"/>
      <c r="I226" s="111"/>
      <c r="J226" s="111"/>
      <c r="K226" s="111"/>
    </row>
  </sheetData>
  <sheetProtection/>
  <mergeCells count="22">
    <mergeCell ref="B90:M90"/>
    <mergeCell ref="C69:E69"/>
    <mergeCell ref="B17:M17"/>
    <mergeCell ref="G60:K60"/>
    <mergeCell ref="C64:D64"/>
    <mergeCell ref="C65:E65"/>
    <mergeCell ref="C66:D66"/>
    <mergeCell ref="C67:D67"/>
    <mergeCell ref="C221:E221"/>
    <mergeCell ref="C218:D218"/>
    <mergeCell ref="C219:D219"/>
    <mergeCell ref="B169:M169"/>
    <mergeCell ref="C217:E217"/>
    <mergeCell ref="C142:E142"/>
    <mergeCell ref="B165:B166"/>
    <mergeCell ref="G212:K212"/>
    <mergeCell ref="C216:D216"/>
    <mergeCell ref="G133:K133"/>
    <mergeCell ref="C137:D137"/>
    <mergeCell ref="C138:E138"/>
    <mergeCell ref="C139:D139"/>
    <mergeCell ref="C140:D14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22">
      <selection activeCell="B30" sqref="B30:C37"/>
    </sheetView>
  </sheetViews>
  <sheetFormatPr defaultColWidth="11.421875" defaultRowHeight="15"/>
  <cols>
    <col min="2" max="2" width="14.00390625" style="0" customWidth="1"/>
    <col min="3" max="3" width="11.57421875" style="0" bestFit="1" customWidth="1"/>
    <col min="6" max="6" width="11.57421875" style="0" bestFit="1" customWidth="1"/>
    <col min="10" max="10" width="11.57421875" style="0" bestFit="1" customWidth="1"/>
    <col min="12" max="12" width="11.8515625" style="0" bestFit="1" customWidth="1"/>
  </cols>
  <sheetData>
    <row r="2" spans="2:10" ht="15">
      <c r="B2" s="305" t="s">
        <v>294</v>
      </c>
      <c r="C2" s="305"/>
      <c r="E2" s="305" t="s">
        <v>295</v>
      </c>
      <c r="F2" s="305"/>
      <c r="I2" s="305" t="s">
        <v>296</v>
      </c>
      <c r="J2" s="305"/>
    </row>
    <row r="3" spans="2:10" ht="15">
      <c r="B3" s="306" t="s">
        <v>292</v>
      </c>
      <c r="C3" s="306" t="s">
        <v>293</v>
      </c>
      <c r="E3" s="306" t="s">
        <v>292</v>
      </c>
      <c r="F3" s="306" t="s">
        <v>293</v>
      </c>
      <c r="I3" s="309" t="s">
        <v>292</v>
      </c>
      <c r="J3" s="306" t="s">
        <v>293</v>
      </c>
    </row>
    <row r="4" spans="2:10" ht="15">
      <c r="B4" s="307">
        <v>0.02</v>
      </c>
      <c r="C4" s="300">
        <v>300666.75</v>
      </c>
      <c r="E4" s="308">
        <v>0.015</v>
      </c>
      <c r="F4" s="300">
        <v>300666.75</v>
      </c>
      <c r="I4" s="307">
        <v>0</v>
      </c>
      <c r="J4" s="300">
        <v>300666.75</v>
      </c>
    </row>
    <row r="5" spans="2:10" ht="15">
      <c r="B5" s="307">
        <v>0.03</v>
      </c>
      <c r="C5" s="300">
        <v>312291.71</v>
      </c>
      <c r="E5" s="308">
        <v>0.025</v>
      </c>
      <c r="F5" s="300">
        <v>306069.91</v>
      </c>
      <c r="I5" s="307">
        <v>0.01</v>
      </c>
      <c r="J5" s="300">
        <v>317694.87</v>
      </c>
    </row>
    <row r="6" spans="2:10" ht="15">
      <c r="B6" s="307">
        <v>0.04</v>
      </c>
      <c r="C6" s="300">
        <v>324383.39</v>
      </c>
      <c r="E6" s="308">
        <v>0.035</v>
      </c>
      <c r="F6" s="300">
        <v>311689.9</v>
      </c>
      <c r="I6" s="307">
        <v>0.02</v>
      </c>
      <c r="J6" s="300">
        <v>335406.54</v>
      </c>
    </row>
    <row r="7" spans="2:10" ht="15">
      <c r="B7" s="307">
        <v>0.01</v>
      </c>
      <c r="C7" s="300">
        <v>289490.11</v>
      </c>
      <c r="E7" s="308">
        <v>0.005</v>
      </c>
      <c r="F7" s="300">
        <v>295471.86</v>
      </c>
      <c r="I7" s="307">
        <v>-0.01</v>
      </c>
      <c r="J7" s="300">
        <v>284295.22</v>
      </c>
    </row>
    <row r="8" spans="2:11" ht="15">
      <c r="B8" s="307">
        <v>-0.01</v>
      </c>
      <c r="C8" s="300">
        <v>268411.45</v>
      </c>
      <c r="E8" s="308">
        <v>-0.015</v>
      </c>
      <c r="F8" s="300">
        <v>285674.17</v>
      </c>
      <c r="I8" s="307">
        <v>-0.02</v>
      </c>
      <c r="J8" s="300">
        <v>268554.27</v>
      </c>
      <c r="K8" s="183"/>
    </row>
    <row r="9" spans="2:10" ht="15">
      <c r="B9" s="307">
        <v>-0.02</v>
      </c>
      <c r="C9" s="300">
        <v>258475.87</v>
      </c>
      <c r="E9" s="308">
        <v>-0.025</v>
      </c>
      <c r="F9" s="300">
        <v>281055.75</v>
      </c>
      <c r="I9" s="307">
        <v>-0.03</v>
      </c>
      <c r="J9" s="300">
        <v>253418.86</v>
      </c>
    </row>
    <row r="29" ht="15">
      <c r="C29" s="183"/>
    </row>
    <row r="30" spans="2:3" ht="15">
      <c r="B30" s="305" t="s">
        <v>297</v>
      </c>
      <c r="C30" s="305"/>
    </row>
    <row r="31" spans="2:3" ht="15">
      <c r="B31" s="306" t="s">
        <v>298</v>
      </c>
      <c r="C31" s="306" t="s">
        <v>293</v>
      </c>
    </row>
    <row r="32" spans="2:3" ht="15">
      <c r="B32" s="310">
        <v>0.193</v>
      </c>
      <c r="C32" s="311">
        <v>300666.75</v>
      </c>
    </row>
    <row r="33" spans="2:3" ht="15">
      <c r="B33" s="310">
        <v>0.203</v>
      </c>
      <c r="C33" s="311">
        <v>291391.02</v>
      </c>
    </row>
    <row r="34" spans="2:3" ht="15">
      <c r="B34" s="310">
        <v>0.213</v>
      </c>
      <c r="C34" s="311">
        <v>282555.82</v>
      </c>
    </row>
    <row r="35" spans="2:3" ht="15">
      <c r="B35" s="310">
        <v>0.183</v>
      </c>
      <c r="C35" s="311">
        <v>310409.43</v>
      </c>
    </row>
    <row r="36" spans="2:3" ht="15">
      <c r="B36" s="310">
        <v>0.173</v>
      </c>
      <c r="C36" s="311">
        <v>320647.07</v>
      </c>
    </row>
    <row r="37" spans="2:3" ht="15">
      <c r="B37" s="310">
        <v>0.163</v>
      </c>
      <c r="C37" s="311">
        <v>331409.41</v>
      </c>
    </row>
  </sheetData>
  <sheetProtection/>
  <mergeCells count="4">
    <mergeCell ref="B2:C2"/>
    <mergeCell ref="E2:F2"/>
    <mergeCell ref="I2:J2"/>
    <mergeCell ref="B30:C30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42"/>
    </sheetView>
  </sheetViews>
  <sheetFormatPr defaultColWidth="11.421875" defaultRowHeight="15"/>
  <cols>
    <col min="6" max="7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Noralma</dc:creator>
  <cp:keywords/>
  <dc:description/>
  <cp:lastModifiedBy>Familia</cp:lastModifiedBy>
  <cp:lastPrinted>2010-04-27T04:38:57Z</cp:lastPrinted>
  <dcterms:created xsi:type="dcterms:W3CDTF">2009-01-26T15:40:49Z</dcterms:created>
  <dcterms:modified xsi:type="dcterms:W3CDTF">2010-04-27T05:00:31Z</dcterms:modified>
  <cp:category/>
  <cp:version/>
  <cp:contentType/>
  <cp:contentStatus/>
</cp:coreProperties>
</file>