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595" windowHeight="8445" tabRatio="602" activeTab="0"/>
  </bookViews>
  <sheets>
    <sheet name="Posición Solar" sheetId="1" r:id="rId1"/>
    <sheet name="calculos" sheetId="2" r:id="rId2"/>
    <sheet name="SANOS" sheetId="3" r:id="rId3"/>
    <sheet name="Hoja de cálculo" sheetId="4" r:id="rId4"/>
    <sheet name="Hoja2" sheetId="5" r:id="rId5"/>
    <sheet name="NO SANOS" sheetId="6" r:id="rId6"/>
  </sheets>
  <externalReferences>
    <externalReference r:id="rId9"/>
  </externalReferences>
  <definedNames>
    <definedName name="_xlnm.Print_Area" localSheetId="3">'Hoja de cálculo'!$A$1:$O$30</definedName>
    <definedName name="_xlnm.Print_Area" localSheetId="4">'Hoja2'!$A$1:$N$17</definedName>
  </definedNames>
  <calcPr fullCalcOnLoad="1"/>
</workbook>
</file>

<file path=xl/sharedStrings.xml><?xml version="1.0" encoding="utf-8"?>
<sst xmlns="http://schemas.openxmlformats.org/spreadsheetml/2006/main" count="1339" uniqueCount="826">
  <si>
    <r>
      <t xml:space="preserve">i </t>
    </r>
    <r>
      <rPr>
        <sz val="9"/>
        <rFont val="Arial"/>
        <family val="0"/>
      </rPr>
      <t>Asilamiento Protector son aquellas salas usadas para pacientes inmunodreprimidos. La sala es positivamente presurizada para proteger al paciente. Antesalas son generalmente requeridas y deben estar presurizadas negativamente con respecto al cuarto del paciente.</t>
    </r>
  </si>
  <si>
    <r>
      <t>k</t>
    </r>
    <r>
      <rPr>
        <sz val="9"/>
        <rFont val="Arial"/>
        <family val="0"/>
      </rPr>
      <t xml:space="preserve"> La sala de Mantenimiento de cuerpos no refrigerads es solo para facilidades no para realizar autopsias in el sitio y usa el espacio por periodos cortos mientras se espera que el cuerpo sea transferido.</t>
    </r>
  </si>
  <si>
    <r>
      <t>l</t>
    </r>
    <r>
      <rPr>
        <sz val="9"/>
        <rFont val="Arial"/>
        <family val="0"/>
      </rPr>
      <t xml:space="preserve"> Centros de preparación de comida deben tener exceso de aire de suministro para presión posotiva sonde campanas de extracción no estan en operación. El número de cambios hora puede reducrse o variar para el control de olores cuando el espacio no esta en uso. El total mínimo de cambios hora debe ser el requerido para proveer una cortina de aire a la cocina que tiene un sistema de extracción. Ver capítulo de Ventilación de Cocinas.</t>
    </r>
  </si>
  <si>
    <t>Tipo de Servico</t>
  </si>
  <si>
    <t>Servico General</t>
  </si>
  <si>
    <t>Distribución en la Ciudad</t>
  </si>
  <si>
    <t>Alimentación de calderos</t>
  </si>
  <si>
    <t>Succión de Bombas en lineas de drenajes</t>
  </si>
  <si>
    <t>Velocidad, m/seg</t>
  </si>
  <si>
    <t>Referencia</t>
  </si>
  <si>
    <t>1.2 a 3.0</t>
  </si>
  <si>
    <t>0.6 a 1.5</t>
  </si>
  <si>
    <t>0.9 a 2.1</t>
  </si>
  <si>
    <t>1.8 a 4..6</t>
  </si>
  <si>
    <t>1.2 a 2.1</t>
  </si>
  <si>
    <t>a, d, c</t>
  </si>
  <si>
    <t>a, b</t>
  </si>
  <si>
    <t>c</t>
  </si>
  <si>
    <t>a, c</t>
  </si>
  <si>
    <t>a Cranes co. (1976)</t>
  </si>
  <si>
    <t>b Carrier (1960)</t>
  </si>
  <si>
    <t>c Grinnell Company (1951)</t>
  </si>
  <si>
    <t>Norte</t>
  </si>
  <si>
    <t>Orientación</t>
  </si>
  <si>
    <t>Alto</t>
  </si>
  <si>
    <t>Largo</t>
  </si>
  <si>
    <t>Dimensiones Paredes</t>
  </si>
  <si>
    <t>Dimensiones Vidrio</t>
  </si>
  <si>
    <t>Área Total (m2)</t>
  </si>
  <si>
    <t>Área Ft2</t>
  </si>
  <si>
    <t>FECHA</t>
  </si>
  <si>
    <t>TIEMPO SOLAR</t>
  </si>
  <si>
    <t>Posición Solar</t>
  </si>
  <si>
    <t>Altitud</t>
  </si>
  <si>
    <t>IDN</t>
  </si>
  <si>
    <t>A.M</t>
  </si>
  <si>
    <t>Grados</t>
  </si>
  <si>
    <t>Btu/h*Ft2</t>
  </si>
  <si>
    <t>SHFG</t>
  </si>
  <si>
    <t>FACTOR DE GANANCIA SOLAR (Btu/h*Ft2)</t>
  </si>
  <si>
    <t>N</t>
  </si>
  <si>
    <t>NE</t>
  </si>
  <si>
    <t>E</t>
  </si>
  <si>
    <t>SE</t>
  </si>
  <si>
    <t>O</t>
  </si>
  <si>
    <t>SO</t>
  </si>
  <si>
    <t>NO</t>
  </si>
  <si>
    <t>Horizontal</t>
  </si>
  <si>
    <t>Q (Btu/h)</t>
  </si>
  <si>
    <t>SC</t>
  </si>
  <si>
    <t>Upared</t>
  </si>
  <si>
    <t>Vidrio</t>
  </si>
  <si>
    <t>Pared</t>
  </si>
  <si>
    <t>Particiones</t>
  </si>
  <si>
    <t>Puertas</t>
  </si>
  <si>
    <t>Tumbado</t>
  </si>
  <si>
    <t>Techo</t>
  </si>
  <si>
    <t>A[(SC(SHGF)+U(To-Ti)]</t>
  </si>
  <si>
    <r>
      <t>UA(</t>
    </r>
    <r>
      <rPr>
        <sz val="10"/>
        <rFont val="Symbol"/>
        <family val="1"/>
      </rPr>
      <t>D</t>
    </r>
    <r>
      <rPr>
        <sz val="10"/>
        <rFont val="Arial"/>
        <family val="0"/>
      </rPr>
      <t>t)</t>
    </r>
  </si>
  <si>
    <t>Luces</t>
  </si>
  <si>
    <t>Sensible</t>
  </si>
  <si>
    <t>Latente</t>
  </si>
  <si>
    <t>Ganancia de calor (btu/h)</t>
  </si>
  <si>
    <t>Uparticion</t>
  </si>
  <si>
    <r>
      <t>UA(</t>
    </r>
    <r>
      <rPr>
        <sz val="10"/>
        <rFont val="Symbol"/>
        <family val="1"/>
      </rPr>
      <t>D</t>
    </r>
    <r>
      <rPr>
        <sz val="10"/>
        <rFont val="Arial"/>
        <family val="0"/>
      </rPr>
      <t>Tequivalente1)</t>
    </r>
  </si>
  <si>
    <r>
      <t>UA(</t>
    </r>
    <r>
      <rPr>
        <sz val="10"/>
        <rFont val="Symbol"/>
        <family val="1"/>
      </rPr>
      <t>D</t>
    </r>
    <r>
      <rPr>
        <sz val="10"/>
        <rFont val="Arial"/>
        <family val="0"/>
      </rPr>
      <t>Tequivalente2)</t>
    </r>
  </si>
  <si>
    <r>
      <t>UA(</t>
    </r>
    <r>
      <rPr>
        <sz val="10"/>
        <rFont val="Symbol"/>
        <family val="1"/>
      </rPr>
      <t>D</t>
    </r>
    <r>
      <rPr>
        <sz val="10"/>
        <rFont val="Arial"/>
        <family val="0"/>
      </rPr>
      <t>Tequivalente3)</t>
    </r>
  </si>
  <si>
    <t>tiempo</t>
  </si>
  <si>
    <t>NORTE</t>
  </si>
  <si>
    <t>ºF</t>
  </si>
  <si>
    <t>ºC</t>
  </si>
  <si>
    <t>pag 73 libro espol</t>
  </si>
  <si>
    <t>S</t>
  </si>
  <si>
    <t xml:space="preserve">NE </t>
  </si>
  <si>
    <t>HORIZONTAL</t>
  </si>
  <si>
    <t>To ºF</t>
  </si>
  <si>
    <t>Ti ºF</t>
  </si>
  <si>
    <t>Uvidrio (Btu/hºFft2)</t>
  </si>
  <si>
    <t>SHGCF (Btu/hft2)</t>
  </si>
  <si>
    <t>Avidrio (ft2)</t>
  </si>
  <si>
    <t>Apared (ft2)</t>
  </si>
  <si>
    <t>PM</t>
  </si>
  <si>
    <t>Calculo de U Ejemplo 4</t>
  </si>
  <si>
    <t>Aire externo</t>
  </si>
  <si>
    <t>Cemento (1/2")</t>
  </si>
  <si>
    <t>Bloque d Concreto (8")</t>
  </si>
  <si>
    <t>Gypsum (1/2")</t>
  </si>
  <si>
    <t>Ladrillo de Frente (4")</t>
  </si>
  <si>
    <t>Aire interno</t>
  </si>
  <si>
    <t>Total resistencias</t>
  </si>
  <si>
    <t>U pared</t>
  </si>
  <si>
    <t>Totales</t>
  </si>
  <si>
    <t>Qvidrio (norte)</t>
  </si>
  <si>
    <r>
      <t>D</t>
    </r>
    <r>
      <rPr>
        <sz val="10"/>
        <rFont val="Arial"/>
        <family val="0"/>
      </rPr>
      <t>Tequivalente1</t>
    </r>
  </si>
  <si>
    <t>TOTAL</t>
  </si>
  <si>
    <t>PROMEDIO</t>
  </si>
  <si>
    <t>U partición</t>
  </si>
  <si>
    <t>Aire Interno</t>
  </si>
  <si>
    <t>Ladrillo Común (4")</t>
  </si>
  <si>
    <t>Cemeto (1/2")</t>
  </si>
  <si>
    <t>Ejemplo 2</t>
  </si>
  <si>
    <t>Q (partición)</t>
  </si>
  <si>
    <r>
      <t>(</t>
    </r>
    <r>
      <rPr>
        <sz val="10"/>
        <rFont val="Symbol"/>
        <family val="1"/>
      </rPr>
      <t>D</t>
    </r>
    <r>
      <rPr>
        <sz val="10"/>
        <rFont val="Arial"/>
        <family val="0"/>
      </rPr>
      <t>t)</t>
    </r>
  </si>
  <si>
    <t>Ancho</t>
  </si>
  <si>
    <t>2 puertas</t>
  </si>
  <si>
    <t>Upuerta (tabla 4-16 libro de Burgues)</t>
  </si>
  <si>
    <t>Q (puerta)</t>
  </si>
  <si>
    <t>Área a Climatizar (ft2)</t>
  </si>
  <si>
    <t>Q (tumbado)</t>
  </si>
  <si>
    <t>Gypsum</t>
  </si>
  <si>
    <t>U Techo</t>
  </si>
  <si>
    <t xml:space="preserve">Espacio de Aire </t>
  </si>
  <si>
    <t>Total de Resistencia</t>
  </si>
  <si>
    <t>U techo</t>
  </si>
  <si>
    <t>ver pag 144</t>
  </si>
  <si>
    <t>o ejemplo</t>
  </si>
  <si>
    <t>tiempo AM</t>
  </si>
  <si>
    <t>tiempo PM</t>
  </si>
  <si>
    <t>Qpared (norte) pared 60lb/ft2</t>
  </si>
  <si>
    <t>Ti</t>
  </si>
  <si>
    <t>To</t>
  </si>
  <si>
    <t>Tp</t>
  </si>
  <si>
    <t>Temperatura de cuartos cercanos, asumiendo grados más</t>
  </si>
  <si>
    <t>Área Tumbado y Techo</t>
  </si>
  <si>
    <t>HOJA DE CALCULO DE CARGA DE ENFRIAMIENTO</t>
  </si>
  <si>
    <t>Localización:</t>
  </si>
  <si>
    <t>Vía Samborondon (Guayaquil)</t>
  </si>
  <si>
    <t>ºF Bulbo seco</t>
  </si>
  <si>
    <t>ºF bulbo humedo</t>
  </si>
  <si>
    <t>Cuarto</t>
  </si>
  <si>
    <t>Pared Expuesta (pies)</t>
  </si>
  <si>
    <t>Altura al tumbado (pies)</t>
  </si>
  <si>
    <t>b</t>
  </si>
  <si>
    <t>Pisos</t>
  </si>
  <si>
    <t>Personas</t>
  </si>
  <si>
    <t>Equipos</t>
  </si>
  <si>
    <t>Ventilación</t>
  </si>
  <si>
    <t xml:space="preserve">Luces </t>
  </si>
  <si>
    <t>Q (Btu/h) sensible</t>
  </si>
  <si>
    <t>Q (Btu/h) latente</t>
  </si>
  <si>
    <t>Aparatos eléctrico (esterilizador)</t>
  </si>
  <si>
    <t>3 Personas</t>
  </si>
  <si>
    <t>Temperatura Exterior de Guayaquil</t>
  </si>
  <si>
    <t>7am</t>
  </si>
  <si>
    <t>8am</t>
  </si>
  <si>
    <t>9am</t>
  </si>
  <si>
    <t>10am</t>
  </si>
  <si>
    <t>11am</t>
  </si>
  <si>
    <t>12m</t>
  </si>
  <si>
    <t>1pm</t>
  </si>
  <si>
    <t>2pm</t>
  </si>
  <si>
    <t>3pm</t>
  </si>
  <si>
    <t>4pm</t>
  </si>
  <si>
    <t>5pm</t>
  </si>
  <si>
    <t>0,33 cfm/ft2</t>
  </si>
  <si>
    <t>25 cfm por persona</t>
  </si>
  <si>
    <t>Ventilación (folleto pag 256)0 tabla10-4 burgues</t>
  </si>
  <si>
    <t>PARTICIONES</t>
  </si>
  <si>
    <t>1,25*3413 por KW</t>
  </si>
  <si>
    <t>ALTITUD</t>
  </si>
  <si>
    <t>AZIUMUTH SOL</t>
  </si>
  <si>
    <t>AZIMUTH SOL-PARED</t>
  </si>
  <si>
    <t>AZIMUTH PARED</t>
  </si>
  <si>
    <t>Fd</t>
  </si>
  <si>
    <t>fd</t>
  </si>
  <si>
    <t>IDN(Fd+fd)</t>
  </si>
  <si>
    <t>JUNIO21 - 7AM</t>
  </si>
  <si>
    <t>ENERO21-7AM</t>
  </si>
  <si>
    <t>Azimuth</t>
  </si>
  <si>
    <t>ft2</t>
  </si>
  <si>
    <t>Área (m2)</t>
  </si>
  <si>
    <t>pared</t>
  </si>
  <si>
    <t>puerta</t>
  </si>
  <si>
    <t>piso</t>
  </si>
  <si>
    <t>Q (vidrio)</t>
  </si>
  <si>
    <t>Tp2</t>
  </si>
  <si>
    <t>Q (partición2)</t>
  </si>
  <si>
    <t>Q(piso)</t>
  </si>
  <si>
    <t>ventilación</t>
  </si>
  <si>
    <t>2cfm/ft2</t>
  </si>
  <si>
    <t>Pared expuesta</t>
  </si>
  <si>
    <t>Vidrio Expuesto</t>
  </si>
  <si>
    <t>Particiones 1,2,3,4</t>
  </si>
  <si>
    <t>Partición 5</t>
  </si>
  <si>
    <t>Divisiones 1, 2, 3, 4</t>
  </si>
  <si>
    <t>Division 5</t>
  </si>
  <si>
    <t>Altura</t>
  </si>
  <si>
    <t>Área Mt2</t>
  </si>
  <si>
    <t xml:space="preserve">Tumbado </t>
  </si>
  <si>
    <t>Suelo</t>
  </si>
  <si>
    <t>Puertas (2)</t>
  </si>
  <si>
    <t>Personas Adultas en espacio</t>
  </si>
  <si>
    <t xml:space="preserve">Equipos </t>
  </si>
  <si>
    <t>6 fluorescentes (100 W cada una)</t>
  </si>
  <si>
    <t>1 Esterilizador</t>
  </si>
  <si>
    <t>in</t>
  </si>
  <si>
    <t>mm</t>
  </si>
  <si>
    <t>3/32 to 1/4</t>
  </si>
  <si>
    <t>1/4 to 1/2</t>
  </si>
  <si>
    <t>. 1/8</t>
  </si>
  <si>
    <t>2 to 6</t>
  </si>
  <si>
    <t>3   6</t>
  </si>
  <si>
    <t>5   6</t>
  </si>
  <si>
    <t>6   13</t>
  </si>
  <si>
    <t>3/16 to 1/4</t>
  </si>
  <si>
    <t>1/8 to 1/4</t>
  </si>
  <si>
    <t>3/8,</t>
  </si>
  <si>
    <t>3  6</t>
  </si>
  <si>
    <t>5  6</t>
  </si>
  <si>
    <t xml:space="preserve">Solar </t>
  </si>
  <si>
    <t>0,87  0,80</t>
  </si>
  <si>
    <t>0,80  0,71</t>
  </si>
  <si>
    <t>0,87  0,79</t>
  </si>
  <si>
    <t>0,74  0,71</t>
  </si>
  <si>
    <t>0,59  0,45</t>
  </si>
  <si>
    <t>0,44  0,30</t>
  </si>
  <si>
    <t>0,29  0,15</t>
  </si>
  <si>
    <t>Exterior</t>
  </si>
  <si>
    <t>Interior</t>
  </si>
  <si>
    <t>BTU</t>
  </si>
  <si>
    <t>hr-ft2-F</t>
  </si>
  <si>
    <t>W</t>
  </si>
  <si>
    <t>m2-C</t>
  </si>
  <si>
    <t>tiempo (horas)</t>
  </si>
  <si>
    <t>Qtotal por mes</t>
  </si>
  <si>
    <t>Qtotal año</t>
  </si>
  <si>
    <t>Promedio diseño</t>
  </si>
  <si>
    <t>Qtotales</t>
  </si>
  <si>
    <t>Qpromedio hora</t>
  </si>
  <si>
    <t>Qpromedio mes</t>
  </si>
  <si>
    <t>Promedio año por hora y por día</t>
  </si>
  <si>
    <t>ORIENTACIÓN</t>
  </si>
  <si>
    <t>PESO DE LA PARED</t>
  </si>
  <si>
    <t>lb/ft2</t>
  </si>
  <si>
    <t>TIEMPO</t>
  </si>
  <si>
    <t>A.M.</t>
  </si>
  <si>
    <t>TECHO</t>
  </si>
  <si>
    <t>TABLA DE DIFERENCIAS DE TEMPERATURA EQUIVALENTS (GRADOS F)</t>
  </si>
  <si>
    <t>Q (partición 5)</t>
  </si>
  <si>
    <t>U Piso</t>
  </si>
  <si>
    <t>Concreto (2")</t>
  </si>
  <si>
    <t>COEFICIENTES DE TRANSMISIÓN (U) PARA PUERTAS DE MADERA SOLIDA</t>
  </si>
  <si>
    <t>Espesor Nominal</t>
  </si>
  <si>
    <t>(plg)</t>
  </si>
  <si>
    <t>Espesor Real</t>
  </si>
  <si>
    <t>U*+</t>
  </si>
  <si>
    <t>Puerta Expuesta</t>
  </si>
  <si>
    <t>Puerta con vidrio guardapuerta·</t>
  </si>
  <si>
    <t>1  1/2</t>
  </si>
  <si>
    <t>25/32</t>
  </si>
  <si>
    <t>* Calculado usando k = 1,10 (para madera); fi 0=1,46, fo = 6,0; 1,03 para espacio de aire.</t>
  </si>
  <si>
    <t>· 50 % de vidrio y entrepaños delgados de madera.</t>
  </si>
  <si>
    <r>
      <t>,</t>
    </r>
    <r>
      <rPr>
        <sz val="8"/>
        <rFont val="Arial"/>
        <family val="0"/>
      </rPr>
      <t>+ Se puede usar un valor de 0,85 para U para puertas simples y expuestas con entrepaños de madera o entrepaños simples de vidrio guardapuertas</t>
    </r>
  </si>
  <si>
    <r>
      <t>Qs+Q</t>
    </r>
    <r>
      <rPr>
        <sz val="8"/>
        <rFont val="Arial"/>
        <family val="2"/>
      </rPr>
      <t>L</t>
    </r>
  </si>
  <si>
    <t>Qvs</t>
  </si>
  <si>
    <t>Facto de desviación</t>
  </si>
  <si>
    <t>humedad relativa externa</t>
  </si>
  <si>
    <t>humedad relativa interna</t>
  </si>
  <si>
    <t>SHR</t>
  </si>
  <si>
    <t>Td</t>
  </si>
  <si>
    <t>F</t>
  </si>
  <si>
    <t>Ts (F)</t>
  </si>
  <si>
    <r>
      <t>Qv</t>
    </r>
    <r>
      <rPr>
        <sz val="8"/>
        <rFont val="Arial"/>
        <family val="2"/>
      </rPr>
      <t>LT</t>
    </r>
  </si>
  <si>
    <r>
      <t>Qvs</t>
    </r>
    <r>
      <rPr>
        <sz val="8"/>
        <rFont val="Arial"/>
        <family val="2"/>
      </rPr>
      <t>T</t>
    </r>
  </si>
  <si>
    <t>Qtotal</t>
  </si>
  <si>
    <t>Partición 1</t>
  </si>
  <si>
    <t>Partición 2</t>
  </si>
  <si>
    <t>Piso</t>
  </si>
  <si>
    <t>Aparatos eléctrico (esterilizadores)</t>
  </si>
  <si>
    <t>CFM</t>
  </si>
  <si>
    <t>TD</t>
  </si>
  <si>
    <t>Qvl</t>
  </si>
  <si>
    <t>Wi</t>
  </si>
  <si>
    <t>Wo</t>
  </si>
  <si>
    <t>SHR2</t>
  </si>
  <si>
    <t>QT</t>
  </si>
  <si>
    <t>Infiltración</t>
  </si>
  <si>
    <t xml:space="preserve">infiltración </t>
  </si>
  <si>
    <t>tabla 41 cap 6 tomo 1 carrier</t>
  </si>
  <si>
    <t>cfm por persona</t>
  </si>
  <si>
    <t xml:space="preserve">personas </t>
  </si>
  <si>
    <t>Qs</t>
  </si>
  <si>
    <t>QL</t>
  </si>
  <si>
    <t>Winterior fuera del cuarto (CFM)</t>
  </si>
  <si>
    <t>TS</t>
  </si>
  <si>
    <t>Ts</t>
  </si>
  <si>
    <r>
      <t>Qv</t>
    </r>
    <r>
      <rPr>
        <sz val="8"/>
        <color indexed="10"/>
        <rFont val="Arial"/>
        <family val="0"/>
      </rPr>
      <t>L</t>
    </r>
  </si>
  <si>
    <r>
      <t>Qvs</t>
    </r>
    <r>
      <rPr>
        <sz val="8"/>
        <color indexed="10"/>
        <rFont val="Arial"/>
        <family val="0"/>
      </rPr>
      <t>2</t>
    </r>
  </si>
  <si>
    <r>
      <t>Qv</t>
    </r>
    <r>
      <rPr>
        <sz val="8"/>
        <color indexed="10"/>
        <rFont val="Arial"/>
        <family val="0"/>
      </rPr>
      <t>L2</t>
    </r>
  </si>
  <si>
    <t>Cemento (1/2")*2</t>
  </si>
  <si>
    <t>Aparatos eléctrico (incubadoras y termocunas 3)</t>
  </si>
  <si>
    <t>Luces 7 FLOURESCENTES</t>
  </si>
  <si>
    <t>Espacio de Aire</t>
  </si>
  <si>
    <t>hy</t>
  </si>
  <si>
    <t>5 Personas</t>
  </si>
  <si>
    <t>vidrio</t>
  </si>
  <si>
    <t>Trabjo No.</t>
  </si>
  <si>
    <t>Bulbo Seco (F)</t>
  </si>
  <si>
    <t>Bulbo Humedo (F)</t>
  </si>
  <si>
    <t>Temperatura Exterior</t>
  </si>
  <si>
    <t>Tempertura de Diseño</t>
  </si>
  <si>
    <t>Paredes del cuarto y Vidrio</t>
  </si>
  <si>
    <t>Área (ft2)</t>
  </si>
  <si>
    <t>U</t>
  </si>
  <si>
    <t>Q Sensible</t>
  </si>
  <si>
    <t>Q Latente</t>
  </si>
  <si>
    <t>Paredes Expuestas</t>
  </si>
  <si>
    <t>Sur</t>
  </si>
  <si>
    <t>Este</t>
  </si>
  <si>
    <t>Oeste</t>
  </si>
  <si>
    <t>Otra</t>
  </si>
  <si>
    <t>Particiones pared</t>
  </si>
  <si>
    <t>Partición Vidrio</t>
  </si>
  <si>
    <t>Equipos (Btu/h)</t>
  </si>
  <si>
    <t>Carga Total de enfriamiento</t>
  </si>
  <si>
    <t>Temperatura de Suministro</t>
  </si>
  <si>
    <t>Niños No sanos</t>
  </si>
  <si>
    <t>Área de Cuarto (ft2)</t>
  </si>
  <si>
    <t>Otros</t>
  </si>
  <si>
    <t>CANTIDAD</t>
  </si>
  <si>
    <t xml:space="preserve">FACTOR </t>
  </si>
  <si>
    <t>Fluorescentes/Incandescentes</t>
  </si>
  <si>
    <t>Carga</t>
  </si>
  <si>
    <t>Factor By Pass del equipo</t>
  </si>
  <si>
    <t>Luces (Kw)</t>
  </si>
  <si>
    <t>Totales Qsensible/Q latente( internos)</t>
  </si>
  <si>
    <t>Sanos</t>
  </si>
  <si>
    <t>Ventanas Expuestas</t>
  </si>
  <si>
    <t>Temperatura Promedio
Guayaquil (ºF)</t>
  </si>
  <si>
    <t>Dimensiones de pared y vidrio</t>
  </si>
  <si>
    <t>Cant.</t>
  </si>
  <si>
    <t>80ºF Bulbo húmedo</t>
  </si>
  <si>
    <r>
      <t>D</t>
    </r>
    <r>
      <rPr>
        <sz val="10"/>
        <rFont val="Arial"/>
        <family val="0"/>
      </rPr>
      <t>T</t>
    </r>
  </si>
  <si>
    <t>Q (sensible)
Btu/h</t>
  </si>
  <si>
    <t>Q (latente)
Btu/h</t>
  </si>
  <si>
    <t>Factor</t>
  </si>
  <si>
    <t>Luminarias (W)</t>
  </si>
  <si>
    <t>Carga total de enfriamiento del Cuarto</t>
  </si>
  <si>
    <t>Carga Total de Enfriamiento Latente por Ventilación</t>
  </si>
  <si>
    <t>Carga Total de Enfriamiento Sensible por Ventilación</t>
  </si>
  <si>
    <t>Carga Total de Enfriamiento Necesaria</t>
  </si>
  <si>
    <t>Dimensión del Cuarto (pies2)</t>
  </si>
  <si>
    <r>
      <t xml:space="preserve">Temperatura Exterio de diseño: </t>
    </r>
    <r>
      <rPr>
        <sz val="10"/>
        <rFont val="Arial"/>
        <family val="2"/>
      </rPr>
      <t>92 ºF Bulbo Seco</t>
    </r>
  </si>
  <si>
    <t>Trabajo No: TESIS (neonatos Sanos)</t>
  </si>
  <si>
    <r>
      <t>Temperatura Interior de Diseño:</t>
    </r>
    <r>
      <rPr>
        <sz val="10"/>
        <rFont val="Arial"/>
        <family val="2"/>
      </rPr>
      <t xml:space="preserve"> 74</t>
    </r>
  </si>
  <si>
    <t>NO SANOS</t>
  </si>
  <si>
    <t>Factor de Funcionamiento</t>
  </si>
  <si>
    <t>Ventanas no Expuestas</t>
  </si>
  <si>
    <t>Trabajo No: TESIS (neonatos NO Sanos)</t>
  </si>
  <si>
    <t>COEFICIENTES DE SOMBRA PARA VIDRIOS SENCILLOS CON SOMBRA INTERNA POR PERSIANAS VENECIANAS</t>
  </si>
  <si>
    <t>Tipo de Sombra</t>
  </si>
  <si>
    <t>Sombra</t>
  </si>
  <si>
    <t>Venecianas Cerradas</t>
  </si>
  <si>
    <t>Opacas</t>
  </si>
  <si>
    <t>Translucidas</t>
  </si>
  <si>
    <t>Ocura</t>
  </si>
  <si>
    <t>Blanca</t>
  </si>
  <si>
    <t>Ligera</t>
  </si>
  <si>
    <t>Transmisión</t>
  </si>
  <si>
    <t>Medio</t>
  </si>
  <si>
    <t>Baja</t>
  </si>
  <si>
    <t>Tipo de Vidrio</t>
  </si>
  <si>
    <t>Hoja Regular</t>
  </si>
  <si>
    <t>Placa Flotadora Regular</t>
  </si>
  <si>
    <t>Modelo Regular</t>
  </si>
  <si>
    <t>Modelo que Absorve Calor</t>
  </si>
  <si>
    <t>Hoja Gris</t>
  </si>
  <si>
    <t>Placa flotante Absorvente de Calor</t>
  </si>
  <si>
    <t>Placa Absorvente de Calor</t>
  </si>
  <si>
    <t>Cubierta Reflectiva</t>
  </si>
  <si>
    <t>Vidrio (sin sombra interna)</t>
  </si>
  <si>
    <t>Coeficiente de Sombra =0.30</t>
  </si>
  <si>
    <t>Coeficiente de Sombra =0.40</t>
  </si>
  <si>
    <t>Coeficiente de Sombra =0.50</t>
  </si>
  <si>
    <t>Coeficiente de Sombra =0.60</t>
  </si>
  <si>
    <t>COEFICIENTES U DE TRANSMISIÓN PARA PANELES CLAROS</t>
  </si>
  <si>
    <t>Invierno</t>
  </si>
  <si>
    <t>Verano</t>
  </si>
  <si>
    <t>Descripción</t>
  </si>
  <si>
    <t>Vidrio Llano</t>
  </si>
  <si>
    <t>Hoja Sencilla</t>
  </si>
  <si>
    <t>Vidrio Aislado - doble</t>
  </si>
  <si>
    <t>1/4 plg o 6 mm espacio de aire</t>
  </si>
  <si>
    <t>1/2 in or 13 mm espacio de aire</t>
  </si>
  <si>
    <t xml:space="preserve">Emisión Cubierta </t>
  </si>
  <si>
    <t>emisión= 0,20</t>
  </si>
  <si>
    <t>emision = 0,60</t>
  </si>
  <si>
    <t>Vidrio Aislado - triple</t>
  </si>
  <si>
    <t>1/4 in or 6 mm espacio de aire</t>
  </si>
  <si>
    <t>Ventanas para Tomentas</t>
  </si>
  <si>
    <t>1 - 4 in or 25 a 100 mm espacio de aire</t>
  </si>
  <si>
    <t>Bloque de Vidrio</t>
  </si>
  <si>
    <t>6 x 6 x 4in or 150 x 150 x 100 mm espesor</t>
  </si>
  <si>
    <t>12 x 12 x 4 in or 300 x 300 x 100 mm espesor</t>
  </si>
  <si>
    <t>Con Cavidad Divisora</t>
  </si>
  <si>
    <t>Hoja Simple de Plástico</t>
  </si>
  <si>
    <t>GANACIA DE CALOR DEBIDO A PERSONAS</t>
  </si>
  <si>
    <t>Grados de Actividad</t>
  </si>
  <si>
    <t>Aplicación Típica</t>
  </si>
  <si>
    <t>Promedio Metabólico (Hombre Adulto) Btu/h</t>
  </si>
  <si>
    <t>Promedio Metabólico Ajustado* Btu/h</t>
  </si>
  <si>
    <t>TEMPERATURA BULBO SECO DE HABITACIÓN</t>
  </si>
  <si>
    <t>82 F</t>
  </si>
  <si>
    <t>80 F</t>
  </si>
  <si>
    <t>76 F</t>
  </si>
  <si>
    <t>75 F</t>
  </si>
  <si>
    <t>70 F</t>
  </si>
  <si>
    <t>Btu/h</t>
  </si>
  <si>
    <t>Sentado en Descanso</t>
  </si>
  <si>
    <t>Sentado, muy ligero trabajo</t>
  </si>
  <si>
    <t>Trabajo de Oficina</t>
  </si>
  <si>
    <t>De Pie, Caminado lento</t>
  </si>
  <si>
    <t>Camianado, y sentado</t>
  </si>
  <si>
    <t>Trabajo Sedentario</t>
  </si>
  <si>
    <t>Trabjo de Mesa suave</t>
  </si>
  <si>
    <t>Baile Moderado</t>
  </si>
  <si>
    <t>Caminando, 3 millas por hora</t>
  </si>
  <si>
    <t>Trabajo Pesado</t>
  </si>
  <si>
    <t>Teatro y escuela primaria</t>
  </si>
  <si>
    <t>Escuela Secundaria</t>
  </si>
  <si>
    <t>Oficinas, Hoteles, Apartamentos de Universidad</t>
  </si>
  <si>
    <t>Mini markets, Tiendas de Variedad</t>
  </si>
  <si>
    <t>Farmacias</t>
  </si>
  <si>
    <t>Bancos</t>
  </si>
  <si>
    <t>Restaurantes</t>
  </si>
  <si>
    <t>Fábricas, trabajo liviano</t>
  </si>
  <si>
    <t>Pista de Baile</t>
  </si>
  <si>
    <t>Fábricas, solo trabajo pesado</t>
  </si>
  <si>
    <t>Pista de Bolos±, Fábricas</t>
  </si>
  <si>
    <r>
      <t>Restaurantes</t>
    </r>
    <r>
      <rPr>
        <sz val="9"/>
        <rFont val="Arial"/>
        <family val="2"/>
      </rPr>
      <t>†</t>
    </r>
  </si>
  <si>
    <t>* Promedio Metabólico Ajustado para ser aplicado a grupos mixtos de personas con un compuesto típico de porcentaje basado en los siguientes factores:</t>
  </si>
  <si>
    <t>Promedio Metabólico de Mujeres=Promedio Metabólico de Hombres x 0.85</t>
  </si>
  <si>
    <t>Promedio Metabólico de Niños=Promedio Metabólico de Hombres x 0.75</t>
  </si>
  <si>
    <t>± Bowling - Asume una persona por pista jungando bolos y todos los demás sentados, promedio metabólico400 Btu/j o depie 550 Btu/h</t>
  </si>
  <si>
    <t>†Restaurantes - El valor de esta aplicación incluye 60 Btu/h por porción de comida individual (30 Btu/h sensible y 30 Btu/h por latente</t>
  </si>
  <si>
    <t>TIPO</t>
  </si>
  <si>
    <t>Fluorescente</t>
  </si>
  <si>
    <t>Incandescente</t>
  </si>
  <si>
    <t>GANANCIA DE CALOR* Btu/hr</t>
  </si>
  <si>
    <t>Luces Totales Watts x 1,25† x 3,4</t>
  </si>
  <si>
    <t>Luces Totales Watts x 3,4</t>
  </si>
  <si>
    <t>* Referido a Tablas 12 y 13, pag. 35-37 para determinar carga actual de refregeración.</t>
  </si>
  <si>
    <t>† Vatiaje de Luces  Fluorescentes es multiplicado por 1.25 incluye ganacia de calor por balastro</t>
  </si>
  <si>
    <t>Aplicaciones</t>
  </si>
  <si>
    <t>Tipo de Control</t>
  </si>
  <si>
    <t>Datos Varios</t>
  </si>
  <si>
    <t>Ganacia de Calor Recomendada para uso promedio</t>
  </si>
  <si>
    <t>Calor Sensible BTU/HR</t>
  </si>
  <si>
    <t>Calor Latente BTU/HR</t>
  </si>
  <si>
    <t>Calor Total BTU/HR</t>
  </si>
  <si>
    <t>Secadora de Cabello, Ventilador, 115 voltios AC</t>
  </si>
  <si>
    <t>Secadora de Cabello, 6.5 amps, 115 voltios AC</t>
  </si>
  <si>
    <t>Máquina para Permanente</t>
  </si>
  <si>
    <t>Instrumento de Presurización
Lavadoras y esterilizador</t>
  </si>
  <si>
    <t>Señal Neon, por tubos lineales</t>
  </si>
  <si>
    <t>Frazada de Calefacción</t>
  </si>
  <si>
    <t>Esterilizador de Vestimenta</t>
  </si>
  <si>
    <t>Esterilizador, Rectangula,  bulto</t>
  </si>
  <si>
    <t>Esterilizador de Agua</t>
  </si>
  <si>
    <t>Esterilizador de Instrumentos</t>
  </si>
  <si>
    <t>Esterilizador de Utensilios</t>
  </si>
  <si>
    <t>Esterilizador de Aire Caliente</t>
  </si>
  <si>
    <t>Máquina Rayos X para pintura</t>
  </si>
  <si>
    <t>Máquina Rayos X para Terapia</t>
  </si>
  <si>
    <t>Quemadores, pequeños laboratorios</t>
  </si>
  <si>
    <t>Pequeños quemador cola de pescado</t>
  </si>
  <si>
    <t>Quemador cola de pescado grande</t>
  </si>
  <si>
    <t>Cigarrillo</t>
  </si>
  <si>
    <t>Sistema Secador de Cabello</t>
  </si>
  <si>
    <t xml:space="preserve">        5 cascos</t>
  </si>
  <si>
    <t xml:space="preserve">        10 Cascos</t>
  </si>
  <si>
    <t>Manual</t>
  </si>
  <si>
    <t>Automático</t>
  </si>
  <si>
    <t>Suministrador de Agua</t>
  </si>
  <si>
    <t>Ventilador 80 W
(Bajo 300 W, Alto 710 W)</t>
  </si>
  <si>
    <t>Ventilador 165 W
(Bajo 915 W, Alto 1580 W)</t>
  </si>
  <si>
    <t>60 Calentadores con 25 Watts cado uno, 36 en uso normal</t>
  </si>
  <si>
    <t>11"x11"x22"</t>
  </si>
  <si>
    <r>
      <t>18" x 30" x 72"
18" x 24"</t>
    </r>
    <r>
      <rPr>
        <sz val="10"/>
        <rFont val="Arial"/>
        <family val="2"/>
      </rPr>
      <t xml:space="preserve"> x 72"</t>
    </r>
  </si>
  <si>
    <t>16" x 24"
20" x 36"</t>
  </si>
  <si>
    <t>24" x 24" x 36" 
24" x 24" x 48" 
24" x 36" x 48" 
24" x 36" x 60" 
36" x 42" x 84"
42" x 48" x 96"
48" x 54" x 96"</t>
  </si>
  <si>
    <t>10 galones
15 galones</t>
  </si>
  <si>
    <t>16" x 16" x 24"
20" x 30" x 24"</t>
  </si>
  <si>
    <t>Modelo 120 Amer Sterilzer Co
Modelo 10 Amer Sterilzer Co</t>
  </si>
  <si>
    <t>5 Galones/hora</t>
  </si>
  <si>
    <t>Oficinas de Dentistas y Físicas</t>
  </si>
  <si>
    <t>Carga de Calor puede ser apreciables escribir mfg para datos</t>
  </si>
  <si>
    <t>Diametro de barril de gas 7/14</t>
  </si>
  <si>
    <t>Tipo llama contínua</t>
  </si>
  <si>
    <t>Consiste en quemadores y ventiladores que soplan aire caliente a través de un sistema de conductos en los cascos</t>
  </si>
  <si>
    <t>1/2" afuera en el día
3/8" afuea en el día</t>
  </si>
  <si>
    <t>Diámetro de barril 7/17 sin gas
Diámetro 7/16 sin gas</t>
  </si>
  <si>
    <t xml:space="preserve">Diámetro 7/14 sin gas
Diámetro 1/2 </t>
  </si>
  <si>
    <t>Clasificación Máxima
Btu/h</t>
  </si>
  <si>
    <t>3000
3500</t>
  </si>
  <si>
    <t>5500
6000</t>
  </si>
  <si>
    <t>30
60</t>
  </si>
  <si>
    <t>1200
1050</t>
  </si>
  <si>
    <t>9400
23300</t>
  </si>
  <si>
    <t>34800
41700
56200
68500
161700
184000
210000</t>
  </si>
  <si>
    <t>4100
6100</t>
  </si>
  <si>
    <t>10600
12300</t>
  </si>
  <si>
    <t>200
1200</t>
  </si>
  <si>
    <t>no</t>
  </si>
  <si>
    <t>6" x 8" x 17"
92 x 10" x 20"
10" x 12" x 22"
10" x 12" x 36"
12" x 16" x 24"</t>
  </si>
  <si>
    <t>1680
1960</t>
  </si>
  <si>
    <t>3080
3350</t>
  </si>
  <si>
    <t>300
2400</t>
  </si>
  <si>
    <t>8700
2400</t>
  </si>
  <si>
    <t>21000
27000
36000
45000
97500
140000
180000</t>
  </si>
  <si>
    <t>16500
24600</t>
  </si>
  <si>
    <t>2400
3900
5900
9400
8600</t>
  </si>
  <si>
    <t>20400
25600</t>
  </si>
  <si>
    <t>4200
25600</t>
  </si>
  <si>
    <t>4200
3450</t>
  </si>
  <si>
    <t>18300
47300</t>
  </si>
  <si>
    <t>55800
68700
92200
113500
259200
324000
39000</t>
  </si>
  <si>
    <t>20600
30700</t>
  </si>
  <si>
    <t>5100
9000
1400
19600
17800</t>
  </si>
  <si>
    <t>31000
37900</t>
  </si>
  <si>
    <t>6200
3300</t>
  </si>
  <si>
    <t>420
490</t>
  </si>
  <si>
    <t>770
850</t>
  </si>
  <si>
    <t>2100
2450</t>
  </si>
  <si>
    <t>3850
4200</t>
  </si>
  <si>
    <t>ELECTRIC</t>
  </si>
  <si>
    <t>* Si se diseñó apropiadamente con campana de desacarga positiva, multiplicar por el valor recomendado de 50</t>
  </si>
  <si>
    <t>QUEMADORES A GAS</t>
  </si>
  <si>
    <r>
      <t>2700</t>
    </r>
    <r>
      <rPr>
        <sz val="10"/>
        <rFont val="Arial"/>
        <family val="0"/>
      </rPr>
      <t xml:space="preserve">
3100
8100
10200
9200</t>
    </r>
  </si>
  <si>
    <t>ESTÁNDARES DE VENTILACIÓN</t>
  </si>
  <si>
    <t>APLICACIÓN</t>
  </si>
  <si>
    <t>FUMADORES</t>
  </si>
  <si>
    <t>CFM POR PERSONA</t>
  </si>
  <si>
    <t xml:space="preserve">Apartamento
</t>
  </si>
  <si>
    <t>Promedio
De lujo</t>
  </si>
  <si>
    <t>Espacios en Banco
Barberías
Salones de Belleza</t>
  </si>
  <si>
    <t>Cuarto de caminadores
Bares
Corredores
Tiendas por Departamentos
Direcciones</t>
  </si>
  <si>
    <t>Hospitales</t>
  </si>
  <si>
    <t>Habitaciones de Hotel</t>
  </si>
  <si>
    <t>Cocinas</t>
  </si>
  <si>
    <t>Sala de Reuniones</t>
  </si>
  <si>
    <t>Oficinas</t>
  </si>
  <si>
    <t>Generales
Privadas
Privadas</t>
  </si>
  <si>
    <t>Some
Some</t>
  </si>
  <si>
    <t>Muy Alto
Alto
---
No
Extremo</t>
  </si>
  <si>
    <t>Ocasional
Considerable
Ocasional</t>
  </si>
  <si>
    <t>Considerable
no
no
no
---</t>
  </si>
  <si>
    <t>No
No
No</t>
  </si>
  <si>
    <t xml:space="preserve"> - 
 - </t>
  </si>
  <si>
    <t>Algunos</t>
  </si>
  <si>
    <t>Muy Alto</t>
  </si>
  <si>
    <t>Poco
No
Considerable</t>
  </si>
  <si>
    <t>Considerable
Considerable</t>
  </si>
  <si>
    <t>No
No
No
Poco
 -</t>
  </si>
  <si>
    <t>Recomendado</t>
  </si>
  <si>
    <t>Minimo *</t>
  </si>
  <si>
    <t>20
30</t>
  </si>
  <si>
    <t>10
15
10</t>
  </si>
  <si>
    <t>50
30
 - 
7 1/2
50</t>
  </si>
  <si>
    <t xml:space="preserve">10
10
7 1/2
10 
 - </t>
  </si>
  <si>
    <t xml:space="preserve"> - 
30
30</t>
  </si>
  <si>
    <t xml:space="preserve"> -
 -</t>
  </si>
  <si>
    <t>15
25
30</t>
  </si>
  <si>
    <t>12
15</t>
  </si>
  <si>
    <t xml:space="preserve"> - 
10
7/12
15
 - </t>
  </si>
  <si>
    <t>15
25</t>
  </si>
  <si>
    <t>7 1/2
10
7 1/2</t>
  </si>
  <si>
    <t>30
25
 - 
5
30</t>
  </si>
  <si>
    <t xml:space="preserve">7 1/2
7 1/2
5
7 /12
 - </t>
  </si>
  <si>
    <t xml:space="preserve"> -
25
15
25
</t>
  </si>
  <si>
    <t xml:space="preserve"> - 
 -</t>
  </si>
  <si>
    <t>10
15
25</t>
  </si>
  <si>
    <t>10
12</t>
  </si>
  <si>
    <t xml:space="preserve"> - 
7 1/2
5
10
 -</t>
  </si>
  <si>
    <t xml:space="preserve"> - 
0.33</t>
  </si>
  <si>
    <t xml:space="preserve"> -
 -
 -</t>
  </si>
  <si>
    <t xml:space="preserve"> -
 -
0.25
0.05
 -</t>
  </si>
  <si>
    <t xml:space="preserve"> -
0.10
 -
 -
1.0</t>
  </si>
  <si>
    <t>2.0
0.33
 -</t>
  </si>
  <si>
    <t>4.0
2.0</t>
  </si>
  <si>
    <t>-</t>
  </si>
  <si>
    <t xml:space="preserve"> -
0.25
0.25</t>
  </si>
  <si>
    <t xml:space="preserve"> -
 -
 -
 -
2.0</t>
  </si>
  <si>
    <t>* Cuando el mínmo es uado, use el máxima entre CFM por persona o por pie cuadrado de área</t>
  </si>
  <si>
    <t>‡ Ver codigos locales</t>
  </si>
  <si>
    <t>† Puede gorbernar la extracción</t>
  </si>
  <si>
    <r>
      <t>§</t>
    </r>
    <r>
      <rPr>
        <sz val="7.5"/>
        <rFont val="Arial"/>
        <family val="0"/>
      </rPr>
      <t xml:space="preserve"> Use este valor a menos que existan elementos contaminantes o códigos locales</t>
    </r>
  </si>
  <si>
    <t>** Todo las tomas de aire son recomendadas prevenir explociones de anestecia</t>
  </si>
  <si>
    <t>CFM POR PIE CUADRADO DE ÁREA
*minimo</t>
  </si>
  <si>
    <t>Farmacias†
Fábricas‡§
Tiendas pequeñas
Salones de Velación
Garajes‡</t>
  </si>
  <si>
    <t>Cuartos de Operación‡***
Cuartos Privados
Pabellones</t>
  </si>
  <si>
    <t>Restaurantes†
Casas</t>
  </si>
  <si>
    <t>Laboratorios†</t>
  </si>
  <si>
    <t>Cafeterías†
Sala de Cena†</t>
  </si>
  <si>
    <t>Aulas de Escuela±
Tiendas al por menor
Teatros‡
Teatros
Baños‡ (extracción)</t>
  </si>
  <si>
    <t>Porcentaje de Eficiencia con Motor a toda Carga</t>
  </si>
  <si>
    <t>UBICACIÓN DEL EQUIPO CON RESPECTO AL ESPACIO ACONDICIONADO O AL VAPOR DE AIRE</t>
  </si>
  <si>
    <t>Motor Dentro
Máquina Dentro</t>
  </si>
  <si>
    <t>HPx 2545</t>
  </si>
  <si>
    <t>% Eff</t>
  </si>
  <si>
    <t>Motor Fuera - 
Máquina Dentro</t>
  </si>
  <si>
    <t>HPx2545</t>
  </si>
  <si>
    <t>Motor Fuera - Máquina Afuera</t>
  </si>
  <si>
    <t>HPx2545(1-%eff)</t>
  </si>
  <si>
    <t>%eff</t>
  </si>
  <si>
    <t xml:space="preserve"> 1/20</t>
  </si>
  <si>
    <t xml:space="preserve"> 1/12</t>
  </si>
  <si>
    <t xml:space="preserve"> 1/8</t>
  </si>
  <si>
    <t xml:space="preserve"> 1/6</t>
  </si>
  <si>
    <t xml:space="preserve"> 1/4</t>
  </si>
  <si>
    <t xml:space="preserve"> 1/3</t>
  </si>
  <si>
    <t xml:space="preserve"> 1/2</t>
  </si>
  <si>
    <t xml:space="preserve"> 3/4</t>
  </si>
  <si>
    <t>BTU/HR</t>
  </si>
  <si>
    <r>
      <t xml:space="preserve">GANANCIA DE CALOR DEBIDO A MOTORES ELÉCTRICOS
</t>
    </r>
    <r>
      <rPr>
        <sz val="8"/>
        <rFont val="Arial"/>
        <family val="2"/>
      </rPr>
      <t>OPERACIÓN CONTINUA</t>
    </r>
  </si>
  <si>
    <t>†Si el motor esta sobre dimensionado y es desconcido, multiplicar el factor de ganancia de calor del siguiente cuadro de maximo factor de servicio</t>
  </si>
  <si>
    <t>Factor de Servicio Máximo</t>
  </si>
  <si>
    <t>Potencia (HP)</t>
  </si>
  <si>
    <t>AC Tipo Abierto</t>
  </si>
  <si>
    <t>DC Tipo Abierto</t>
  </si>
  <si>
    <t>1/20 - 1/2</t>
  </si>
  <si>
    <t xml:space="preserve"> - </t>
  </si>
  <si>
    <t>1/4 - 1/3</t>
  </si>
  <si>
    <t>1 1/2 - 2</t>
  </si>
  <si>
    <t>3 - 250</t>
  </si>
  <si>
    <t>Sobre carga no esta permitido en motores cerrados</t>
  </si>
  <si>
    <t>Potencia de Freno†</t>
  </si>
  <si>
    <t>Estandar 52.2 Valor Reportado de Eficiencia Mínima (MERV)</t>
  </si>
  <si>
    <t>Resultados Aprox. Std. 52.2</t>
  </si>
  <si>
    <t>Eficiencia Polvo Mancha</t>
  </si>
  <si>
    <t>Arrastre</t>
  </si>
  <si>
    <t>Guía de Aplicaciones</t>
  </si>
  <si>
    <t>Tipicos Contaminantes Controlados</t>
  </si>
  <si>
    <t>Aplicaciones y Limitaciones Típicas</t>
  </si>
  <si>
    <t>Tipo de Filtro/Limpiador de aire</t>
  </si>
  <si>
    <t>n/a</t>
  </si>
  <si>
    <t>&gt;95%</t>
  </si>
  <si>
    <t>90-95%</t>
  </si>
  <si>
    <t>80-90%</t>
  </si>
  <si>
    <t>70-75%</t>
  </si>
  <si>
    <t>60-65%</t>
  </si>
  <si>
    <t>50-55%</t>
  </si>
  <si>
    <t>40-45%</t>
  </si>
  <si>
    <t>30-35%</t>
  </si>
  <si>
    <t>25-30%</t>
  </si>
  <si>
    <t>&lt;20%</t>
  </si>
  <si>
    <t>&gt;98%</t>
  </si>
  <si>
    <t>&gt;90%</t>
  </si>
  <si>
    <t>85-90%</t>
  </si>
  <si>
    <t>80-85%</t>
  </si>
  <si>
    <t>75-80%</t>
  </si>
  <si>
    <t>65-70%</t>
  </si>
  <si>
    <t>&lt;65%</t>
  </si>
  <si>
    <r>
      <t>Particluas de virus de tamaños ≤0.30</t>
    </r>
    <r>
      <rPr>
        <sz val="10"/>
        <rFont val="Symbol"/>
        <family val="1"/>
      </rPr>
      <t>m</t>
    </r>
    <r>
      <rPr>
        <sz val="7.5"/>
        <rFont val="Arial"/>
        <family val="0"/>
      </rPr>
      <t>m.
Polvo de Carbon
Sal
Todo humo de cigarrillo
Radon</t>
    </r>
  </si>
  <si>
    <t>Tamaño de partícluas entre 1.0-3.0 mm
Legionella
Polvo de Carbón
Polvos Humedos
Virutas
Emisiones
Humos de Soldaduras
Polvos principales</t>
  </si>
  <si>
    <r>
      <t xml:space="preserve">Tamaños de Partícluas 3.0 - 10.0 </t>
    </r>
    <r>
      <rPr>
        <sz val="10"/>
        <rFont val="Symbol"/>
        <family val="1"/>
      </rPr>
      <t>m</t>
    </r>
    <r>
      <rPr>
        <sz val="10"/>
        <rFont val="Arial"/>
        <family val="0"/>
      </rPr>
      <t>m 
Esporas
Spray para Cabello
Moho
Protector de fábrica
Polvo de Cemento
Polvo de leche</t>
    </r>
  </si>
  <si>
    <r>
      <t xml:space="preserve">Partículas de Tamaño &gt;10 </t>
    </r>
    <r>
      <rPr>
        <sz val="10"/>
        <rFont val="Symbol"/>
        <family val="1"/>
      </rPr>
      <t>m</t>
    </r>
    <r>
      <rPr>
        <sz val="10"/>
        <rFont val="Arial"/>
        <family val="0"/>
      </rPr>
      <t>m
Polen
Musgo
Polvo de arena
Pintura en Spray
Fibra de Textiles
Fibras de alfombras</t>
    </r>
  </si>
  <si>
    <t xml:space="preserve">Habitacines Limpias
Materiales Radioactivos
Fábricas Farmaceúticas
Materiales Cancerígenos
Cirugía Ortopédica
</t>
  </si>
  <si>
    <t>Hospitales pacientes de cuidados
Cirugía General
Comerciales clase alta
Salas de Fumadores</t>
  </si>
  <si>
    <t>Residencias clase alta
Edificios Comerciales clase media
Laboratorios de Hospital</t>
  </si>
  <si>
    <t>Edificios Comerciales
Residencias clase media
Áreas de trabajo industrial
Pintura con tomas de aire</t>
  </si>
  <si>
    <t>Minima filtración residencial</t>
  </si>
  <si>
    <r>
      <t xml:space="preserve">Filtros HEPA/ULPA
≥99.999% de eficiencia en 0.1 -0.2 </t>
    </r>
    <r>
      <rPr>
        <sz val="10"/>
        <rFont val="Symbol"/>
        <family val="1"/>
      </rPr>
      <t>m</t>
    </r>
    <r>
      <rPr>
        <sz val="10"/>
        <rFont val="Arial"/>
        <family val="0"/>
      </rPr>
      <t>m IEST tipo F
≥99.999% eficiencia en partículas 0.3 mm. IEST tipo D
≥99.99% de eficiencia en partículas 0.3 mm IEST tipo C
≥ 99.97% de eficiencia en partículas 0.3 mm IEST tipo A</t>
    </r>
  </si>
  <si>
    <t>Filtro de Bolsillo. Flexible, de fibra de vidrio microfina o medio sintético 300 a 900 mm de profundidad de 6 a 12 bolsillos
Filtros de Caja. Estilo cartucho rígido filtra 150 a 300m de profundidad se puede usar aireado o de papel</t>
  </si>
  <si>
    <t>Placa de Filtros, disponible, superficie extendida, de 25 a 125 mm de espesor conalgodon.poliéster en el medio, marco de cartón
Filtros tipo caja, densidad viscosa cubierta de cubo o filtros de bolsillo de media sintético
Desechables, disponible en paneles de filtros sintéticos</t>
  </si>
  <si>
    <t>Desechables, Disponibles en ficbra de vidrio o paneles sintéticos.
Lavables. Filtro de aluminio, latex, de cerda, o paneles plásticos
Electróstáticos. Autocambiales; filtro de policarbonato</t>
  </si>
  <si>
    <r>
      <t xml:space="preserve">Tamaño de partícluas entre 0.3-1 </t>
    </r>
    <r>
      <rPr>
        <sz val="10"/>
        <rFont val="Symbol"/>
        <family val="1"/>
      </rPr>
      <t>m</t>
    </r>
    <r>
      <rPr>
        <sz val="10"/>
        <rFont val="Arial"/>
        <family val="0"/>
      </rPr>
      <t>m
Toda bacteria
Gotas nucleares
Cigarrillo
Polvo de Insecticida
Polvo de toner de Copiadora
Mayoria de Pinturas
Mayoria de Polvo para rostro</t>
    </r>
  </si>
  <si>
    <t>Aplicación</t>
  </si>
  <si>
    <t>Depósito, tiendas y áreas de procesos, cuartos de equipos mecánicos, cuartos de controles eléctricos, protección de serpentines</t>
  </si>
  <si>
    <t>Áreas de procesos Especiales, Tiendas equipos eléctricos, oficinas y laboratorios promedios</t>
  </si>
  <si>
    <t>Laboratorios de análisis, electrónicos,  xuartos de conferencias. Promedio de oficinas generales</t>
  </si>
  <si>
    <t>Hospitales, Farmaceuticas, y fábricas farmacéuticas ( no unicamente áreas asecépticas), algunos cuartos limpios</t>
  </si>
  <si>
    <r>
      <t xml:space="preserve">Áreas asépticas en hospitales y fábricas farmaceúticas,  cuartos limpios y áreas radiaoctivas, etc </t>
    </r>
    <r>
      <rPr>
        <vertAlign val="superscript"/>
        <sz val="10"/>
        <rFont val="Arial"/>
        <family val="2"/>
      </rPr>
      <t>c</t>
    </r>
  </si>
  <si>
    <t>B1</t>
  </si>
  <si>
    <t>C1</t>
  </si>
  <si>
    <t>C2</t>
  </si>
  <si>
    <t>D1</t>
  </si>
  <si>
    <t>D2</t>
  </si>
  <si>
    <t>E1</t>
  </si>
  <si>
    <t>Pre filtro</t>
  </si>
  <si>
    <t>Ninguno</t>
  </si>
  <si>
    <t>75 a 85% Detención,
25 a 40% polvo mancha</t>
  </si>
  <si>
    <t>75% a 85% detención,
25 a 40% polvo mancha</t>
  </si>
  <si>
    <t>75 a 85% detención
24 a40% polvo mancha</t>
  </si>
  <si>
    <t>Filtro</t>
  </si>
  <si>
    <t>Superficie Extendida
Cubierta o tipo bolsillo</t>
  </si>
  <si>
    <t>50 a 85% detención</t>
  </si>
  <si>
    <t>25 a 30% polvo mancha</t>
  </si>
  <si>
    <t>75 a 90 % detecnión
35 a 60% detecnión</t>
  </si>
  <si>
    <t>&gt;98% detecnión, 80 a 85% olvo mancha</t>
  </si>
  <si>
    <t>Tipo bolsillo, electronicos (limpiadores semi-automaticos)</t>
  </si>
  <si>
    <t>&gt;98% detecnión, 80 a 95% olvo mancha</t>
  </si>
  <si>
    <t>Tipo panel, o automatico</t>
  </si>
  <si>
    <t>Placa de panes o superficien extendida</t>
  </si>
  <si>
    <t>Superficien Extendida, Cartucho tipo bosiloo, o electronico (semiatomatico)</t>
  </si>
  <si>
    <t>Superficien Extendida, Cartucho tipo bosiloo, o electronico (manual o reemplazable)</t>
  </si>
  <si>
    <t>Electronico (aglomerador con bolsillo o seccion de cartucho)</t>
  </si>
  <si>
    <t>Tipo Bolsillo, Electronico (semiconductor)</t>
  </si>
  <si>
    <t>Filtro Final</t>
  </si>
  <si>
    <t>95% DOP</t>
  </si>
  <si>
    <t>≥99.97% DOP</t>
  </si>
  <si>
    <t>Notas de Aplicaciones</t>
  </si>
  <si>
    <t>Reduce partículas grandes, proteje el serpentin de polvos</t>
  </si>
  <si>
    <t>Limpieza promedio de casas
Reduce pelusa en el aire
Reduce polen
&gt;85% a 35%. Remueve todo e polen en 60% en particulas causantes de machas</t>
  </si>
  <si>
    <t>Por encima de limpieza de casas. Nopermite pariculas de polvo. Cartuchos y tipo bolsilo muy efectivo en particulas causante de manchas, parcialmente efectiva en humo de tabaco, Tipo electrónico ligeramente efecitivo en humos</t>
  </si>
  <si>
    <t>Excelente en lipiea.
Muy efectivo en particulas causantes de manchas, humos, cigarrilos. Altamente efecitvos en bacterias</t>
  </si>
  <si>
    <t>Proteje contra bactyerias, polvos radiactivos, tóxicos, polvos, humos en general.</t>
  </si>
  <si>
    <t>A2</t>
  </si>
  <si>
    <t>A1</t>
  </si>
  <si>
    <r>
      <t xml:space="preserve">Sistema Desigando </t>
    </r>
    <r>
      <rPr>
        <b/>
        <vertAlign val="superscript"/>
        <sz val="10"/>
        <rFont val="Arial"/>
        <family val="2"/>
      </rPr>
      <t>b</t>
    </r>
  </si>
  <si>
    <t>Número Mínimo de Filtros</t>
  </si>
  <si>
    <t>Áreas Designadas</t>
  </si>
  <si>
    <t>Eficiencias de Filtros, %</t>
  </si>
  <si>
    <r>
      <t>no. 1</t>
    </r>
    <r>
      <rPr>
        <vertAlign val="superscript"/>
        <sz val="10"/>
        <rFont val="Arial"/>
        <family val="2"/>
      </rPr>
      <t>a</t>
    </r>
  </si>
  <si>
    <r>
      <t>no. 2</t>
    </r>
    <r>
      <rPr>
        <vertAlign val="superscript"/>
        <sz val="10"/>
        <rFont val="Arial"/>
        <family val="2"/>
      </rPr>
      <t>a</t>
    </r>
  </si>
  <si>
    <r>
      <t>no. 3</t>
    </r>
    <r>
      <rPr>
        <vertAlign val="superscript"/>
        <sz val="10"/>
        <rFont val="Arial"/>
        <family val="2"/>
      </rPr>
      <t>b</t>
    </r>
  </si>
  <si>
    <t>Cuartos de Operaciones Ortopédicas
Salas de Transplante de médula
Salas de Transplante de órganos</t>
  </si>
  <si>
    <t>Salas de Operaciones generales</t>
  </si>
  <si>
    <t>Salas de partos</t>
  </si>
  <si>
    <t>Neonatos</t>
  </si>
  <si>
    <t>Cuidados Intensivos</t>
  </si>
  <si>
    <t>Salas de Cuidados de Pacientes</t>
  </si>
  <si>
    <t>Salas de Tratamientos</t>
  </si>
  <si>
    <t>Áreas de Diagnosticos y áreas relacionadas</t>
  </si>
  <si>
    <t>laboratorios</t>
  </si>
  <si>
    <t>Almacenaje Estéril</t>
  </si>
  <si>
    <t>Áreas de Preparación de Comidas</t>
  </si>
  <si>
    <t>Lavanderias</t>
  </si>
  <si>
    <t>área administrativas</t>
  </si>
  <si>
    <t>Alamcenamiento general</t>
  </si>
  <si>
    <t>Área de mantenimiento</t>
  </si>
  <si>
    <r>
      <t xml:space="preserve">99.97 </t>
    </r>
    <r>
      <rPr>
        <vertAlign val="superscript"/>
        <sz val="10"/>
        <rFont val="Arial"/>
        <family val="2"/>
      </rPr>
      <t>c</t>
    </r>
  </si>
  <si>
    <t>a Basado en Estándar 52.1 ASHRAE</t>
  </si>
  <si>
    <t>b basado en DOP tes</t>
  </si>
  <si>
    <t>c HEPA filtos en tomas de aire</t>
  </si>
  <si>
    <t>GANACIA DE CALOR PARA APLICACIONES VARIADAS
* sin campanas</t>
  </si>
  <si>
    <t>Función del Espacio</t>
  </si>
  <si>
    <t>Todo el aire expulsado fuera del cuarto</t>
  </si>
  <si>
    <t>CIRUGÍA Y CUIDADO CRITICO</t>
  </si>
  <si>
    <t>Cuarto de Operaciones</t>
  </si>
  <si>
    <t>(sistema todo aire fresco)</t>
  </si>
  <si>
    <t>(sistema con recirculación)</t>
  </si>
  <si>
    <t>Cuartos de Emergencia</t>
  </si>
  <si>
    <t>Salas de Recuperación</t>
  </si>
  <si>
    <t>Suite de Neonatos</t>
  </si>
  <si>
    <r>
      <t>Salas de Traumas</t>
    </r>
    <r>
      <rPr>
        <vertAlign val="superscript"/>
        <sz val="10"/>
        <rFont val="Arial"/>
        <family val="2"/>
      </rPr>
      <t xml:space="preserve"> f</t>
    </r>
  </si>
  <si>
    <t>Almacenaje de Anestecia (ver código requerido)</t>
  </si>
  <si>
    <t>RECIEN NACIDOS</t>
  </si>
  <si>
    <t>Habiatciones de pacientes</t>
  </si>
  <si>
    <r>
      <t xml:space="preserve">Baños </t>
    </r>
    <r>
      <rPr>
        <vertAlign val="superscript"/>
        <sz val="10"/>
        <rFont val="Arial"/>
        <family val="2"/>
      </rPr>
      <t>g</t>
    </r>
  </si>
  <si>
    <t xml:space="preserve">Post parto, Labor, recibo, recuperación </t>
  </si>
  <si>
    <t>Corredor de pacientes</t>
  </si>
  <si>
    <t>SUPLEMENTARIO</t>
  </si>
  <si>
    <t>Radiología</t>
  </si>
  <si>
    <t>Rayos X (cirugía y cuidados críticos)</t>
  </si>
  <si>
    <t>Rayos X (Tratamiento y Diagnostico)</t>
  </si>
  <si>
    <t>Cuarto Oscuro</t>
  </si>
  <si>
    <t>Laboratorio General</t>
  </si>
  <si>
    <t>Laboratorio Bactereológico</t>
  </si>
  <si>
    <t>Laboratorio Bioquímico</t>
  </si>
  <si>
    <t>Laboratorio Incubacuión</t>
  </si>
  <si>
    <t>Laboratorio lavado de vidrios</t>
  </si>
  <si>
    <t>Laboratorio Histología</t>
  </si>
  <si>
    <t>Laboratorio de Medicina Nuclear</t>
  </si>
  <si>
    <t>Laboratorio de Patología</t>
  </si>
  <si>
    <t>Laboratorio Serología</t>
  </si>
  <si>
    <t>Laboratorio Esterelizante</t>
  </si>
  <si>
    <t>Laboratorio de Transferencia Media</t>
  </si>
  <si>
    <t>Autopsia</t>
  </si>
  <si>
    <t>Cuarto no refrigerante de mantenimiento de cuerpos</t>
  </si>
  <si>
    <t>Farmacia</t>
  </si>
  <si>
    <t>ADMINISTRACION</t>
  </si>
  <si>
    <t>Administracion y salas de Espera</t>
  </si>
  <si>
    <t>TRATAMIENTO Y DIAGNÓSTICO</t>
  </si>
  <si>
    <t>Broncoscopia, Colección de de muestras, admisnitración de 
                      pentamicina</t>
  </si>
  <si>
    <t>Sala de Examinación</t>
  </si>
  <si>
    <t>Sala de Medicación</t>
  </si>
  <si>
    <t>Sala de Tratamiento</t>
  </si>
  <si>
    <t>Terapia Física e Hidroterapia</t>
  </si>
  <si>
    <t>Cuarto de Polvo o Recolectores de Polvo</t>
  </si>
  <si>
    <t>Cuarto de Limpieza o de Recolectores de Limpieza</t>
  </si>
  <si>
    <t>ESTERELIZADORES Y SUPLEMENTOS</t>
  </si>
  <si>
    <t>Cuarto de equipos para esterilizar</t>
  </si>
  <si>
    <t>Cuarto de Polvos o decontaminación</t>
  </si>
  <si>
    <t>Cuartos de Limpieza</t>
  </si>
  <si>
    <t>Almacenaje de Equipos</t>
  </si>
  <si>
    <t>SERVICIO</t>
  </si>
  <si>
    <r>
      <t>Centro de Preparación de Comida</t>
    </r>
    <r>
      <rPr>
        <vertAlign val="superscript"/>
        <sz val="10"/>
        <rFont val="Arial"/>
        <family val="2"/>
      </rPr>
      <t xml:space="preserve"> l</t>
    </r>
  </si>
  <si>
    <t>Lavado</t>
  </si>
  <si>
    <t>Almacenaje de Dietas diarias</t>
  </si>
  <si>
    <t>Lavanderia General</t>
  </si>
  <si>
    <t>Linea de Limpieza alamcenaje</t>
  </si>
  <si>
    <t>Linea de polvos clasificación y alamcenaje</t>
  </si>
  <si>
    <t>Cuarto de Basura</t>
  </si>
  <si>
    <t>Cuarto de Sábanas</t>
  </si>
  <si>
    <t>Baños</t>
  </si>
  <si>
    <t>Conserjería</t>
  </si>
  <si>
    <t>P</t>
  </si>
  <si>
    <t>≠</t>
  </si>
  <si>
    <t>Op</t>
  </si>
  <si>
    <t>op</t>
  </si>
  <si>
    <t>2 (Op)</t>
  </si>
  <si>
    <t>Si</t>
  </si>
  <si>
    <t>Opcional</t>
  </si>
  <si>
    <r>
      <t>Opcional</t>
    </r>
    <r>
      <rPr>
        <vertAlign val="superscript"/>
        <sz val="10"/>
        <rFont val="Arial"/>
        <family val="2"/>
      </rPr>
      <t xml:space="preserve"> f</t>
    </r>
  </si>
  <si>
    <r>
      <t xml:space="preserve">Si </t>
    </r>
    <r>
      <rPr>
        <vertAlign val="superscript"/>
        <sz val="10"/>
        <rFont val="Arial"/>
        <family val="2"/>
      </rPr>
      <t>j</t>
    </r>
  </si>
  <si>
    <t>No</t>
  </si>
  <si>
    <t>P=Positivo</t>
  </si>
  <si>
    <t>N=Negativo</t>
  </si>
  <si>
    <t>E= Igual</t>
  </si>
  <si>
    <t>≠ = Control no requerido</t>
  </si>
  <si>
    <r>
      <t xml:space="preserve">Aislamiento Protector </t>
    </r>
    <r>
      <rPr>
        <vertAlign val="superscript"/>
        <sz val="10"/>
        <rFont val="Arial"/>
        <family val="2"/>
      </rPr>
      <t>i</t>
    </r>
  </si>
  <si>
    <r>
      <t xml:space="preserve">Aislamiento por Infección </t>
    </r>
    <r>
      <rPr>
        <vertAlign val="superscript"/>
        <sz val="10"/>
        <rFont val="Arial"/>
        <family val="2"/>
      </rPr>
      <t>h</t>
    </r>
  </si>
  <si>
    <t>Antesala de habiatción de Aislamiento</t>
  </si>
  <si>
    <r>
      <t>Relación de Presiones con respecto a las áreas Adyacentes</t>
    </r>
    <r>
      <rPr>
        <b/>
        <vertAlign val="superscript"/>
        <sz val="10"/>
        <rFont val="Arial"/>
        <family val="2"/>
      </rPr>
      <t xml:space="preserve"> a</t>
    </r>
  </si>
  <si>
    <r>
      <t xml:space="preserve">Cambios de Aire Externo Minimos por hora </t>
    </r>
    <r>
      <rPr>
        <b/>
        <vertAlign val="superscript"/>
        <sz val="10"/>
        <rFont val="Arial"/>
        <family val="2"/>
      </rPr>
      <t>b</t>
    </r>
  </si>
  <si>
    <r>
      <t>Total de Cambios mínimos de aire por hora</t>
    </r>
    <r>
      <rPr>
        <b/>
        <vertAlign val="superscript"/>
        <sz val="10"/>
        <rFont val="Arial"/>
        <family val="2"/>
      </rPr>
      <t xml:space="preserve"> c</t>
    </r>
  </si>
  <si>
    <r>
      <t xml:space="preserve">Recirculación de Aire entre las unidades de cuartos </t>
    </r>
    <r>
      <rPr>
        <b/>
        <vertAlign val="superscript"/>
        <sz val="10"/>
        <rFont val="Arial"/>
        <family val="2"/>
      </rPr>
      <t>d</t>
    </r>
  </si>
  <si>
    <r>
      <t>a</t>
    </r>
    <r>
      <rPr>
        <sz val="9"/>
        <rFont val="Arial"/>
        <family val="0"/>
      </rPr>
      <t xml:space="preserve"> Donde el control direccional contínuo no es requeridolas variaciones deben ser minimizadas y en ningún caso dee faltar el control direccional que permita difundir infecciones desde un área hacia otra. Limitar el area entre áreas funcionales debe tenere control de dirección. Lewis (1988) describe métodos de manufactura de control direccional aplicando circuitos de aire.</t>
    </r>
  </si>
  <si>
    <r>
      <t>b</t>
    </r>
    <r>
      <rPr>
        <sz val="9"/>
        <rFont val="Arial"/>
        <family val="0"/>
      </rPr>
      <t xml:space="preserve"> Ventilación acorde con ASHRAE Estándar 62. Ventilación para calidad aceptable de aire interno, debe ser usada para aquellas áreas dende el promedio de ventiladción no es dado. Donde un elevado aire externo es requerido se deberá basarse en Estándar 62 el valor mayor.</t>
    </r>
  </si>
  <si>
    <r>
      <t xml:space="preserve">c </t>
    </r>
    <r>
      <rPr>
        <sz val="9"/>
        <rFont val="Arial"/>
        <family val="0"/>
      </rPr>
      <t>Cambios total de aire indicados deben ser suministrados o donde se requiera, expulsado.</t>
    </r>
  </si>
  <si>
    <r>
      <t>d</t>
    </r>
    <r>
      <rPr>
        <sz val="9"/>
        <rFont val="Arial"/>
        <family val="0"/>
      </rPr>
      <t xml:space="preserve"> Filtros de recirculación HEPA usados para control de infección son aceptables.</t>
    </r>
  </si>
  <si>
    <r>
      <t>e</t>
    </r>
    <r>
      <rPr>
        <sz val="9"/>
        <rFont val="Arial"/>
        <family val="0"/>
      </rPr>
      <t xml:space="preserve"> Para salas de operaciones, 100% toma de aire fresco debe ser usado solo donde los códigos lo requiera y solo si el calor recobrado es usado.</t>
    </r>
  </si>
  <si>
    <r>
      <t>f</t>
    </r>
    <r>
      <rPr>
        <sz val="9"/>
        <rFont val="Arial"/>
        <family val="0"/>
      </rPr>
      <t xml:space="preserve"> El término "sala de trauma" como se mecniona es la primera sala de primeros auxiliois y/o salas de emergencias usados generalmente al inicio del tratamiento de un accidente. El cuarto deoperaciones entre en centro de trauma el caul es usado para cirugías de emergencia debe ser tratado com sala de operaciones.</t>
    </r>
  </si>
  <si>
    <r>
      <t>g</t>
    </r>
    <r>
      <rPr>
        <sz val="9"/>
        <rFont val="Arial"/>
        <family val="0"/>
      </rPr>
      <t xml:space="preserve"> Ver la sección de Cuartos de Pacientes para deliverar el diseño del sistema central de extracción de baños.</t>
    </r>
  </si>
  <si>
    <r>
      <t>h</t>
    </r>
    <r>
      <rPr>
        <sz val="9"/>
        <rFont val="Arial"/>
        <family val="0"/>
      </rPr>
      <t xml:space="preserve"> Las salas de asilamiento de infecciones descritas en esta tabla son aquellas que pueden ser usadas para pacientes con infecciones en el promedio de la comunidad del hospital. Los caurtos negativamente presurizados. Algunos cuartos de aislmiento tienen una antesala de separación. Donde exista un alto nivel de infecciones respiratoriascomo turberculosis deben ser aislados, incrementar las cambios hora debe ser consierado.</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</si>
</sst>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 _p_t_a"/>
  </numFmts>
  <fonts count="27">
    <font>
      <sz val="10"/>
      <name val="Arial"/>
      <family val="0"/>
    </font>
    <font>
      <sz val="8"/>
      <name val="Arial"/>
      <family val="0"/>
    </font>
    <font>
      <sz val="10"/>
      <name val="Symbol"/>
      <family val="1"/>
    </font>
    <font>
      <b/>
      <sz val="12"/>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b/>
      <sz val="11"/>
      <name val="Arial"/>
      <family val="2"/>
    </font>
    <font>
      <sz val="11"/>
      <name val="Arial"/>
      <family val="0"/>
    </font>
    <font>
      <u val="single"/>
      <sz val="11"/>
      <name val="Arial"/>
      <family val="0"/>
    </font>
    <font>
      <i/>
      <sz val="11"/>
      <name val="Arial"/>
      <family val="0"/>
    </font>
    <font>
      <sz val="8"/>
      <color indexed="9"/>
      <name val="Arial"/>
      <family val="0"/>
    </font>
    <font>
      <sz val="10"/>
      <color indexed="10"/>
      <name val="Arial"/>
      <family val="0"/>
    </font>
    <font>
      <sz val="8"/>
      <color indexed="10"/>
      <name val="Arial"/>
      <family val="0"/>
    </font>
    <font>
      <sz val="12"/>
      <name val="Arial"/>
      <family val="0"/>
    </font>
    <font>
      <sz val="9"/>
      <name val="Arial"/>
      <family val="0"/>
    </font>
    <font>
      <b/>
      <sz val="9"/>
      <name val="Arial"/>
      <family val="0"/>
    </font>
    <font>
      <sz val="7.5"/>
      <name val="Arial"/>
      <family val="0"/>
    </font>
    <font>
      <i/>
      <sz val="9"/>
      <name val="Arial"/>
      <family val="2"/>
    </font>
    <font>
      <i/>
      <sz val="8"/>
      <name val="Arial"/>
      <family val="2"/>
    </font>
    <font>
      <vertAlign val="superscript"/>
      <sz val="10"/>
      <name val="Arial"/>
      <family val="2"/>
    </font>
    <font>
      <b/>
      <vertAlign val="superscript"/>
      <sz val="10"/>
      <name val="Arial"/>
      <family val="2"/>
    </font>
    <font>
      <b/>
      <sz val="8"/>
      <name val="Arial"/>
      <family val="2"/>
    </font>
    <font>
      <sz val="10"/>
      <name val="Bookman Old Style"/>
      <family val="1"/>
    </font>
    <font>
      <vertAlign val="superscript"/>
      <sz val="9"/>
      <name val="Arial"/>
      <family val="0"/>
    </font>
    <font>
      <i/>
      <sz val="10"/>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5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medium"/>
      <top>
        <color indexed="63"/>
      </top>
      <bottom style="medium"/>
    </border>
    <border>
      <left style="thin"/>
      <right style="thin"/>
      <top style="medium"/>
      <bottom>
        <color indexed="63"/>
      </bottom>
    </border>
    <border>
      <left style="thin"/>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color indexed="63"/>
      </left>
      <right style="thin"/>
      <top style="medium"/>
      <bottom style="medium"/>
    </border>
    <border>
      <left style="thin"/>
      <right style="thin"/>
      <top style="medium"/>
      <bottom style="medium"/>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48">
    <xf numFmtId="0" fontId="0" fillId="0" borderId="0" xfId="0" applyAlignment="1">
      <alignment/>
    </xf>
    <xf numFmtId="0" fontId="0" fillId="0" borderId="0" xfId="0" applyAlignment="1">
      <alignment wrapText="1"/>
    </xf>
    <xf numFmtId="17" fontId="0" fillId="0" borderId="0" xfId="0" applyNumberFormat="1" applyAlignment="1">
      <alignment/>
    </xf>
    <xf numFmtId="0" fontId="0" fillId="0" borderId="0" xfId="0" applyNumberFormat="1" applyAlignment="1">
      <alignment/>
    </xf>
    <xf numFmtId="2" fontId="0" fillId="0" borderId="0" xfId="0" applyNumberFormat="1" applyAlignment="1">
      <alignment/>
    </xf>
    <xf numFmtId="2" fontId="4" fillId="2" borderId="0" xfId="0" applyNumberFormat="1" applyFont="1" applyFill="1" applyAlignment="1">
      <alignment/>
    </xf>
    <xf numFmtId="0" fontId="4" fillId="0" borderId="0" xfId="0" applyFont="1" applyAlignment="1">
      <alignment/>
    </xf>
    <xf numFmtId="0" fontId="3" fillId="0" borderId="0" xfId="0" applyFont="1" applyAlignment="1">
      <alignment horizontal="center"/>
    </xf>
    <xf numFmtId="0" fontId="2" fillId="0" borderId="0" xfId="0" applyFont="1" applyAlignment="1">
      <alignment/>
    </xf>
    <xf numFmtId="2" fontId="4" fillId="0" borderId="0" xfId="0" applyNumberFormat="1" applyFont="1" applyAlignment="1">
      <alignment/>
    </xf>
    <xf numFmtId="2" fontId="4" fillId="0" borderId="0" xfId="0" applyNumberFormat="1" applyFont="1" applyFill="1" applyAlignment="1">
      <alignment/>
    </xf>
    <xf numFmtId="0" fontId="0" fillId="0" borderId="0" xfId="0" applyFill="1" applyAlignment="1">
      <alignment/>
    </xf>
    <xf numFmtId="2" fontId="4" fillId="0" borderId="1" xfId="0" applyNumberFormat="1" applyFont="1" applyFill="1" applyBorder="1" applyAlignment="1">
      <alignment/>
    </xf>
    <xf numFmtId="4" fontId="4" fillId="2" borderId="0" xfId="0" applyNumberFormat="1" applyFont="1" applyFill="1" applyAlignment="1">
      <alignment/>
    </xf>
    <xf numFmtId="2" fontId="5" fillId="0" borderId="0" xfId="0" applyNumberFormat="1" applyFont="1" applyAlignment="1">
      <alignment/>
    </xf>
    <xf numFmtId="22" fontId="0" fillId="0" borderId="0" xfId="0" applyNumberFormat="1" applyAlignment="1">
      <alignment/>
    </xf>
    <xf numFmtId="0" fontId="0" fillId="0" borderId="0" xfId="0" applyAlignment="1">
      <alignment horizontal="center"/>
    </xf>
    <xf numFmtId="0" fontId="5" fillId="0" borderId="0" xfId="0" applyFont="1" applyAlignment="1">
      <alignment/>
    </xf>
    <xf numFmtId="16" fontId="0" fillId="0" borderId="0" xfId="0" applyNumberFormat="1" applyAlignment="1">
      <alignment horizontal="center"/>
    </xf>
    <xf numFmtId="17" fontId="0" fillId="0" borderId="0" xfId="0" applyNumberFormat="1" applyAlignment="1">
      <alignment horizontal="center"/>
    </xf>
    <xf numFmtId="12" fontId="0" fillId="0" borderId="0" xfId="0" applyNumberFormat="1" applyAlignment="1">
      <alignment horizontal="center"/>
    </xf>
    <xf numFmtId="0" fontId="0" fillId="0" borderId="2" xfId="0" applyBorder="1" applyAlignment="1">
      <alignment horizontal="center"/>
    </xf>
    <xf numFmtId="0" fontId="0" fillId="0" borderId="2" xfId="0" applyBorder="1" applyAlignment="1">
      <alignment/>
    </xf>
    <xf numFmtId="0" fontId="4" fillId="0" borderId="2" xfId="0" applyFont="1" applyBorder="1" applyAlignment="1">
      <alignment horizontal="center"/>
    </xf>
    <xf numFmtId="0" fontId="0" fillId="0" borderId="0" xfId="0" applyBorder="1" applyAlignment="1">
      <alignment horizontal="center"/>
    </xf>
    <xf numFmtId="0" fontId="9" fillId="0" borderId="2" xfId="0" applyFont="1" applyBorder="1" applyAlignment="1">
      <alignment/>
    </xf>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9" fillId="0" borderId="2" xfId="0" applyFont="1" applyBorder="1" applyAlignment="1">
      <alignment horizontal="center"/>
    </xf>
    <xf numFmtId="0" fontId="0" fillId="0" borderId="0" xfId="0" applyBorder="1" applyAlignment="1">
      <alignment/>
    </xf>
    <xf numFmtId="2" fontId="0" fillId="2" borderId="0" xfId="0" applyNumberFormat="1" applyFill="1" applyAlignment="1">
      <alignment/>
    </xf>
    <xf numFmtId="0" fontId="4" fillId="2" borderId="0" xfId="0" applyFont="1" applyFill="1" applyAlignment="1">
      <alignment/>
    </xf>
    <xf numFmtId="4" fontId="0" fillId="0" borderId="0" xfId="0" applyNumberFormat="1" applyFont="1" applyFill="1" applyAlignment="1">
      <alignment/>
    </xf>
    <xf numFmtId="0" fontId="4" fillId="3" borderId="0" xfId="0" applyFont="1" applyFill="1" applyAlignment="1">
      <alignmen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0" borderId="0" xfId="0" applyFill="1" applyBorder="1" applyAlignment="1">
      <alignment horizont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2" fontId="0" fillId="0" borderId="11" xfId="0" applyNumberFormat="1" applyBorder="1" applyAlignment="1">
      <alignment horizontal="center"/>
    </xf>
    <xf numFmtId="12" fontId="0" fillId="0" borderId="0" xfId="0" applyNumberFormat="1" applyBorder="1" applyAlignment="1">
      <alignment horizontal="center"/>
    </xf>
    <xf numFmtId="13" fontId="0" fillId="0" borderId="11" xfId="0" applyNumberFormat="1" applyBorder="1" applyAlignment="1">
      <alignment horizont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6" xfId="0" applyFill="1" applyBorder="1" applyAlignment="1">
      <alignment horizontal="center"/>
    </xf>
    <xf numFmtId="0" fontId="0" fillId="0" borderId="4" xfId="0" applyBorder="1" applyAlignment="1">
      <alignment horizontal="center" vertical="center" wrapText="1"/>
    </xf>
    <xf numFmtId="0" fontId="0" fillId="0" borderId="3" xfId="0" applyFill="1" applyBorder="1" applyAlignment="1">
      <alignment horizontal="center"/>
    </xf>
    <xf numFmtId="12" fontId="0" fillId="0" borderId="12" xfId="0" applyNumberFormat="1" applyBorder="1" applyAlignment="1">
      <alignment horizontal="center"/>
    </xf>
    <xf numFmtId="0" fontId="0" fillId="0" borderId="4" xfId="0" applyFill="1" applyBorder="1" applyAlignment="1">
      <alignment horizontal="center"/>
    </xf>
    <xf numFmtId="0" fontId="13" fillId="0" borderId="0" xfId="0" applyFont="1" applyAlignment="1">
      <alignment/>
    </xf>
    <xf numFmtId="0" fontId="13" fillId="0" borderId="0" xfId="0" applyNumberFormat="1" applyFont="1" applyAlignment="1">
      <alignment/>
    </xf>
    <xf numFmtId="17" fontId="13" fillId="0" borderId="0" xfId="0" applyNumberFormat="1" applyFont="1" applyAlignment="1">
      <alignment/>
    </xf>
    <xf numFmtId="1" fontId="0" fillId="0" borderId="0" xfId="0" applyNumberFormat="1" applyAlignment="1">
      <alignment/>
    </xf>
    <xf numFmtId="0" fontId="0" fillId="0" borderId="0" xfId="0" applyFont="1" applyAlignment="1">
      <alignment/>
    </xf>
    <xf numFmtId="0" fontId="0" fillId="0" borderId="0" xfId="0" applyNumberFormat="1" applyFont="1" applyAlignment="1">
      <alignment/>
    </xf>
    <xf numFmtId="0" fontId="4" fillId="2" borderId="0" xfId="0" applyFont="1" applyFill="1" applyAlignment="1">
      <alignment horizontal="center"/>
    </xf>
    <xf numFmtId="0" fontId="8" fillId="2" borderId="0" xfId="0" applyFont="1" applyFill="1" applyAlignment="1">
      <alignment horizontal="center"/>
    </xf>
    <xf numFmtId="0" fontId="15" fillId="0" borderId="0" xfId="0" applyFont="1" applyAlignment="1">
      <alignment/>
    </xf>
    <xf numFmtId="0" fontId="15" fillId="0" borderId="13" xfId="0" applyFont="1" applyBorder="1" applyAlignment="1">
      <alignment/>
    </xf>
    <xf numFmtId="0" fontId="0" fillId="0" borderId="14" xfId="0" applyBorder="1" applyAlignment="1">
      <alignment/>
    </xf>
    <xf numFmtId="0" fontId="0" fillId="0" borderId="15" xfId="0" applyBorder="1" applyAlignment="1">
      <alignment/>
    </xf>
    <xf numFmtId="0" fontId="4" fillId="0" borderId="16" xfId="0" applyFont="1" applyBorder="1" applyAlignment="1">
      <alignment/>
    </xf>
    <xf numFmtId="0" fontId="0" fillId="0" borderId="13" xfId="0" applyBorder="1" applyAlignment="1">
      <alignment/>
    </xf>
    <xf numFmtId="0" fontId="3" fillId="4" borderId="0" xfId="0" applyFont="1" applyFill="1" applyAlignment="1">
      <alignment horizontal="center"/>
    </xf>
    <xf numFmtId="2" fontId="13" fillId="0" borderId="0" xfId="0" applyNumberFormat="1" applyFont="1" applyAlignment="1">
      <alignment/>
    </xf>
    <xf numFmtId="2" fontId="0" fillId="0" borderId="0" xfId="0" applyNumberFormat="1" applyFill="1" applyAlignment="1">
      <alignment/>
    </xf>
    <xf numFmtId="0" fontId="1" fillId="0" borderId="0" xfId="0" applyFont="1" applyAlignment="1">
      <alignment wrapText="1"/>
    </xf>
    <xf numFmtId="0" fontId="16" fillId="0" borderId="0" xfId="0" applyFont="1" applyBorder="1" applyAlignment="1">
      <alignment/>
    </xf>
    <xf numFmtId="17" fontId="16" fillId="0" borderId="8" xfId="0" applyNumberFormat="1" applyFont="1" applyBorder="1" applyAlignment="1">
      <alignment horizontal="center"/>
    </xf>
    <xf numFmtId="17" fontId="16" fillId="0" borderId="9" xfId="0" applyNumberFormat="1" applyFont="1" applyBorder="1" applyAlignment="1">
      <alignment horizontal="center"/>
    </xf>
    <xf numFmtId="20" fontId="16" fillId="0" borderId="6" xfId="0" applyNumberFormat="1" applyFont="1" applyBorder="1" applyAlignment="1">
      <alignment/>
    </xf>
    <xf numFmtId="2" fontId="16" fillId="0" borderId="6" xfId="0" applyNumberFormat="1" applyFont="1" applyBorder="1" applyAlignment="1">
      <alignment horizontal="center"/>
    </xf>
    <xf numFmtId="2" fontId="16" fillId="0" borderId="0" xfId="0" applyNumberFormat="1" applyFont="1" applyBorder="1" applyAlignment="1">
      <alignment horizontal="center"/>
    </xf>
    <xf numFmtId="20" fontId="16" fillId="2" borderId="6" xfId="0" applyNumberFormat="1" applyFont="1" applyFill="1" applyBorder="1" applyAlignment="1">
      <alignment/>
    </xf>
    <xf numFmtId="0" fontId="16" fillId="2" borderId="0" xfId="0" applyFont="1" applyFill="1" applyBorder="1" applyAlignment="1">
      <alignment/>
    </xf>
    <xf numFmtId="2" fontId="16" fillId="2" borderId="6" xfId="0" applyNumberFormat="1" applyFont="1" applyFill="1" applyBorder="1" applyAlignment="1">
      <alignment horizontal="center"/>
    </xf>
    <xf numFmtId="2" fontId="16" fillId="2" borderId="0" xfId="0" applyNumberFormat="1" applyFont="1" applyFill="1" applyBorder="1" applyAlignment="1">
      <alignment horizontal="center"/>
    </xf>
    <xf numFmtId="20" fontId="16" fillId="0" borderId="4" xfId="0" applyNumberFormat="1" applyFont="1" applyBorder="1" applyAlignment="1">
      <alignment/>
    </xf>
    <xf numFmtId="0" fontId="16" fillId="0" borderId="3" xfId="0" applyFont="1" applyBorder="1" applyAlignment="1">
      <alignment/>
    </xf>
    <xf numFmtId="2" fontId="16" fillId="0" borderId="4" xfId="0" applyNumberFormat="1" applyFont="1" applyBorder="1" applyAlignment="1">
      <alignment horizontal="center"/>
    </xf>
    <xf numFmtId="2" fontId="16" fillId="0" borderId="3" xfId="0" applyNumberFormat="1" applyFont="1" applyBorder="1" applyAlignment="1">
      <alignment horizontal="center"/>
    </xf>
    <xf numFmtId="2" fontId="16" fillId="0" borderId="8" xfId="0" applyNumberFormat="1" applyFont="1" applyBorder="1" applyAlignment="1">
      <alignment horizontal="center"/>
    </xf>
    <xf numFmtId="2" fontId="16" fillId="0" borderId="9" xfId="0" applyNumberFormat="1" applyFont="1" applyBorder="1" applyAlignment="1">
      <alignment horizontal="center"/>
    </xf>
    <xf numFmtId="2" fontId="16" fillId="0" borderId="0" xfId="0" applyNumberFormat="1" applyFont="1" applyBorder="1" applyAlignment="1">
      <alignment/>
    </xf>
    <xf numFmtId="2" fontId="16" fillId="0" borderId="1" xfId="0" applyNumberFormat="1" applyFont="1" applyBorder="1" applyAlignment="1">
      <alignment/>
    </xf>
    <xf numFmtId="0" fontId="16" fillId="0" borderId="1" xfId="0" applyFont="1" applyBorder="1" applyAlignment="1">
      <alignment/>
    </xf>
    <xf numFmtId="2" fontId="16" fillId="0" borderId="3" xfId="0" applyNumberFormat="1" applyFont="1" applyBorder="1" applyAlignment="1">
      <alignment/>
    </xf>
    <xf numFmtId="0" fontId="16" fillId="0" borderId="12" xfId="0" applyFont="1" applyBorder="1" applyAlignment="1">
      <alignment/>
    </xf>
    <xf numFmtId="17" fontId="16" fillId="0" borderId="1" xfId="0" applyNumberFormat="1" applyFont="1" applyBorder="1" applyAlignment="1">
      <alignment horizontal="center"/>
    </xf>
    <xf numFmtId="2" fontId="16" fillId="0" borderId="11" xfId="0" applyNumberFormat="1" applyFont="1" applyBorder="1" applyAlignment="1">
      <alignment horizontal="center"/>
    </xf>
    <xf numFmtId="2" fontId="16" fillId="2" borderId="11" xfId="0" applyNumberFormat="1" applyFont="1" applyFill="1" applyBorder="1" applyAlignment="1">
      <alignment horizontal="center"/>
    </xf>
    <xf numFmtId="2" fontId="16" fillId="0" borderId="12" xfId="0" applyNumberFormat="1" applyFont="1" applyBorder="1" applyAlignment="1">
      <alignment horizontal="center"/>
    </xf>
    <xf numFmtId="2" fontId="16" fillId="0" borderId="1" xfId="0" applyNumberFormat="1" applyFont="1" applyBorder="1" applyAlignment="1">
      <alignment horizontal="center"/>
    </xf>
    <xf numFmtId="0" fontId="0" fillId="0" borderId="13" xfId="0" applyBorder="1" applyAlignment="1">
      <alignment horizontal="center"/>
    </xf>
    <xf numFmtId="0" fontId="4" fillId="0" borderId="2" xfId="0" applyFont="1" applyBorder="1" applyAlignment="1">
      <alignment/>
    </xf>
    <xf numFmtId="0" fontId="0" fillId="0" borderId="0" xfId="0" applyBorder="1" applyAlignment="1">
      <alignment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 fillId="0" borderId="0" xfId="0" applyFont="1" applyBorder="1" applyAlignment="1">
      <alignment/>
    </xf>
    <xf numFmtId="0" fontId="0" fillId="0" borderId="21" xfId="0" applyBorder="1" applyAlignment="1">
      <alignment/>
    </xf>
    <xf numFmtId="2" fontId="0" fillId="0" borderId="0" xfId="0" applyNumberFormat="1" applyBorder="1" applyAlignment="1">
      <alignment/>
    </xf>
    <xf numFmtId="0" fontId="4" fillId="0" borderId="22" xfId="0" applyFont="1" applyBorder="1" applyAlignment="1">
      <alignment/>
    </xf>
    <xf numFmtId="0" fontId="0" fillId="0" borderId="13" xfId="0" applyBorder="1" applyAlignment="1">
      <alignment/>
    </xf>
    <xf numFmtId="0" fontId="4" fillId="0" borderId="23" xfId="0" applyFont="1" applyBorder="1" applyAlignment="1">
      <alignment/>
    </xf>
    <xf numFmtId="0" fontId="0" fillId="0" borderId="2" xfId="0" applyBorder="1" applyAlignment="1">
      <alignment horizontal="left"/>
    </xf>
    <xf numFmtId="0" fontId="0" fillId="0" borderId="24" xfId="0" applyBorder="1" applyAlignment="1">
      <alignment/>
    </xf>
    <xf numFmtId="0" fontId="2" fillId="0" borderId="18" xfId="0" applyFont="1" applyBorder="1" applyAlignment="1">
      <alignment/>
    </xf>
    <xf numFmtId="0" fontId="0" fillId="0" borderId="25" xfId="0" applyBorder="1" applyAlignment="1">
      <alignment/>
    </xf>
    <xf numFmtId="0" fontId="0" fillId="0" borderId="22" xfId="0" applyBorder="1" applyAlignment="1">
      <alignment/>
    </xf>
    <xf numFmtId="0" fontId="0" fillId="0" borderId="13" xfId="0" applyBorder="1" applyAlignment="1">
      <alignment wrapText="1"/>
    </xf>
    <xf numFmtId="2" fontId="0" fillId="0" borderId="13" xfId="0" applyNumberFormat="1" applyBorder="1" applyAlignment="1">
      <alignment/>
    </xf>
    <xf numFmtId="0" fontId="0" fillId="0" borderId="23" xfId="0" applyBorder="1" applyAlignment="1">
      <alignment/>
    </xf>
    <xf numFmtId="2" fontId="0" fillId="0" borderId="2" xfId="0" applyNumberFormat="1" applyBorder="1" applyAlignment="1">
      <alignment/>
    </xf>
    <xf numFmtId="2" fontId="0" fillId="0" borderId="26" xfId="0" applyNumberFormat="1" applyBorder="1" applyAlignment="1">
      <alignment horizontal="right"/>
    </xf>
    <xf numFmtId="2" fontId="0" fillId="0" borderId="27" xfId="0" applyNumberFormat="1" applyBorder="1" applyAlignment="1">
      <alignment/>
    </xf>
    <xf numFmtId="0" fontId="0" fillId="0" borderId="28" xfId="0" applyBorder="1" applyAlignment="1">
      <alignment/>
    </xf>
    <xf numFmtId="0" fontId="0" fillId="0" borderId="28" xfId="0" applyBorder="1" applyAlignment="1">
      <alignment horizontal="center" wrapText="1"/>
    </xf>
    <xf numFmtId="0" fontId="0" fillId="0" borderId="25" xfId="0" applyBorder="1" applyAlignment="1">
      <alignment wrapText="1"/>
    </xf>
    <xf numFmtId="0" fontId="0" fillId="0" borderId="28" xfId="0" applyBorder="1" applyAlignment="1">
      <alignment wrapText="1"/>
    </xf>
    <xf numFmtId="0" fontId="0" fillId="0" borderId="29" xfId="0" applyBorder="1" applyAlignment="1">
      <alignment/>
    </xf>
    <xf numFmtId="0" fontId="4" fillId="0" borderId="2" xfId="0" applyFont="1" applyBorder="1" applyAlignment="1">
      <alignment/>
    </xf>
    <xf numFmtId="9" fontId="0" fillId="0" borderId="0" xfId="0" applyNumberFormat="1" applyBorder="1" applyAlignment="1">
      <alignment/>
    </xf>
    <xf numFmtId="0" fontId="9" fillId="0" borderId="2" xfId="0" applyFont="1" applyBorder="1" applyAlignment="1">
      <alignment horizontal="center" vertical="center"/>
    </xf>
    <xf numFmtId="0" fontId="9" fillId="0" borderId="30" xfId="0" applyFont="1" applyBorder="1" applyAlignment="1">
      <alignment horizontal="center"/>
    </xf>
    <xf numFmtId="0" fontId="16"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xf>
    <xf numFmtId="0" fontId="0" fillId="0" borderId="8" xfId="0" applyBorder="1" applyAlignment="1">
      <alignment horizontal="center"/>
    </xf>
    <xf numFmtId="0" fontId="16" fillId="0" borderId="1" xfId="0" applyFont="1" applyBorder="1" applyAlignment="1">
      <alignment horizontal="center" vertical="center" wrapText="1"/>
    </xf>
    <xf numFmtId="0" fontId="0" fillId="0" borderId="1" xfId="0" applyBorder="1" applyAlignment="1">
      <alignment horizontal="center" vertical="center"/>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16" fillId="0" borderId="33"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 xfId="0"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36" xfId="0" applyBorder="1" applyAlignment="1">
      <alignment/>
    </xf>
    <xf numFmtId="0" fontId="0" fillId="0" borderId="7" xfId="0" applyBorder="1" applyAlignment="1">
      <alignment vertical="center" wrapText="1"/>
    </xf>
    <xf numFmtId="0" fontId="0" fillId="0" borderId="11"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34" xfId="0" applyBorder="1" applyAlignment="1">
      <alignment horizontal="center" vertical="center" wrapText="1"/>
    </xf>
    <xf numFmtId="0" fontId="0" fillId="0" borderId="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 xfId="0" applyFont="1" applyBorder="1" applyAlignment="1">
      <alignment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Fill="1" applyBorder="1" applyAlignment="1">
      <alignment vertical="center" wrapText="1"/>
    </xf>
    <xf numFmtId="0" fontId="0" fillId="0" borderId="31" xfId="0" applyBorder="1" applyAlignment="1">
      <alignment horizontal="center"/>
    </xf>
    <xf numFmtId="0" fontId="0" fillId="0" borderId="40" xfId="0" applyBorder="1" applyAlignment="1">
      <alignment horizontal="center"/>
    </xf>
    <xf numFmtId="0" fontId="20" fillId="0" borderId="0" xfId="0" applyFont="1" applyAlignment="1">
      <alignment/>
    </xf>
    <xf numFmtId="0" fontId="9" fillId="0" borderId="4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8" xfId="0" applyFont="1" applyBorder="1" applyAlignment="1">
      <alignment horizontal="center" vertical="center"/>
    </xf>
    <xf numFmtId="0" fontId="9" fillId="0" borderId="37" xfId="0" applyFont="1"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center"/>
    </xf>
    <xf numFmtId="17" fontId="9" fillId="0" borderId="7" xfId="0" applyNumberFormat="1" applyFont="1" applyBorder="1" applyAlignment="1">
      <alignment horizontal="center"/>
    </xf>
    <xf numFmtId="0" fontId="9" fillId="0" borderId="7" xfId="0" applyFont="1" applyBorder="1" applyAlignment="1">
      <alignment horizontal="center"/>
    </xf>
    <xf numFmtId="16" fontId="9" fillId="0" borderId="7" xfId="0" applyNumberFormat="1" applyFont="1" applyBorder="1" applyAlignment="1">
      <alignment horizontal="center"/>
    </xf>
    <xf numFmtId="12" fontId="9" fillId="0" borderId="7" xfId="0" applyNumberFormat="1" applyFont="1" applyBorder="1" applyAlignment="1">
      <alignment horizontal="center"/>
    </xf>
    <xf numFmtId="0" fontId="9" fillId="0" borderId="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 xfId="0" applyFont="1" applyBorder="1" applyAlignment="1">
      <alignment horizontal="center"/>
    </xf>
    <xf numFmtId="12" fontId="9" fillId="0" borderId="5" xfId="0" applyNumberFormat="1" applyFont="1" applyBorder="1" applyAlignment="1">
      <alignment horizont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0" fillId="0" borderId="35" xfId="0" applyFill="1" applyBorder="1" applyAlignment="1">
      <alignment horizontal="center"/>
    </xf>
    <xf numFmtId="0" fontId="0" fillId="0" borderId="36" xfId="0" applyBorder="1" applyAlignment="1">
      <alignment horizontal="center"/>
    </xf>
    <xf numFmtId="0" fontId="0" fillId="0" borderId="35" xfId="0" applyBorder="1" applyAlignment="1">
      <alignment horizontal="center"/>
    </xf>
    <xf numFmtId="0" fontId="0" fillId="0" borderId="7" xfId="0" applyFill="1" applyBorder="1" applyAlignment="1">
      <alignment horizontal="center"/>
    </xf>
    <xf numFmtId="0" fontId="0" fillId="0" borderId="5" xfId="0" applyFill="1" applyBorder="1" applyAlignment="1">
      <alignment horizontal="center"/>
    </xf>
    <xf numFmtId="0" fontId="0" fillId="0" borderId="1" xfId="0" applyBorder="1" applyAlignment="1">
      <alignment vertical="top" wrapText="1"/>
    </xf>
    <xf numFmtId="0" fontId="0" fillId="0" borderId="38" xfId="0" applyFill="1" applyBorder="1" applyAlignment="1">
      <alignment horizontal="center"/>
    </xf>
    <xf numFmtId="0" fontId="0" fillId="0" borderId="39" xfId="0" applyBorder="1" applyAlignment="1">
      <alignment horizontal="center"/>
    </xf>
    <xf numFmtId="0" fontId="9" fillId="0" borderId="15" xfId="0" applyFont="1" applyBorder="1" applyAlignment="1">
      <alignment horizontal="center" vertical="center" wrapText="1"/>
    </xf>
    <xf numFmtId="0" fontId="9" fillId="0" borderId="30" xfId="0" applyFont="1" applyBorder="1" applyAlignment="1">
      <alignment horizontal="center"/>
    </xf>
    <xf numFmtId="0" fontId="9" fillId="0" borderId="14" xfId="0" applyFont="1" applyBorder="1" applyAlignment="1">
      <alignment horizontal="center"/>
    </xf>
    <xf numFmtId="0" fontId="0" fillId="0" borderId="0" xfId="0" applyFont="1" applyAlignment="1">
      <alignment/>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9" xfId="0" applyFont="1" applyFill="1" applyBorder="1" applyAlignment="1">
      <alignment vertical="center" wrapText="1"/>
    </xf>
    <xf numFmtId="0" fontId="0" fillId="0" borderId="8" xfId="0" applyBorder="1" applyAlignment="1">
      <alignment vertical="top" wrapText="1"/>
    </xf>
    <xf numFmtId="0" fontId="0" fillId="0" borderId="31" xfId="0" applyBorder="1" applyAlignment="1">
      <alignment vertical="top" wrapText="1"/>
    </xf>
    <xf numFmtId="0" fontId="0" fillId="0" borderId="40" xfId="0" applyBorder="1" applyAlignment="1">
      <alignment vertical="top" wrapText="1"/>
    </xf>
    <xf numFmtId="0" fontId="0" fillId="0" borderId="0" xfId="0" applyAlignment="1">
      <alignment horizontal="center" vertical="center"/>
    </xf>
    <xf numFmtId="0" fontId="0" fillId="0" borderId="0" xfId="0" applyFill="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1" fillId="0" borderId="33" xfId="0" applyFont="1" applyBorder="1" applyAlignment="1">
      <alignment horizontal="center" vertical="center" wrapText="1"/>
    </xf>
    <xf numFmtId="0" fontId="0" fillId="0" borderId="43" xfId="0" applyBorder="1" applyAlignment="1">
      <alignment horizontal="center"/>
    </xf>
    <xf numFmtId="0" fontId="9" fillId="0" borderId="12" xfId="0" applyFont="1" applyBorder="1" applyAlignment="1">
      <alignment horizontal="center"/>
    </xf>
    <xf numFmtId="0" fontId="9" fillId="0" borderId="4" xfId="0" applyFont="1" applyBorder="1" applyAlignment="1">
      <alignment horizontal="center"/>
    </xf>
    <xf numFmtId="0" fontId="9" fillId="0" borderId="12" xfId="0" applyFont="1" applyFill="1" applyBorder="1" applyAlignment="1">
      <alignment horizontal="center"/>
    </xf>
    <xf numFmtId="0" fontId="1" fillId="0" borderId="0" xfId="0" applyFont="1" applyFill="1" applyBorder="1" applyAlignment="1">
      <alignment horizontal="left"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0" fillId="0" borderId="9" xfId="0" applyBorder="1" applyAlignment="1">
      <alignment horizontal="center"/>
    </xf>
    <xf numFmtId="0" fontId="3" fillId="0" borderId="18"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4" fillId="0" borderId="2" xfId="0" applyFont="1" applyBorder="1" applyAlignment="1">
      <alignment horizontal="center" vertical="center"/>
    </xf>
    <xf numFmtId="0" fontId="9" fillId="0" borderId="11" xfId="0" applyFont="1" applyFill="1" applyBorder="1" applyAlignment="1">
      <alignment horizontal="center"/>
    </xf>
    <xf numFmtId="0" fontId="9" fillId="0" borderId="6" xfId="0" applyFont="1" applyFill="1" applyBorder="1" applyAlignment="1">
      <alignment horizontal="center"/>
    </xf>
    <xf numFmtId="0" fontId="9" fillId="0" borderId="39" xfId="0" applyFont="1" applyFill="1" applyBorder="1" applyAlignment="1">
      <alignment horizontal="center"/>
    </xf>
    <xf numFmtId="0" fontId="9" fillId="0" borderId="15" xfId="0" applyFont="1" applyFill="1" applyBorder="1" applyAlignment="1">
      <alignment horizontal="center"/>
    </xf>
    <xf numFmtId="0" fontId="9" fillId="0" borderId="44"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1" xfId="0" applyFont="1" applyBorder="1" applyAlignment="1">
      <alignment horizontal="center"/>
    </xf>
    <xf numFmtId="0" fontId="9" fillId="0" borderId="6" xfId="0" applyFont="1" applyBorder="1" applyAlignment="1">
      <alignment horizontal="center"/>
    </xf>
    <xf numFmtId="0" fontId="9" fillId="0" borderId="44" xfId="0" applyFont="1" applyBorder="1" applyAlignment="1">
      <alignment horizontal="center" wrapText="1"/>
    </xf>
    <xf numFmtId="0" fontId="9" fillId="0" borderId="10" xfId="0" applyFont="1" applyBorder="1" applyAlignment="1">
      <alignment horizontal="center" wrapText="1"/>
    </xf>
    <xf numFmtId="0" fontId="3" fillId="0" borderId="31"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20" fillId="0" borderId="0" xfId="0" applyFont="1" applyAlignment="1">
      <alignment wrapText="1"/>
    </xf>
    <xf numFmtId="0" fontId="0" fillId="0" borderId="44"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3" fillId="0" borderId="45" xfId="0" applyFont="1" applyBorder="1" applyAlignment="1">
      <alignment horizontal="center"/>
    </xf>
    <xf numFmtId="0" fontId="0" fillId="0" borderId="1" xfId="0" applyFill="1" applyBorder="1" applyAlignment="1">
      <alignment vertical="top" wrapText="1"/>
    </xf>
    <xf numFmtId="0" fontId="0" fillId="0" borderId="33" xfId="0" applyFill="1" applyBorder="1" applyAlignment="1">
      <alignment vertical="top" wrapText="1"/>
    </xf>
    <xf numFmtId="0" fontId="9" fillId="0" borderId="1" xfId="0" applyFont="1" applyBorder="1" applyAlignment="1">
      <alignment vertical="center" wrapText="1"/>
    </xf>
    <xf numFmtId="0" fontId="9" fillId="0" borderId="8" xfId="0" applyFont="1" applyBorder="1" applyAlignment="1">
      <alignment vertical="center" wrapText="1"/>
    </xf>
    <xf numFmtId="0" fontId="0" fillId="0" borderId="1"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3" fillId="0" borderId="40" xfId="0" applyFont="1" applyBorder="1" applyAlignment="1">
      <alignment horizontal="center"/>
    </xf>
    <xf numFmtId="0" fontId="0" fillId="0" borderId="0" xfId="0" applyFill="1" applyBorder="1" applyAlignment="1">
      <alignment/>
    </xf>
    <xf numFmtId="0" fontId="0" fillId="0" borderId="0" xfId="0" applyAlignment="1">
      <alignment/>
    </xf>
    <xf numFmtId="0" fontId="0" fillId="0" borderId="0" xfId="0" applyFill="1" applyBorder="1" applyAlignment="1">
      <alignment wrapText="1"/>
    </xf>
    <xf numFmtId="0" fontId="0" fillId="0" borderId="0" xfId="0" applyAlignment="1">
      <alignment horizontal="left" wrapText="1"/>
    </xf>
    <xf numFmtId="0" fontId="0" fillId="0" borderId="1" xfId="0" applyBorder="1" applyAlignment="1">
      <alignment vertical="top" wrapText="1"/>
    </xf>
    <xf numFmtId="0" fontId="0" fillId="0" borderId="8" xfId="0" applyBorder="1" applyAlignment="1">
      <alignment vertical="top"/>
    </xf>
    <xf numFmtId="0" fontId="16" fillId="0" borderId="10" xfId="0" applyFont="1" applyFill="1" applyBorder="1" applyAlignment="1">
      <alignment vertical="center" wrapText="1"/>
    </xf>
    <xf numFmtId="0" fontId="1" fillId="0" borderId="3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3" xfId="0" applyFont="1" applyBorder="1" applyAlignment="1">
      <alignment horizontal="center" vertical="center" wrapText="1"/>
    </xf>
    <xf numFmtId="0" fontId="16" fillId="0" borderId="1" xfId="0" applyFont="1" applyFill="1" applyBorder="1" applyAlignment="1">
      <alignment vertical="center" wrapText="1"/>
    </xf>
    <xf numFmtId="0" fontId="16" fillId="0" borderId="10" xfId="0" applyFont="1" applyBorder="1" applyAlignment="1">
      <alignment vertical="center" wrapText="1"/>
    </xf>
    <xf numFmtId="0" fontId="16" fillId="0" borderId="1" xfId="0" applyFont="1" applyBorder="1" applyAlignment="1">
      <alignment vertical="center" wrapText="1"/>
    </xf>
    <xf numFmtId="0" fontId="1" fillId="0" borderId="40"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9" fillId="0" borderId="33" xfId="0" applyFont="1" applyBorder="1" applyAlignment="1">
      <alignment horizontal="center" vertical="center"/>
    </xf>
    <xf numFmtId="0" fontId="0" fillId="0" borderId="12" xfId="0" applyBorder="1" applyAlignment="1">
      <alignment vertical="center" wrapText="1"/>
    </xf>
    <xf numFmtId="0" fontId="0" fillId="0" borderId="1" xfId="0" applyBorder="1" applyAlignment="1">
      <alignment vertical="center" wrapText="1"/>
    </xf>
    <xf numFmtId="0" fontId="0" fillId="0" borderId="33" xfId="0" applyBorder="1" applyAlignment="1">
      <alignment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6" xfId="0" applyFont="1" applyBorder="1" applyAlignment="1">
      <alignment horizontal="center" vertical="center" wrapText="1"/>
    </xf>
    <xf numFmtId="0" fontId="23" fillId="0" borderId="2" xfId="0" applyFont="1" applyBorder="1" applyAlignment="1">
      <alignment horizontal="center" wrapText="1"/>
    </xf>
    <xf numFmtId="0" fontId="19" fillId="0" borderId="13" xfId="0" applyFont="1" applyBorder="1" applyAlignment="1">
      <alignment wrapText="1"/>
    </xf>
    <xf numFmtId="0" fontId="0" fillId="0" borderId="36" xfId="0" applyBorder="1" applyAlignment="1">
      <alignment vertical="center" wrapText="1"/>
    </xf>
    <xf numFmtId="0" fontId="4" fillId="0" borderId="4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16" fillId="0" borderId="13" xfId="0" applyFont="1" applyBorder="1" applyAlignment="1">
      <alignment vertical="center" wrapText="1"/>
    </xf>
    <xf numFmtId="0" fontId="16" fillId="0" borderId="0" xfId="0" applyFont="1" applyAlignment="1">
      <alignment vertical="center" wrapText="1"/>
    </xf>
    <xf numFmtId="0" fontId="16" fillId="0" borderId="3" xfId="0" applyFont="1" applyBorder="1" applyAlignment="1">
      <alignment vertical="center" wrapText="1"/>
    </xf>
    <xf numFmtId="0" fontId="16" fillId="0" borderId="5" xfId="0" applyFont="1" applyBorder="1" applyAlignment="1">
      <alignment vertical="center" wrapText="1"/>
    </xf>
    <xf numFmtId="0" fontId="0" fillId="0" borderId="8" xfId="0" applyBorder="1" applyAlignment="1">
      <alignment horizontal="center" vertical="center"/>
    </xf>
    <xf numFmtId="0" fontId="0" fillId="2" borderId="1" xfId="0" applyFill="1" applyBorder="1" applyAlignment="1">
      <alignment horizontal="center" vertical="center"/>
    </xf>
    <xf numFmtId="0" fontId="0" fillId="0" borderId="8" xfId="0" applyBorder="1" applyAlignment="1">
      <alignment horizontal="center"/>
    </xf>
    <xf numFmtId="0" fontId="0" fillId="0" borderId="44"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23" fillId="0" borderId="31" xfId="0" applyFont="1" applyBorder="1" applyAlignment="1">
      <alignment horizontal="center" vertical="center" wrapText="1"/>
    </xf>
    <xf numFmtId="0" fontId="23" fillId="0" borderId="40"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0" borderId="2" xfId="0" applyFont="1" applyBorder="1" applyAlignment="1">
      <alignment horizontal="center"/>
    </xf>
    <xf numFmtId="0" fontId="17" fillId="0" borderId="31" xfId="0" applyFont="1" applyBorder="1" applyAlignment="1">
      <alignment horizontal="center"/>
    </xf>
    <xf numFmtId="0" fontId="17" fillId="0" borderId="40" xfId="0" applyFont="1" applyBorder="1" applyAlignment="1">
      <alignment horizontal="center"/>
    </xf>
    <xf numFmtId="0" fontId="3" fillId="0" borderId="18" xfId="0" applyFont="1" applyBorder="1" applyAlignment="1">
      <alignment horizontal="center"/>
    </xf>
    <xf numFmtId="0" fontId="15" fillId="0" borderId="0" xfId="0" applyFont="1" applyAlignment="1">
      <alignment horizontal="left"/>
    </xf>
    <xf numFmtId="0" fontId="15" fillId="0" borderId="2" xfId="0" applyFont="1" applyBorder="1" applyAlignment="1">
      <alignment horizontal="left"/>
    </xf>
    <xf numFmtId="0" fontId="15" fillId="0" borderId="0" xfId="0" applyFont="1" applyAlignment="1">
      <alignment horizontal="center"/>
    </xf>
    <xf numFmtId="0" fontId="3" fillId="0" borderId="46" xfId="0" applyFont="1" applyBorder="1" applyAlignment="1">
      <alignment horizontal="center"/>
    </xf>
    <xf numFmtId="0" fontId="0" fillId="0" borderId="0" xfId="0" applyAlignment="1">
      <alignment horizontal="left"/>
    </xf>
    <xf numFmtId="0" fontId="9" fillId="0" borderId="2" xfId="0" applyFont="1" applyBorder="1" applyAlignment="1">
      <alignment horizontal="center"/>
    </xf>
    <xf numFmtId="0" fontId="9" fillId="0" borderId="0" xfId="0" applyFont="1" applyAlignment="1">
      <alignment/>
    </xf>
    <xf numFmtId="0" fontId="9" fillId="0" borderId="0" xfId="0" applyFont="1" applyAlignment="1">
      <alignment wrapText="1"/>
    </xf>
    <xf numFmtId="0" fontId="8" fillId="0" borderId="3" xfId="0" applyFont="1" applyBorder="1" applyAlignment="1">
      <alignment/>
    </xf>
    <xf numFmtId="0" fontId="1" fillId="0" borderId="0" xfId="0" applyFont="1" applyAlignment="1">
      <alignment/>
    </xf>
    <xf numFmtId="0" fontId="12" fillId="0" borderId="0" xfId="0" applyFont="1" applyAlignment="1">
      <alignment wrapText="1"/>
    </xf>
    <xf numFmtId="0" fontId="1" fillId="0" borderId="0" xfId="0" applyFont="1" applyAlignment="1">
      <alignment wrapText="1"/>
    </xf>
    <xf numFmtId="0" fontId="4" fillId="0" borderId="0" xfId="0" applyFont="1" applyAlignment="1">
      <alignment horizontal="center"/>
    </xf>
    <xf numFmtId="0" fontId="1" fillId="0" borderId="36" xfId="0" applyFont="1" applyBorder="1" applyAlignment="1">
      <alignment horizontal="center" wrapText="1"/>
    </xf>
    <xf numFmtId="0" fontId="1" fillId="0" borderId="11" xfId="0" applyFont="1" applyBorder="1" applyAlignment="1">
      <alignment horizontal="center" wrapText="1"/>
    </xf>
    <xf numFmtId="0" fontId="1" fillId="0" borderId="3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0" xfId="0" applyAlignment="1">
      <alignment wrapText="1"/>
    </xf>
    <xf numFmtId="0" fontId="0" fillId="0" borderId="18"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4" fillId="0" borderId="2" xfId="0" applyFont="1" applyBorder="1" applyAlignment="1">
      <alignment/>
    </xf>
    <xf numFmtId="0" fontId="0" fillId="0" borderId="2" xfId="0" applyBorder="1" applyAlignment="1">
      <alignment wrapText="1"/>
    </xf>
    <xf numFmtId="0" fontId="0" fillId="0" borderId="0" xfId="0" applyAlignment="1">
      <alignment horizontal="center" wrapText="1"/>
    </xf>
    <xf numFmtId="0" fontId="0" fillId="0" borderId="0" xfId="0" applyAlignment="1">
      <alignment horizontal="center"/>
    </xf>
    <xf numFmtId="0" fontId="8" fillId="0" borderId="2" xfId="0" applyFont="1" applyBorder="1" applyAlignment="1">
      <alignment horizontal="center"/>
    </xf>
    <xf numFmtId="0" fontId="4" fillId="0" borderId="0" xfId="0" applyFont="1" applyAlignment="1">
      <alignment horizontal="center" wrapText="1"/>
    </xf>
    <xf numFmtId="0" fontId="9" fillId="0" borderId="18" xfId="0" applyFont="1" applyBorder="1" applyAlignment="1">
      <alignment horizont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xf>
    <xf numFmtId="0" fontId="0" fillId="0" borderId="10" xfId="0" applyBorder="1" applyAlignment="1">
      <alignment vertical="center" wrapText="1"/>
    </xf>
    <xf numFmtId="0" fontId="11" fillId="0" borderId="2" xfId="0" applyFont="1" applyBorder="1" applyAlignment="1">
      <alignment/>
    </xf>
    <xf numFmtId="0" fontId="11" fillId="0" borderId="0" xfId="0" applyFont="1" applyAlignment="1">
      <alignment/>
    </xf>
    <xf numFmtId="0" fontId="11" fillId="0" borderId="13" xfId="0" applyFont="1" applyBorder="1" applyAlignment="1">
      <alignment/>
    </xf>
    <xf numFmtId="0" fontId="0" fillId="0" borderId="0" xfId="0" applyFont="1" applyAlignment="1">
      <alignment horizontal="left"/>
    </xf>
    <xf numFmtId="0" fontId="0" fillId="0" borderId="32" xfId="0" applyBorder="1" applyAlignment="1">
      <alignment vertical="center" wrapText="1"/>
    </xf>
    <xf numFmtId="0" fontId="0" fillId="0" borderId="33" xfId="0" applyBorder="1" applyAlignment="1">
      <alignment vertical="top" wrapText="1"/>
    </xf>
    <xf numFmtId="0" fontId="0" fillId="0" borderId="44" xfId="0" applyBorder="1" applyAlignment="1">
      <alignment vertical="center" wrapText="1"/>
    </xf>
    <xf numFmtId="0" fontId="0" fillId="0" borderId="8" xfId="0" applyBorder="1" applyAlignment="1">
      <alignment vertical="top" wrapText="1"/>
    </xf>
    <xf numFmtId="0" fontId="0" fillId="0" borderId="34" xfId="0" applyBorder="1" applyAlignment="1">
      <alignment vertical="top" wrapText="1"/>
    </xf>
    <xf numFmtId="0" fontId="0" fillId="0" borderId="0" xfId="0" applyAlignment="1">
      <alignment horizontal="center" vertical="center"/>
    </xf>
    <xf numFmtId="0" fontId="0" fillId="0" borderId="13"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xf>
    <xf numFmtId="0" fontId="0" fillId="0" borderId="43" xfId="0" applyBorder="1" applyAlignment="1">
      <alignment/>
    </xf>
    <xf numFmtId="0" fontId="0" fillId="0" borderId="0" xfId="0" applyBorder="1" applyAlignment="1">
      <alignment/>
    </xf>
    <xf numFmtId="0" fontId="0" fillId="0" borderId="43" xfId="0" applyBorder="1" applyAlignment="1">
      <alignment horizontal="center" vertical="center"/>
    </xf>
    <xf numFmtId="0" fontId="0" fillId="0" borderId="43" xfId="0" applyBorder="1" applyAlignment="1">
      <alignment horizontal="center"/>
    </xf>
    <xf numFmtId="0" fontId="0" fillId="0" borderId="0" xfId="0" applyBorder="1" applyAlignment="1">
      <alignment horizontal="center"/>
    </xf>
    <xf numFmtId="0" fontId="0" fillId="0" borderId="0" xfId="0"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xf>
    <xf numFmtId="0" fontId="3" fillId="0" borderId="0" xfId="0" applyFont="1" applyAlignment="1">
      <alignment horizontal="center"/>
    </xf>
    <xf numFmtId="2" fontId="4" fillId="0" borderId="17" xfId="0" applyNumberFormat="1" applyFont="1" applyBorder="1" applyAlignment="1">
      <alignment horizontal="center"/>
    </xf>
    <xf numFmtId="2" fontId="4" fillId="0" borderId="18" xfId="0" applyNumberFormat="1" applyFont="1" applyBorder="1" applyAlignment="1">
      <alignment horizontal="center"/>
    </xf>
    <xf numFmtId="2" fontId="4" fillId="0" borderId="25" xfId="0" applyNumberFormat="1" applyFont="1" applyBorder="1" applyAlignment="1">
      <alignment horizontal="center"/>
    </xf>
    <xf numFmtId="0" fontId="0" fillId="0" borderId="1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26" xfId="0" applyBorder="1" applyAlignment="1">
      <alignment horizontal="center" wrapText="1"/>
    </xf>
    <xf numFmtId="0" fontId="0" fillId="0" borderId="27" xfId="0" applyBorder="1" applyAlignment="1">
      <alignment horizontal="center" wrapText="1"/>
    </xf>
    <xf numFmtId="0" fontId="4" fillId="0" borderId="18" xfId="0" applyFont="1" applyBorder="1" applyAlignment="1">
      <alignment horizontal="center"/>
    </xf>
    <xf numFmtId="0" fontId="4" fillId="0" borderId="25" xfId="0" applyFont="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25" xfId="0" applyBorder="1" applyAlignment="1">
      <alignment horizontal="left"/>
    </xf>
    <xf numFmtId="0" fontId="4" fillId="0" borderId="13" xfId="0" applyFont="1" applyBorder="1" applyAlignment="1">
      <alignment/>
    </xf>
    <xf numFmtId="0" fontId="16" fillId="0" borderId="6" xfId="0" applyFont="1" applyBorder="1" applyAlignment="1">
      <alignment/>
    </xf>
    <xf numFmtId="0" fontId="16" fillId="0" borderId="0" xfId="0" applyFont="1" applyBorder="1" applyAlignment="1">
      <alignment/>
    </xf>
    <xf numFmtId="0" fontId="16" fillId="0" borderId="4" xfId="0" applyFont="1" applyBorder="1" applyAlignment="1">
      <alignment/>
    </xf>
    <xf numFmtId="0" fontId="16" fillId="0" borderId="3" xfId="0" applyFont="1" applyBorder="1" applyAlignment="1">
      <alignment/>
    </xf>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6" fillId="0" borderId="37" xfId="0" applyFont="1" applyBorder="1" applyAlignment="1">
      <alignment wrapText="1"/>
    </xf>
    <xf numFmtId="0" fontId="16" fillId="0" borderId="6" xfId="0" applyFont="1" applyBorder="1" applyAlignment="1">
      <alignment wrapText="1"/>
    </xf>
    <xf numFmtId="0" fontId="1" fillId="0" borderId="35" xfId="0" applyFont="1" applyBorder="1" applyAlignment="1">
      <alignment wrapText="1"/>
    </xf>
    <xf numFmtId="0" fontId="1" fillId="0" borderId="7" xfId="0" applyFont="1" applyBorder="1" applyAlignment="1">
      <alignment wrapText="1"/>
    </xf>
    <xf numFmtId="0" fontId="16" fillId="0" borderId="37" xfId="0" applyFont="1" applyBorder="1" applyAlignment="1">
      <alignment/>
    </xf>
    <xf numFmtId="0" fontId="16" fillId="0" borderId="35" xfId="0" applyFont="1" applyBorder="1" applyAlignment="1">
      <alignment/>
    </xf>
    <xf numFmtId="0" fontId="24" fillId="0" borderId="0" xfId="0" applyFont="1" applyAlignment="1">
      <alignment horizontal="center"/>
    </xf>
    <xf numFmtId="0" fontId="0" fillId="0" borderId="0" xfId="0" applyAlignment="1">
      <alignment horizontal="left" vertical="top" wrapText="1"/>
    </xf>
    <xf numFmtId="0" fontId="0" fillId="0" borderId="0" xfId="0" applyAlignment="1">
      <alignment vertical="top"/>
    </xf>
    <xf numFmtId="0" fontId="4" fillId="0" borderId="9" xfId="0" applyFont="1" applyBorder="1" applyAlignment="1">
      <alignment horizontal="left" wrapText="1"/>
    </xf>
    <xf numFmtId="0" fontId="4" fillId="0" borderId="9" xfId="0" applyFont="1" applyBorder="1" applyAlignment="1">
      <alignment horizontal="center" wrapText="1"/>
    </xf>
    <xf numFmtId="0" fontId="4" fillId="0" borderId="9" xfId="0" applyFont="1" applyBorder="1" applyAlignment="1">
      <alignment horizontal="center"/>
    </xf>
    <xf numFmtId="0" fontId="4" fillId="0" borderId="9" xfId="0" applyFont="1" applyBorder="1" applyAlignment="1">
      <alignment/>
    </xf>
    <xf numFmtId="0" fontId="4" fillId="0" borderId="9" xfId="0" applyFont="1" applyFill="1" applyBorder="1" applyAlignment="1">
      <alignment/>
    </xf>
    <xf numFmtId="0" fontId="0" fillId="0" borderId="9" xfId="0" applyFill="1" applyBorder="1" applyAlignment="1">
      <alignment/>
    </xf>
    <xf numFmtId="0" fontId="24" fillId="0" borderId="9" xfId="0" applyFont="1" applyBorder="1" applyAlignment="1">
      <alignment horizontal="center"/>
    </xf>
    <xf numFmtId="0" fontId="0" fillId="0" borderId="9" xfId="0" applyBorder="1" applyAlignment="1">
      <alignment/>
    </xf>
    <xf numFmtId="0" fontId="16" fillId="0" borderId="0" xfId="0" applyFont="1" applyAlignment="1">
      <alignment/>
    </xf>
    <xf numFmtId="0" fontId="25" fillId="0" borderId="0" xfId="0" applyFont="1" applyAlignment="1">
      <alignment vertical="center" wrapText="1"/>
    </xf>
    <xf numFmtId="0" fontId="4" fillId="0" borderId="25" xfId="0" applyFont="1" applyBorder="1" applyAlignment="1">
      <alignment/>
    </xf>
    <xf numFmtId="0" fontId="4" fillId="0" borderId="28" xfId="0" applyFont="1" applyBorder="1" applyAlignment="1">
      <alignment wrapText="1"/>
    </xf>
    <xf numFmtId="0" fontId="4" fillId="0" borderId="28" xfId="0" applyFont="1" applyBorder="1" applyAlignment="1">
      <alignment horizontal="center"/>
    </xf>
    <xf numFmtId="0" fontId="4" fillId="0" borderId="28" xfId="0" applyFont="1" applyBorder="1" applyAlignment="1">
      <alignment horizontal="center"/>
    </xf>
    <xf numFmtId="0" fontId="4" fillId="0" borderId="17" xfId="0" applyFont="1" applyBorder="1" applyAlignment="1">
      <alignment horizontal="center" wrapText="1"/>
    </xf>
    <xf numFmtId="0" fontId="26" fillId="0" borderId="0" xfId="0"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xf>
    <xf numFmtId="0" fontId="3" fillId="0" borderId="18" xfId="0" applyFont="1" applyBorder="1" applyAlignment="1">
      <alignment/>
    </xf>
    <xf numFmtId="0" fontId="15" fillId="0" borderId="3" xfId="0" applyFont="1" applyBorder="1" applyAlignment="1">
      <alignment/>
    </xf>
    <xf numFmtId="0" fontId="15" fillId="0" borderId="3"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790575</xdr:colOff>
      <xdr:row>95</xdr:row>
      <xdr:rowOff>66675</xdr:rowOff>
    </xdr:from>
    <xdr:to>
      <xdr:col>29</xdr:col>
      <xdr:colOff>66675</xdr:colOff>
      <xdr:row>95</xdr:row>
      <xdr:rowOff>457200</xdr:rowOff>
    </xdr:to>
    <xdr:sp>
      <xdr:nvSpPr>
        <xdr:cNvPr id="1" name="AutoShape 1"/>
        <xdr:cNvSpPr>
          <a:spLocks/>
        </xdr:cNvSpPr>
      </xdr:nvSpPr>
      <xdr:spPr>
        <a:xfrm>
          <a:off x="19469100" y="3243262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771525</xdr:colOff>
      <xdr:row>99</xdr:row>
      <xdr:rowOff>38100</xdr:rowOff>
    </xdr:from>
    <xdr:to>
      <xdr:col>29</xdr:col>
      <xdr:colOff>28575</xdr:colOff>
      <xdr:row>100</xdr:row>
      <xdr:rowOff>0</xdr:rowOff>
    </xdr:to>
    <xdr:sp>
      <xdr:nvSpPr>
        <xdr:cNvPr id="2" name="AutoShape 2"/>
        <xdr:cNvSpPr>
          <a:spLocks/>
        </xdr:cNvSpPr>
      </xdr:nvSpPr>
      <xdr:spPr>
        <a:xfrm>
          <a:off x="19450050" y="35213925"/>
          <a:ext cx="57150" cy="457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752475</xdr:colOff>
      <xdr:row>101</xdr:row>
      <xdr:rowOff>28575</xdr:rowOff>
    </xdr:from>
    <xdr:to>
      <xdr:col>29</xdr:col>
      <xdr:colOff>28575</xdr:colOff>
      <xdr:row>102</xdr:row>
      <xdr:rowOff>0</xdr:rowOff>
    </xdr:to>
    <xdr:sp>
      <xdr:nvSpPr>
        <xdr:cNvPr id="3" name="AutoShape 3"/>
        <xdr:cNvSpPr>
          <a:spLocks/>
        </xdr:cNvSpPr>
      </xdr:nvSpPr>
      <xdr:spPr>
        <a:xfrm>
          <a:off x="19431000" y="3605212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771525</xdr:colOff>
      <xdr:row>104</xdr:row>
      <xdr:rowOff>38100</xdr:rowOff>
    </xdr:from>
    <xdr:to>
      <xdr:col>29</xdr:col>
      <xdr:colOff>28575</xdr:colOff>
      <xdr:row>105</xdr:row>
      <xdr:rowOff>0</xdr:rowOff>
    </xdr:to>
    <xdr:sp>
      <xdr:nvSpPr>
        <xdr:cNvPr id="4" name="AutoShape 4"/>
        <xdr:cNvSpPr>
          <a:spLocks/>
        </xdr:cNvSpPr>
      </xdr:nvSpPr>
      <xdr:spPr>
        <a:xfrm>
          <a:off x="19450050" y="36947475"/>
          <a:ext cx="57150" cy="4953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771525</xdr:colOff>
      <xdr:row>105</xdr:row>
      <xdr:rowOff>38100</xdr:rowOff>
    </xdr:from>
    <xdr:to>
      <xdr:col>29</xdr:col>
      <xdr:colOff>47625</xdr:colOff>
      <xdr:row>106</xdr:row>
      <xdr:rowOff>9525</xdr:rowOff>
    </xdr:to>
    <xdr:sp>
      <xdr:nvSpPr>
        <xdr:cNvPr id="5" name="AutoShape 5"/>
        <xdr:cNvSpPr>
          <a:spLocks/>
        </xdr:cNvSpPr>
      </xdr:nvSpPr>
      <xdr:spPr>
        <a:xfrm>
          <a:off x="19450050" y="37480875"/>
          <a:ext cx="76200" cy="4762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4</xdr:col>
      <xdr:colOff>1343025</xdr:colOff>
      <xdr:row>6</xdr:row>
      <xdr:rowOff>114300</xdr:rowOff>
    </xdr:to>
    <xdr:pic>
      <xdr:nvPicPr>
        <xdr:cNvPr id="6" name="Picture 9"/>
        <xdr:cNvPicPr preferRelativeResize="1">
          <a:picLocks noChangeAspect="1"/>
        </xdr:cNvPicPr>
      </xdr:nvPicPr>
      <xdr:blipFill>
        <a:blip r:embed="rId1"/>
        <a:stretch>
          <a:fillRect/>
        </a:stretch>
      </xdr:blipFill>
      <xdr:spPr>
        <a:xfrm>
          <a:off x="0" y="0"/>
          <a:ext cx="4648200" cy="1695450"/>
        </a:xfrm>
        <a:prstGeom prst="rect">
          <a:avLst/>
        </a:prstGeom>
        <a:noFill/>
        <a:ln w="9525" cmpd="sng">
          <a:noFill/>
        </a:ln>
      </xdr:spPr>
    </xdr:pic>
    <xdr:clientData/>
  </xdr:twoCellAnchor>
  <xdr:twoCellAnchor editAs="oneCell">
    <xdr:from>
      <xdr:col>0</xdr:col>
      <xdr:colOff>0</xdr:colOff>
      <xdr:row>0</xdr:row>
      <xdr:rowOff>0</xdr:rowOff>
    </xdr:from>
    <xdr:to>
      <xdr:col>4</xdr:col>
      <xdr:colOff>1343025</xdr:colOff>
      <xdr:row>6</xdr:row>
      <xdr:rowOff>66675</xdr:rowOff>
    </xdr:to>
    <xdr:pic>
      <xdr:nvPicPr>
        <xdr:cNvPr id="7" name="Picture 12"/>
        <xdr:cNvPicPr preferRelativeResize="1">
          <a:picLocks noChangeAspect="1"/>
        </xdr:cNvPicPr>
      </xdr:nvPicPr>
      <xdr:blipFill>
        <a:blip r:embed="rId2"/>
        <a:stretch>
          <a:fillRect/>
        </a:stretch>
      </xdr:blipFill>
      <xdr:spPr>
        <a:xfrm>
          <a:off x="0" y="0"/>
          <a:ext cx="4648200" cy="1647825"/>
        </a:xfrm>
        <a:prstGeom prst="rect">
          <a:avLst/>
        </a:prstGeom>
        <a:noFill/>
        <a:ln w="9525" cmpd="sng">
          <a:noFill/>
        </a:ln>
      </xdr:spPr>
    </xdr:pic>
    <xdr:clientData/>
  </xdr:twoCellAnchor>
  <xdr:twoCellAnchor editAs="oneCell">
    <xdr:from>
      <xdr:col>44</xdr:col>
      <xdr:colOff>866775</xdr:colOff>
      <xdr:row>55</xdr:row>
      <xdr:rowOff>9525</xdr:rowOff>
    </xdr:from>
    <xdr:to>
      <xdr:col>52</xdr:col>
      <xdr:colOff>0</xdr:colOff>
      <xdr:row>60</xdr:row>
      <xdr:rowOff>142875</xdr:rowOff>
    </xdr:to>
    <xdr:pic>
      <xdr:nvPicPr>
        <xdr:cNvPr id="8" name="Picture 13"/>
        <xdr:cNvPicPr preferRelativeResize="1">
          <a:picLocks noChangeAspect="1"/>
        </xdr:cNvPicPr>
      </xdr:nvPicPr>
      <xdr:blipFill>
        <a:blip r:embed="rId3"/>
        <a:stretch>
          <a:fillRect/>
        </a:stretch>
      </xdr:blipFill>
      <xdr:spPr>
        <a:xfrm>
          <a:off x="31337250" y="17440275"/>
          <a:ext cx="6010275" cy="2295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rco%20Zevallos\Mis%20documentos\hoja%20de%20calculo%20de%20carg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osición Solar"/>
      <sheetName val="U vidrio"/>
      <sheetName val="SC"/>
      <sheetName val="Upared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Z200"/>
  <sheetViews>
    <sheetView tabSelected="1" zoomScale="75" zoomScaleNormal="75" workbookViewId="0" topLeftCell="A103">
      <selection activeCell="C113" sqref="C113:O119"/>
    </sheetView>
  </sheetViews>
  <sheetFormatPr defaultColWidth="11.421875" defaultRowHeight="12.75"/>
  <cols>
    <col min="1" max="1" width="11.8515625" style="0" customWidth="1"/>
    <col min="2" max="2" width="12.57421875" style="0" customWidth="1"/>
    <col min="3" max="3" width="10.7109375" style="0" customWidth="1"/>
    <col min="4" max="4" width="14.421875" style="0" customWidth="1"/>
    <col min="5" max="5" width="22.140625" style="0" customWidth="1"/>
    <col min="6" max="6" width="20.7109375" style="0" customWidth="1"/>
    <col min="7" max="13" width="6.140625" style="0" hidden="1" customWidth="1"/>
    <col min="14" max="14" width="15.00390625" style="0" hidden="1" customWidth="1"/>
    <col min="15" max="15" width="13.8515625" style="0" customWidth="1"/>
    <col min="16" max="16" width="12.57421875" style="0" customWidth="1"/>
    <col min="17" max="17" width="12.28125" style="0" customWidth="1"/>
    <col min="18" max="18" width="14.8515625" style="0" customWidth="1"/>
    <col min="19" max="19" width="34.7109375" style="0" customWidth="1"/>
    <col min="20" max="20" width="11.8515625" style="0" customWidth="1"/>
    <col min="21" max="22" width="13.57421875" style="0" customWidth="1"/>
    <col min="24" max="26" width="10.140625" style="0" customWidth="1"/>
    <col min="28" max="28" width="7.140625" style="0" bestFit="1" customWidth="1"/>
    <col min="29" max="29" width="12.00390625" style="0" bestFit="1" customWidth="1"/>
    <col min="30" max="30" width="10.140625" style="0" customWidth="1"/>
    <col min="31" max="31" width="18.7109375" style="0" customWidth="1"/>
    <col min="32" max="32" width="14.57421875" style="0" customWidth="1"/>
    <col min="33" max="34" width="13.8515625" style="0" customWidth="1"/>
    <col min="36" max="38" width="6.7109375" style="0" customWidth="1"/>
    <col min="41" max="43" width="7.57421875" style="0" customWidth="1"/>
    <col min="44" max="45" width="16.57421875" style="0" customWidth="1"/>
    <col min="46" max="46" width="14.00390625" style="0" customWidth="1"/>
    <col min="47" max="47" width="10.140625" style="0" customWidth="1"/>
    <col min="48" max="48" width="9.8515625" style="0" customWidth="1"/>
    <col min="49" max="49" width="9.28125" style="0" customWidth="1"/>
    <col min="50" max="50" width="10.00390625" style="0" customWidth="1"/>
    <col min="51" max="51" width="13.421875" style="0" customWidth="1"/>
    <col min="52" max="52" width="19.8515625" style="0" customWidth="1"/>
  </cols>
  <sheetData>
    <row r="1" spans="3:41" ht="19.5" customHeight="1" thickBot="1">
      <c r="C1" s="359" t="s">
        <v>32</v>
      </c>
      <c r="D1" s="359"/>
      <c r="F1" s="358" t="s">
        <v>38</v>
      </c>
      <c r="G1" s="358"/>
      <c r="H1" s="358"/>
      <c r="I1" s="358"/>
      <c r="J1" s="358"/>
      <c r="K1" s="358"/>
      <c r="L1" s="358"/>
      <c r="M1" s="358"/>
      <c r="N1" s="358"/>
      <c r="R1" s="360" t="s">
        <v>349</v>
      </c>
      <c r="S1" s="360"/>
      <c r="T1" s="360"/>
      <c r="U1" s="360"/>
      <c r="V1" s="360"/>
      <c r="W1" s="360"/>
      <c r="X1" s="360"/>
      <c r="Y1" s="360"/>
      <c r="Z1" s="360"/>
      <c r="AA1" s="360"/>
      <c r="AC1" s="342" t="s">
        <v>237</v>
      </c>
      <c r="AD1" s="342"/>
      <c r="AE1" s="342"/>
      <c r="AF1" s="342"/>
      <c r="AG1" s="342"/>
      <c r="AH1" s="342"/>
      <c r="AI1" s="342"/>
      <c r="AJ1" s="342"/>
      <c r="AK1" s="342"/>
      <c r="AL1" s="342"/>
      <c r="AM1" s="342"/>
      <c r="AN1" s="342"/>
      <c r="AO1" s="342"/>
    </row>
    <row r="2" spans="1:46" ht="31.5" customHeight="1" thickBot="1">
      <c r="A2" t="s">
        <v>30</v>
      </c>
      <c r="B2" s="1" t="s">
        <v>31</v>
      </c>
      <c r="C2" t="s">
        <v>33</v>
      </c>
      <c r="D2" t="s">
        <v>168</v>
      </c>
      <c r="E2" t="s">
        <v>34</v>
      </c>
      <c r="F2" s="358" t="s">
        <v>39</v>
      </c>
      <c r="G2" s="358"/>
      <c r="H2" s="358"/>
      <c r="I2" s="358"/>
      <c r="J2" s="358"/>
      <c r="K2" s="358"/>
      <c r="L2" s="358"/>
      <c r="M2" s="358"/>
      <c r="N2" s="358"/>
      <c r="O2" s="1" t="s">
        <v>31</v>
      </c>
      <c r="W2" s="353" t="s">
        <v>350</v>
      </c>
      <c r="X2" s="353"/>
      <c r="Y2" s="353"/>
      <c r="Z2" s="353"/>
      <c r="AA2" s="353"/>
      <c r="AC2" s="345" t="s">
        <v>231</v>
      </c>
      <c r="AD2" s="343" t="s">
        <v>232</v>
      </c>
      <c r="AE2" s="351" t="s">
        <v>234</v>
      </c>
      <c r="AF2" s="351"/>
      <c r="AG2" s="351"/>
      <c r="AH2" s="351"/>
      <c r="AI2" s="351"/>
      <c r="AJ2" s="351"/>
      <c r="AK2" s="351"/>
      <c r="AL2" s="351"/>
      <c r="AM2" s="351"/>
      <c r="AN2" s="351"/>
      <c r="AO2" s="257"/>
      <c r="AQ2" s="338" t="s">
        <v>241</v>
      </c>
      <c r="AR2" s="338"/>
      <c r="AS2" s="338"/>
      <c r="AT2" s="338"/>
    </row>
    <row r="3" spans="2:46" ht="17.25" customHeight="1" thickBot="1">
      <c r="B3" t="s">
        <v>35</v>
      </c>
      <c r="C3" t="s">
        <v>36</v>
      </c>
      <c r="D3" t="s">
        <v>36</v>
      </c>
      <c r="E3" t="s">
        <v>37</v>
      </c>
      <c r="F3" t="s">
        <v>40</v>
      </c>
      <c r="G3" t="s">
        <v>41</v>
      </c>
      <c r="H3" t="s">
        <v>42</v>
      </c>
      <c r="I3" t="s">
        <v>43</v>
      </c>
      <c r="J3" t="s">
        <v>44</v>
      </c>
      <c r="K3" t="s">
        <v>45</v>
      </c>
      <c r="L3" t="s">
        <v>44</v>
      </c>
      <c r="M3" t="s">
        <v>46</v>
      </c>
      <c r="N3" t="s">
        <v>47</v>
      </c>
      <c r="O3" t="s">
        <v>81</v>
      </c>
      <c r="W3" s="354" t="s">
        <v>352</v>
      </c>
      <c r="X3" s="354"/>
      <c r="Y3" s="353" t="s">
        <v>351</v>
      </c>
      <c r="Z3" s="353"/>
      <c r="AA3" s="353"/>
      <c r="AC3" s="346"/>
      <c r="AD3" s="344"/>
      <c r="AE3" s="348" t="s">
        <v>235</v>
      </c>
      <c r="AF3" s="348"/>
      <c r="AG3" s="348"/>
      <c r="AH3" s="348"/>
      <c r="AI3" s="349"/>
      <c r="AJ3" s="35"/>
      <c r="AK3" s="350" t="s">
        <v>81</v>
      </c>
      <c r="AL3" s="348"/>
      <c r="AM3" s="348"/>
      <c r="AN3" s="348"/>
      <c r="AO3" s="349"/>
      <c r="AQ3" s="46" t="s">
        <v>242</v>
      </c>
      <c r="AR3" s="48" t="s">
        <v>244</v>
      </c>
      <c r="AS3" s="53" t="s">
        <v>245</v>
      </c>
      <c r="AT3" s="53" t="s">
        <v>245</v>
      </c>
    </row>
    <row r="4" spans="1:46" ht="27" customHeight="1" thickBot="1">
      <c r="A4" s="2">
        <v>44197</v>
      </c>
      <c r="B4">
        <v>7</v>
      </c>
      <c r="C4">
        <v>8</v>
      </c>
      <c r="D4">
        <v>70.2</v>
      </c>
      <c r="E4">
        <v>89</v>
      </c>
      <c r="F4">
        <v>4.5</v>
      </c>
      <c r="G4">
        <v>30</v>
      </c>
      <c r="H4">
        <v>71</v>
      </c>
      <c r="I4">
        <v>72</v>
      </c>
      <c r="J4">
        <v>22</v>
      </c>
      <c r="K4">
        <v>4.5</v>
      </c>
      <c r="L4">
        <v>4.5</v>
      </c>
      <c r="M4">
        <v>4.5</v>
      </c>
      <c r="N4">
        <v>9.4</v>
      </c>
      <c r="O4">
        <v>5</v>
      </c>
      <c r="T4" s="361" t="s">
        <v>242</v>
      </c>
      <c r="U4" s="361"/>
      <c r="V4" t="s">
        <v>209</v>
      </c>
      <c r="W4" s="355"/>
      <c r="X4" s="355"/>
      <c r="Y4" s="354" t="s">
        <v>353</v>
      </c>
      <c r="Z4" s="354"/>
      <c r="AA4" s="16" t="s">
        <v>354</v>
      </c>
      <c r="AC4" s="347"/>
      <c r="AD4" s="44" t="s">
        <v>233</v>
      </c>
      <c r="AE4" s="40">
        <v>7</v>
      </c>
      <c r="AF4" s="41">
        <v>8</v>
      </c>
      <c r="AG4" s="41">
        <v>9</v>
      </c>
      <c r="AH4" s="41">
        <v>10</v>
      </c>
      <c r="AI4" s="41">
        <v>11</v>
      </c>
      <c r="AJ4" s="41">
        <v>12</v>
      </c>
      <c r="AK4" s="41">
        <v>1</v>
      </c>
      <c r="AL4" s="41">
        <v>2</v>
      </c>
      <c r="AM4" s="41">
        <v>3</v>
      </c>
      <c r="AN4" s="41">
        <v>4</v>
      </c>
      <c r="AO4" s="42">
        <v>5</v>
      </c>
      <c r="AQ4" s="47" t="s">
        <v>243</v>
      </c>
      <c r="AR4" s="49" t="s">
        <v>243</v>
      </c>
      <c r="AS4" s="54" t="s">
        <v>246</v>
      </c>
      <c r="AT4" s="56" t="s">
        <v>247</v>
      </c>
    </row>
    <row r="5" spans="2:46" ht="16.5" customHeight="1" thickBot="1">
      <c r="B5">
        <v>8</v>
      </c>
      <c r="C5">
        <v>22</v>
      </c>
      <c r="D5">
        <v>69.3</v>
      </c>
      <c r="E5">
        <v>229</v>
      </c>
      <c r="F5">
        <v>11</v>
      </c>
      <c r="G5">
        <v>68</v>
      </c>
      <c r="H5">
        <v>183</v>
      </c>
      <c r="I5">
        <v>179</v>
      </c>
      <c r="J5">
        <v>57</v>
      </c>
      <c r="K5">
        <v>11</v>
      </c>
      <c r="L5">
        <v>11</v>
      </c>
      <c r="M5">
        <v>11</v>
      </c>
      <c r="N5">
        <v>67</v>
      </c>
      <c r="O5">
        <v>4</v>
      </c>
      <c r="R5" s="356" t="s">
        <v>361</v>
      </c>
      <c r="S5" s="356"/>
      <c r="T5" s="23" t="s">
        <v>195</v>
      </c>
      <c r="U5" s="23" t="s">
        <v>196</v>
      </c>
      <c r="V5" s="22" t="s">
        <v>358</v>
      </c>
      <c r="W5" s="21" t="s">
        <v>359</v>
      </c>
      <c r="X5" s="21" t="s">
        <v>360</v>
      </c>
      <c r="Y5" s="21" t="s">
        <v>355</v>
      </c>
      <c r="Z5" s="21" t="s">
        <v>356</v>
      </c>
      <c r="AA5" s="21" t="s">
        <v>357</v>
      </c>
      <c r="AC5" s="38"/>
      <c r="AD5" s="16">
        <v>20</v>
      </c>
      <c r="AE5" s="16">
        <v>2</v>
      </c>
      <c r="AF5" s="16">
        <v>11</v>
      </c>
      <c r="AG5" s="16">
        <v>22</v>
      </c>
      <c r="AH5" s="16">
        <v>32</v>
      </c>
      <c r="AI5" s="16">
        <v>5</v>
      </c>
      <c r="AJ5" s="16">
        <v>6</v>
      </c>
      <c r="AK5" s="16">
        <v>7</v>
      </c>
      <c r="AL5" s="16">
        <v>7</v>
      </c>
      <c r="AM5" s="16">
        <v>7</v>
      </c>
      <c r="AN5" s="16">
        <v>7</v>
      </c>
      <c r="AO5" s="39">
        <v>6</v>
      </c>
      <c r="AQ5" s="45">
        <v>1</v>
      </c>
      <c r="AR5" s="43" t="s">
        <v>249</v>
      </c>
      <c r="AS5" s="55">
        <v>0.64</v>
      </c>
      <c r="AT5" s="38">
        <v>0.37</v>
      </c>
    </row>
    <row r="6" spans="2:46" ht="12.75">
      <c r="B6">
        <v>9</v>
      </c>
      <c r="C6">
        <v>35.9</v>
      </c>
      <c r="D6">
        <v>66.8</v>
      </c>
      <c r="E6">
        <v>279.5</v>
      </c>
      <c r="F6">
        <v>14</v>
      </c>
      <c r="G6">
        <v>63</v>
      </c>
      <c r="H6">
        <v>191</v>
      </c>
      <c r="I6">
        <v>193</v>
      </c>
      <c r="J6">
        <v>67</v>
      </c>
      <c r="K6">
        <v>14</v>
      </c>
      <c r="L6">
        <v>14</v>
      </c>
      <c r="M6">
        <v>14</v>
      </c>
      <c r="N6">
        <v>142</v>
      </c>
      <c r="O6">
        <v>3</v>
      </c>
      <c r="R6" s="352" t="s">
        <v>362</v>
      </c>
      <c r="S6" s="352"/>
      <c r="T6" s="16" t="s">
        <v>197</v>
      </c>
      <c r="U6" s="18" t="s">
        <v>200</v>
      </c>
      <c r="V6" s="16" t="s">
        <v>210</v>
      </c>
      <c r="W6" s="16"/>
      <c r="X6" s="16"/>
      <c r="Y6" s="16"/>
      <c r="Z6" s="16"/>
      <c r="AA6" s="16"/>
      <c r="AB6" s="16"/>
      <c r="AC6" s="38" t="s">
        <v>41</v>
      </c>
      <c r="AD6" s="16">
        <v>60</v>
      </c>
      <c r="AE6" s="16">
        <v>2</v>
      </c>
      <c r="AF6" s="16">
        <v>9</v>
      </c>
      <c r="AG6" s="16">
        <v>17</v>
      </c>
      <c r="AH6" s="16">
        <v>25</v>
      </c>
      <c r="AI6" s="16">
        <v>4</v>
      </c>
      <c r="AJ6" s="16">
        <v>4</v>
      </c>
      <c r="AK6" s="16">
        <v>5</v>
      </c>
      <c r="AL6" s="16">
        <v>5</v>
      </c>
      <c r="AM6" s="16">
        <v>6</v>
      </c>
      <c r="AN6" s="16">
        <v>5</v>
      </c>
      <c r="AO6" s="39">
        <v>5</v>
      </c>
      <c r="AQ6" s="51">
        <v>1.25</v>
      </c>
      <c r="AR6" s="52">
        <v>1.0625</v>
      </c>
      <c r="AS6" s="38">
        <v>0.55</v>
      </c>
      <c r="AT6" s="38">
        <v>0.34</v>
      </c>
    </row>
    <row r="7" spans="2:46" ht="12.75">
      <c r="B7">
        <v>10</v>
      </c>
      <c r="C7">
        <v>49.4</v>
      </c>
      <c r="D7">
        <v>61.3</v>
      </c>
      <c r="E7">
        <v>302.9</v>
      </c>
      <c r="F7">
        <v>15</v>
      </c>
      <c r="G7">
        <v>40</v>
      </c>
      <c r="H7">
        <v>149</v>
      </c>
      <c r="I7">
        <v>166</v>
      </c>
      <c r="J7">
        <v>71</v>
      </c>
      <c r="K7">
        <v>15</v>
      </c>
      <c r="L7">
        <v>15</v>
      </c>
      <c r="M7">
        <v>15</v>
      </c>
      <c r="N7">
        <v>212</v>
      </c>
      <c r="O7">
        <v>2</v>
      </c>
      <c r="R7" s="352" t="s">
        <v>363</v>
      </c>
      <c r="S7" s="352"/>
      <c r="T7" s="18" t="s">
        <v>198</v>
      </c>
      <c r="U7" s="19" t="s">
        <v>203</v>
      </c>
      <c r="V7" s="16" t="s">
        <v>211</v>
      </c>
      <c r="W7" s="16"/>
      <c r="X7" s="16"/>
      <c r="Y7" s="16"/>
      <c r="Z7" s="16"/>
      <c r="AA7" s="16"/>
      <c r="AB7" s="16"/>
      <c r="AC7" s="38"/>
      <c r="AD7" s="16">
        <v>100</v>
      </c>
      <c r="AE7" s="16">
        <v>1</v>
      </c>
      <c r="AF7" s="16">
        <v>6</v>
      </c>
      <c r="AG7" s="16">
        <v>12</v>
      </c>
      <c r="AH7" s="16">
        <v>18</v>
      </c>
      <c r="AI7" s="16">
        <v>2</v>
      </c>
      <c r="AJ7" s="16">
        <v>3</v>
      </c>
      <c r="AK7" s="16">
        <v>4</v>
      </c>
      <c r="AL7" s="16">
        <v>4</v>
      </c>
      <c r="AM7" s="16">
        <v>4</v>
      </c>
      <c r="AN7" s="16">
        <v>4</v>
      </c>
      <c r="AO7" s="39">
        <v>3</v>
      </c>
      <c r="AQ7" s="24" t="s">
        <v>248</v>
      </c>
      <c r="AR7" s="52">
        <v>1.3125</v>
      </c>
      <c r="AS7" s="38">
        <v>0.49</v>
      </c>
      <c r="AT7" s="38">
        <v>0.32</v>
      </c>
    </row>
    <row r="8" spans="2:46" ht="12.75">
      <c r="B8">
        <v>11</v>
      </c>
      <c r="C8">
        <v>61.9</v>
      </c>
      <c r="D8">
        <v>49.3</v>
      </c>
      <c r="E8">
        <v>314.5</v>
      </c>
      <c r="F8">
        <v>16</v>
      </c>
      <c r="G8">
        <v>19</v>
      </c>
      <c r="H8">
        <v>87</v>
      </c>
      <c r="I8">
        <v>121</v>
      </c>
      <c r="J8">
        <v>73</v>
      </c>
      <c r="K8">
        <v>16</v>
      </c>
      <c r="L8">
        <v>16</v>
      </c>
      <c r="M8">
        <v>16</v>
      </c>
      <c r="N8">
        <v>254</v>
      </c>
      <c r="O8">
        <v>1</v>
      </c>
      <c r="R8" s="352" t="s">
        <v>364</v>
      </c>
      <c r="S8" s="352"/>
      <c r="T8" s="16" t="s">
        <v>205</v>
      </c>
      <c r="U8" s="16" t="s">
        <v>201</v>
      </c>
      <c r="V8" s="16" t="s">
        <v>212</v>
      </c>
      <c r="W8" s="66">
        <v>0.64</v>
      </c>
      <c r="X8" s="16">
        <v>0.55</v>
      </c>
      <c r="Y8" s="16">
        <v>0.59</v>
      </c>
      <c r="Z8" s="16">
        <v>0.25</v>
      </c>
      <c r="AA8" s="16">
        <v>0.39</v>
      </c>
      <c r="AB8" s="16"/>
      <c r="AC8" s="36"/>
      <c r="AD8" s="35">
        <v>140</v>
      </c>
      <c r="AE8" s="35">
        <v>0</v>
      </c>
      <c r="AF8" s="35">
        <v>4</v>
      </c>
      <c r="AG8" s="35">
        <v>7</v>
      </c>
      <c r="AH8" s="35">
        <v>11</v>
      </c>
      <c r="AI8" s="35">
        <v>1</v>
      </c>
      <c r="AJ8" s="35">
        <v>2</v>
      </c>
      <c r="AK8" s="35">
        <v>2</v>
      </c>
      <c r="AL8" s="35">
        <v>2</v>
      </c>
      <c r="AM8" s="35">
        <v>2</v>
      </c>
      <c r="AN8" s="35">
        <v>2</v>
      </c>
      <c r="AO8" s="37">
        <v>2</v>
      </c>
      <c r="AQ8" s="51">
        <v>1.75</v>
      </c>
      <c r="AR8" s="50">
        <v>1.375</v>
      </c>
      <c r="AS8" s="55">
        <v>0.48</v>
      </c>
      <c r="AT8" s="38">
        <v>0.31</v>
      </c>
    </row>
    <row r="9" spans="2:46" ht="12.75">
      <c r="B9">
        <v>12</v>
      </c>
      <c r="C9">
        <v>70.8</v>
      </c>
      <c r="D9">
        <v>0</v>
      </c>
      <c r="E9">
        <v>319.5</v>
      </c>
      <c r="F9">
        <v>16</v>
      </c>
      <c r="G9">
        <v>16</v>
      </c>
      <c r="H9">
        <v>16</v>
      </c>
      <c r="I9">
        <v>54</v>
      </c>
      <c r="J9">
        <v>80</v>
      </c>
      <c r="K9">
        <v>16</v>
      </c>
      <c r="L9">
        <v>16</v>
      </c>
      <c r="M9">
        <v>16</v>
      </c>
      <c r="N9">
        <v>249</v>
      </c>
      <c r="O9">
        <v>12</v>
      </c>
      <c r="R9" s="352" t="s">
        <v>365</v>
      </c>
      <c r="S9" s="352"/>
      <c r="T9" s="20" t="s">
        <v>199</v>
      </c>
      <c r="U9" s="16">
        <v>3</v>
      </c>
      <c r="V9" s="16"/>
      <c r="W9" s="16"/>
      <c r="X9" s="16"/>
      <c r="Y9" s="16"/>
      <c r="Z9" s="16"/>
      <c r="AA9" s="16"/>
      <c r="AB9" s="16"/>
      <c r="AC9" s="38"/>
      <c r="AD9" s="16"/>
      <c r="AE9" s="16"/>
      <c r="AF9" s="16"/>
      <c r="AG9" s="16"/>
      <c r="AH9" s="16"/>
      <c r="AI9" s="16"/>
      <c r="AJ9" s="16"/>
      <c r="AK9" s="16"/>
      <c r="AL9" s="16"/>
      <c r="AM9" s="16"/>
      <c r="AN9" s="16"/>
      <c r="AO9" s="39"/>
      <c r="AQ9" s="24"/>
      <c r="AR9" s="43"/>
      <c r="AS9" s="38"/>
      <c r="AT9" s="38"/>
    </row>
    <row r="10" spans="18:46" ht="12" customHeight="1">
      <c r="R10" s="352" t="s">
        <v>366</v>
      </c>
      <c r="S10" s="352"/>
      <c r="T10" s="16" t="s">
        <v>204</v>
      </c>
      <c r="U10" s="16" t="s">
        <v>202</v>
      </c>
      <c r="V10" s="16" t="s">
        <v>213</v>
      </c>
      <c r="W10" s="16"/>
      <c r="X10" s="16"/>
      <c r="Y10" s="16"/>
      <c r="Z10" s="16"/>
      <c r="AA10" s="16"/>
      <c r="AB10" s="16"/>
      <c r="AC10" s="38"/>
      <c r="AD10" s="16">
        <v>20</v>
      </c>
      <c r="AE10" s="16">
        <v>2</v>
      </c>
      <c r="AF10" s="16">
        <v>11</v>
      </c>
      <c r="AG10" s="16">
        <v>22</v>
      </c>
      <c r="AH10" s="16">
        <v>32</v>
      </c>
      <c r="AI10" s="16">
        <v>38</v>
      </c>
      <c r="AJ10" s="16">
        <v>6</v>
      </c>
      <c r="AK10" s="16">
        <v>7</v>
      </c>
      <c r="AL10" s="16">
        <v>7</v>
      </c>
      <c r="AM10" s="16">
        <v>7</v>
      </c>
      <c r="AN10" s="16">
        <v>7</v>
      </c>
      <c r="AO10" s="39">
        <v>6</v>
      </c>
      <c r="AQ10" s="45">
        <v>2</v>
      </c>
      <c r="AR10" s="50">
        <v>1.625</v>
      </c>
      <c r="AS10" s="55">
        <v>0.43</v>
      </c>
      <c r="AT10" s="55">
        <v>0.28</v>
      </c>
    </row>
    <row r="11" spans="1:46" ht="12.75" customHeight="1" thickBot="1">
      <c r="A11" s="2">
        <v>44228</v>
      </c>
      <c r="B11">
        <v>7</v>
      </c>
      <c r="C11">
        <v>7.3</v>
      </c>
      <c r="D11">
        <v>79.4</v>
      </c>
      <c r="E11">
        <v>81.5</v>
      </c>
      <c r="F11">
        <v>4.1</v>
      </c>
      <c r="G11">
        <v>38</v>
      </c>
      <c r="H11">
        <v>53</v>
      </c>
      <c r="I11">
        <v>61</v>
      </c>
      <c r="J11">
        <v>10</v>
      </c>
      <c r="K11">
        <v>4.1</v>
      </c>
      <c r="L11">
        <v>4.1</v>
      </c>
      <c r="M11">
        <v>4.1</v>
      </c>
      <c r="N11">
        <v>7.6</v>
      </c>
      <c r="O11">
        <v>5</v>
      </c>
      <c r="R11" s="357"/>
      <c r="S11" s="357"/>
      <c r="T11" s="21"/>
      <c r="U11" s="21"/>
      <c r="V11" s="21"/>
      <c r="W11" s="21"/>
      <c r="X11" s="21"/>
      <c r="Y11" s="21"/>
      <c r="Z11" s="21"/>
      <c r="AA11" s="21"/>
      <c r="AB11" s="16"/>
      <c r="AC11" s="38" t="s">
        <v>42</v>
      </c>
      <c r="AD11" s="16">
        <v>60</v>
      </c>
      <c r="AE11" s="16">
        <v>2</v>
      </c>
      <c r="AF11" s="16">
        <v>9</v>
      </c>
      <c r="AG11" s="16">
        <v>17</v>
      </c>
      <c r="AH11" s="16">
        <v>25</v>
      </c>
      <c r="AI11" s="16">
        <v>30</v>
      </c>
      <c r="AJ11" s="16">
        <v>4</v>
      </c>
      <c r="AK11" s="16">
        <v>5</v>
      </c>
      <c r="AL11" s="16">
        <v>5</v>
      </c>
      <c r="AM11" s="16">
        <v>6</v>
      </c>
      <c r="AN11" s="16">
        <v>5</v>
      </c>
      <c r="AO11" s="39">
        <v>5</v>
      </c>
      <c r="AQ11" s="51">
        <v>2.5</v>
      </c>
      <c r="AR11" s="50">
        <v>2.125</v>
      </c>
      <c r="AS11" s="38">
        <v>0.36</v>
      </c>
      <c r="AT11" s="38">
        <v>0.26</v>
      </c>
    </row>
    <row r="12" spans="2:46" ht="12.75">
      <c r="B12">
        <v>8</v>
      </c>
      <c r="C12">
        <v>22.1</v>
      </c>
      <c r="D12">
        <v>79.3</v>
      </c>
      <c r="E12">
        <v>230</v>
      </c>
      <c r="F12">
        <v>11</v>
      </c>
      <c r="G12">
        <v>99</v>
      </c>
      <c r="H12">
        <v>185</v>
      </c>
      <c r="I12">
        <v>161</v>
      </c>
      <c r="J12">
        <v>27</v>
      </c>
      <c r="K12">
        <v>11</v>
      </c>
      <c r="L12">
        <v>11</v>
      </c>
      <c r="M12">
        <v>11</v>
      </c>
      <c r="N12">
        <v>66</v>
      </c>
      <c r="O12">
        <v>4</v>
      </c>
      <c r="R12" s="352" t="s">
        <v>367</v>
      </c>
      <c r="S12" s="352"/>
      <c r="T12" s="16" t="s">
        <v>204</v>
      </c>
      <c r="U12" s="16" t="s">
        <v>208</v>
      </c>
      <c r="V12" s="16">
        <v>0.46</v>
      </c>
      <c r="W12" s="16"/>
      <c r="X12" s="16"/>
      <c r="Y12" s="16"/>
      <c r="Z12" s="16"/>
      <c r="AA12" s="16"/>
      <c r="AB12" s="16"/>
      <c r="AC12" s="38"/>
      <c r="AD12" s="16">
        <v>100</v>
      </c>
      <c r="AE12" s="16">
        <v>1</v>
      </c>
      <c r="AF12" s="16">
        <v>6</v>
      </c>
      <c r="AG12" s="16">
        <v>12</v>
      </c>
      <c r="AH12" s="16">
        <v>18</v>
      </c>
      <c r="AI12" s="16">
        <v>21</v>
      </c>
      <c r="AJ12" s="16">
        <v>3</v>
      </c>
      <c r="AK12" s="16">
        <v>4</v>
      </c>
      <c r="AL12" s="16">
        <v>4</v>
      </c>
      <c r="AM12" s="16">
        <v>4</v>
      </c>
      <c r="AN12" s="16">
        <v>4</v>
      </c>
      <c r="AO12" s="39">
        <v>3</v>
      </c>
      <c r="AQ12" s="57">
        <v>3</v>
      </c>
      <c r="AR12" s="58">
        <v>2.625</v>
      </c>
      <c r="AS12" s="59">
        <v>0.31</v>
      </c>
      <c r="AT12" s="59">
        <v>0.23</v>
      </c>
    </row>
    <row r="13" spans="2:43" ht="10.5" customHeight="1">
      <c r="B13">
        <v>9</v>
      </c>
      <c r="C13">
        <v>36.8</v>
      </c>
      <c r="D13">
        <v>78.2</v>
      </c>
      <c r="E13">
        <v>280.7</v>
      </c>
      <c r="F13">
        <v>14</v>
      </c>
      <c r="G13">
        <v>98</v>
      </c>
      <c r="H13">
        <v>202</v>
      </c>
      <c r="I13">
        <v>167</v>
      </c>
      <c r="J13">
        <v>32</v>
      </c>
      <c r="K13">
        <v>14</v>
      </c>
      <c r="L13">
        <v>14</v>
      </c>
      <c r="M13">
        <v>14</v>
      </c>
      <c r="N13">
        <v>144</v>
      </c>
      <c r="O13">
        <v>3</v>
      </c>
      <c r="R13" s="352" t="s">
        <v>365</v>
      </c>
      <c r="S13" s="352"/>
      <c r="T13" s="16" t="s">
        <v>204</v>
      </c>
      <c r="U13" s="16" t="s">
        <v>208</v>
      </c>
      <c r="V13" s="16"/>
      <c r="W13" s="16">
        <v>0.57</v>
      </c>
      <c r="X13" s="16">
        <v>0.53</v>
      </c>
      <c r="Y13" s="16">
        <v>0.45</v>
      </c>
      <c r="Z13" s="16">
        <v>0.3</v>
      </c>
      <c r="AA13" s="16">
        <v>0.36</v>
      </c>
      <c r="AB13" s="16"/>
      <c r="AC13" s="36"/>
      <c r="AD13" s="35">
        <v>140</v>
      </c>
      <c r="AE13" s="35">
        <v>0</v>
      </c>
      <c r="AF13" s="35">
        <v>4</v>
      </c>
      <c r="AG13" s="35">
        <v>7</v>
      </c>
      <c r="AH13" s="35">
        <v>11</v>
      </c>
      <c r="AI13" s="35">
        <v>13</v>
      </c>
      <c r="AJ13" s="35">
        <v>2</v>
      </c>
      <c r="AK13" s="35">
        <v>2</v>
      </c>
      <c r="AL13" s="35">
        <v>2</v>
      </c>
      <c r="AM13" s="35">
        <v>2</v>
      </c>
      <c r="AN13" s="35">
        <v>2</v>
      </c>
      <c r="AO13" s="37">
        <v>2</v>
      </c>
      <c r="AQ13" s="30"/>
    </row>
    <row r="14" spans="2:46" ht="12" customHeight="1">
      <c r="B14">
        <v>10</v>
      </c>
      <c r="C14">
        <v>51.4</v>
      </c>
      <c r="D14">
        <v>75.4</v>
      </c>
      <c r="E14">
        <v>303.6</v>
      </c>
      <c r="F14">
        <v>15</v>
      </c>
      <c r="G14">
        <v>71</v>
      </c>
      <c r="H14">
        <v>158</v>
      </c>
      <c r="I14">
        <v>137</v>
      </c>
      <c r="J14">
        <v>33</v>
      </c>
      <c r="K14">
        <v>15</v>
      </c>
      <c r="L14">
        <v>15</v>
      </c>
      <c r="M14">
        <v>15</v>
      </c>
      <c r="N14">
        <v>217</v>
      </c>
      <c r="O14">
        <v>2</v>
      </c>
      <c r="R14" s="352" t="s">
        <v>366</v>
      </c>
      <c r="S14" s="352"/>
      <c r="T14" s="16" t="s">
        <v>205</v>
      </c>
      <c r="U14" s="16" t="s">
        <v>207</v>
      </c>
      <c r="V14" s="16" t="s">
        <v>214</v>
      </c>
      <c r="W14" s="16"/>
      <c r="X14" s="16"/>
      <c r="Y14" s="16"/>
      <c r="Z14" s="16"/>
      <c r="AA14" s="16"/>
      <c r="AB14" s="16"/>
      <c r="AC14" s="38"/>
      <c r="AD14" s="16"/>
      <c r="AE14" s="16"/>
      <c r="AF14" s="16"/>
      <c r="AG14" s="16"/>
      <c r="AH14" s="16"/>
      <c r="AI14" s="16"/>
      <c r="AJ14" s="16"/>
      <c r="AK14" s="16"/>
      <c r="AL14" s="16"/>
      <c r="AM14" s="16"/>
      <c r="AN14" s="16"/>
      <c r="AO14" s="39"/>
      <c r="AQ14" s="339" t="s">
        <v>250</v>
      </c>
      <c r="AR14" s="339"/>
      <c r="AS14" s="339"/>
      <c r="AT14" s="339"/>
    </row>
    <row r="15" spans="2:46" ht="24" customHeight="1" thickBot="1">
      <c r="B15">
        <v>11</v>
      </c>
      <c r="C15">
        <v>65.7</v>
      </c>
      <c r="D15">
        <v>68.3</v>
      </c>
      <c r="E15">
        <v>314.9</v>
      </c>
      <c r="F15">
        <v>16</v>
      </c>
      <c r="G15">
        <v>36</v>
      </c>
      <c r="H15">
        <v>93</v>
      </c>
      <c r="I15">
        <v>91</v>
      </c>
      <c r="J15">
        <v>34</v>
      </c>
      <c r="K15">
        <v>16</v>
      </c>
      <c r="L15">
        <v>16</v>
      </c>
      <c r="M15">
        <v>16</v>
      </c>
      <c r="N15">
        <v>250</v>
      </c>
      <c r="O15">
        <v>1</v>
      </c>
      <c r="R15" s="357"/>
      <c r="S15" s="357"/>
      <c r="T15" s="21"/>
      <c r="U15" s="21"/>
      <c r="V15" s="21"/>
      <c r="W15" s="21"/>
      <c r="X15" s="21"/>
      <c r="Y15" s="21"/>
      <c r="Z15" s="21"/>
      <c r="AA15" s="21"/>
      <c r="AB15" s="16"/>
      <c r="AC15" s="38"/>
      <c r="AD15" s="16">
        <v>20</v>
      </c>
      <c r="AE15" s="16">
        <v>2</v>
      </c>
      <c r="AF15" s="16">
        <v>11</v>
      </c>
      <c r="AG15" s="16">
        <v>22</v>
      </c>
      <c r="AH15" s="16">
        <v>32</v>
      </c>
      <c r="AI15" s="16">
        <v>38</v>
      </c>
      <c r="AJ15" s="16">
        <v>39</v>
      </c>
      <c r="AK15" s="16">
        <v>7</v>
      </c>
      <c r="AL15" s="16">
        <v>7</v>
      </c>
      <c r="AM15" s="16">
        <v>7</v>
      </c>
      <c r="AN15" s="16">
        <v>7</v>
      </c>
      <c r="AO15" s="39">
        <v>6</v>
      </c>
      <c r="AQ15" s="340" t="s">
        <v>252</v>
      </c>
      <c r="AR15" s="341"/>
      <c r="AS15" s="341"/>
      <c r="AT15" s="341"/>
    </row>
    <row r="16" spans="2:46" ht="13.5" customHeight="1">
      <c r="B16">
        <v>12</v>
      </c>
      <c r="C16">
        <v>78.3</v>
      </c>
      <c r="D16">
        <v>0</v>
      </c>
      <c r="E16">
        <v>319.8</v>
      </c>
      <c r="F16">
        <v>16</v>
      </c>
      <c r="G16">
        <v>16</v>
      </c>
      <c r="H16">
        <v>16</v>
      </c>
      <c r="I16">
        <v>32</v>
      </c>
      <c r="J16">
        <v>45</v>
      </c>
      <c r="K16">
        <v>16</v>
      </c>
      <c r="L16">
        <v>16</v>
      </c>
      <c r="M16">
        <v>16</v>
      </c>
      <c r="N16">
        <v>201</v>
      </c>
      <c r="O16">
        <v>12</v>
      </c>
      <c r="R16" s="352" t="s">
        <v>367</v>
      </c>
      <c r="S16" s="352"/>
      <c r="T16" s="16" t="s">
        <v>204</v>
      </c>
      <c r="U16" s="16"/>
      <c r="V16" s="16" t="s">
        <v>215</v>
      </c>
      <c r="W16" s="16"/>
      <c r="X16" s="16"/>
      <c r="Y16" s="16"/>
      <c r="Z16" s="16"/>
      <c r="AA16" s="16"/>
      <c r="AB16" s="16"/>
      <c r="AC16" s="38" t="s">
        <v>43</v>
      </c>
      <c r="AD16" s="16">
        <v>60</v>
      </c>
      <c r="AE16" s="16">
        <v>2</v>
      </c>
      <c r="AF16" s="16">
        <v>9</v>
      </c>
      <c r="AG16" s="16">
        <v>17</v>
      </c>
      <c r="AH16" s="16">
        <v>25</v>
      </c>
      <c r="AI16" s="16">
        <v>30</v>
      </c>
      <c r="AJ16" s="16">
        <v>31</v>
      </c>
      <c r="AK16" s="16">
        <v>5</v>
      </c>
      <c r="AL16" s="16">
        <v>5</v>
      </c>
      <c r="AM16" s="16">
        <v>6</v>
      </c>
      <c r="AN16" s="16">
        <v>5</v>
      </c>
      <c r="AO16" s="39">
        <v>5</v>
      </c>
      <c r="AQ16" s="341" t="s">
        <v>251</v>
      </c>
      <c r="AR16" s="341"/>
      <c r="AS16" s="341"/>
      <c r="AT16" s="341"/>
    </row>
    <row r="17" spans="18:41" ht="14.25" customHeight="1">
      <c r="R17" s="352" t="s">
        <v>368</v>
      </c>
      <c r="S17" s="352"/>
      <c r="T17" s="16" t="s">
        <v>204</v>
      </c>
      <c r="U17" s="16">
        <v>10</v>
      </c>
      <c r="V17" s="16">
        <v>0.34</v>
      </c>
      <c r="W17" s="16">
        <v>0.54</v>
      </c>
      <c r="X17" s="16">
        <v>0.52</v>
      </c>
      <c r="Y17" s="16">
        <v>0.4</v>
      </c>
      <c r="Z17" s="16">
        <v>0.28</v>
      </c>
      <c r="AA17" s="16">
        <v>0.32</v>
      </c>
      <c r="AB17" s="16"/>
      <c r="AC17" s="38"/>
      <c r="AD17" s="16">
        <v>100</v>
      </c>
      <c r="AE17" s="16">
        <v>1</v>
      </c>
      <c r="AF17" s="16">
        <v>6</v>
      </c>
      <c r="AG17" s="16">
        <v>12</v>
      </c>
      <c r="AH17" s="16">
        <v>18</v>
      </c>
      <c r="AI17" s="16">
        <v>21</v>
      </c>
      <c r="AJ17" s="16">
        <v>22</v>
      </c>
      <c r="AK17" s="16">
        <v>4</v>
      </c>
      <c r="AL17" s="16">
        <v>4</v>
      </c>
      <c r="AM17" s="16">
        <v>4</v>
      </c>
      <c r="AN17" s="16">
        <v>4</v>
      </c>
      <c r="AO17" s="39">
        <v>3</v>
      </c>
    </row>
    <row r="18" spans="1:41" ht="15" customHeight="1">
      <c r="A18" s="2">
        <v>44256</v>
      </c>
      <c r="B18">
        <v>7</v>
      </c>
      <c r="C18">
        <v>8.7</v>
      </c>
      <c r="D18">
        <v>89.6</v>
      </c>
      <c r="E18">
        <v>118.3</v>
      </c>
      <c r="F18">
        <v>6</v>
      </c>
      <c r="G18">
        <v>72</v>
      </c>
      <c r="H18">
        <v>60</v>
      </c>
      <c r="I18">
        <v>73</v>
      </c>
      <c r="J18">
        <v>4.6</v>
      </c>
      <c r="K18">
        <v>6</v>
      </c>
      <c r="L18">
        <v>6</v>
      </c>
      <c r="M18">
        <v>6</v>
      </c>
      <c r="N18">
        <v>11</v>
      </c>
      <c r="O18">
        <v>5</v>
      </c>
      <c r="R18" s="352" t="s">
        <v>366</v>
      </c>
      <c r="S18" s="352"/>
      <c r="T18" s="24" t="s">
        <v>205</v>
      </c>
      <c r="U18" s="24"/>
      <c r="V18" s="24" t="s">
        <v>216</v>
      </c>
      <c r="W18" s="24">
        <v>0.42</v>
      </c>
      <c r="X18" s="24">
        <v>0.4</v>
      </c>
      <c r="Y18" s="24">
        <v>0.36</v>
      </c>
      <c r="Z18" s="24">
        <v>0.28</v>
      </c>
      <c r="AA18" s="24">
        <v>0.31</v>
      </c>
      <c r="AB18" s="16"/>
      <c r="AC18" s="36"/>
      <c r="AD18" s="35">
        <v>140</v>
      </c>
      <c r="AE18" s="35">
        <v>0</v>
      </c>
      <c r="AF18" s="35">
        <v>4</v>
      </c>
      <c r="AG18" s="35">
        <v>7</v>
      </c>
      <c r="AH18" s="35">
        <v>11</v>
      </c>
      <c r="AI18" s="35">
        <v>13</v>
      </c>
      <c r="AJ18" s="35">
        <v>13</v>
      </c>
      <c r="AK18" s="35">
        <v>2</v>
      </c>
      <c r="AL18" s="35">
        <v>2</v>
      </c>
      <c r="AM18" s="35">
        <v>2</v>
      </c>
      <c r="AN18" s="35">
        <v>2</v>
      </c>
      <c r="AO18" s="37">
        <v>2</v>
      </c>
    </row>
    <row r="19" spans="1:41" ht="18.75" customHeight="1" thickBot="1">
      <c r="A19" s="2"/>
      <c r="B19">
        <v>8</v>
      </c>
      <c r="C19">
        <v>23.6</v>
      </c>
      <c r="D19">
        <v>89</v>
      </c>
      <c r="E19">
        <v>246.6</v>
      </c>
      <c r="F19">
        <v>12</v>
      </c>
      <c r="G19">
        <v>134</v>
      </c>
      <c r="H19">
        <v>195</v>
      </c>
      <c r="I19">
        <v>140</v>
      </c>
      <c r="J19">
        <v>10</v>
      </c>
      <c r="K19">
        <v>12</v>
      </c>
      <c r="L19">
        <v>12</v>
      </c>
      <c r="M19">
        <v>12</v>
      </c>
      <c r="N19">
        <v>73</v>
      </c>
      <c r="O19">
        <v>4</v>
      </c>
      <c r="R19" s="357"/>
      <c r="S19" s="357"/>
      <c r="T19" s="22"/>
      <c r="U19" s="22"/>
      <c r="V19" s="21">
        <v>0.24</v>
      </c>
      <c r="W19" s="21"/>
      <c r="X19" s="21"/>
      <c r="Y19" s="21"/>
      <c r="Z19" s="21"/>
      <c r="AA19" s="21"/>
      <c r="AB19" s="16"/>
      <c r="AC19" s="38"/>
      <c r="AD19" s="16"/>
      <c r="AE19" s="16"/>
      <c r="AF19" s="16"/>
      <c r="AG19" s="16"/>
      <c r="AH19" s="16"/>
      <c r="AI19" s="16"/>
      <c r="AJ19" s="16"/>
      <c r="AK19" s="16"/>
      <c r="AL19" s="16"/>
      <c r="AM19" s="16"/>
      <c r="AN19" s="16"/>
      <c r="AO19" s="39"/>
    </row>
    <row r="20" spans="1:52" ht="18.75" customHeight="1">
      <c r="A20" s="2"/>
      <c r="B20">
        <v>9</v>
      </c>
      <c r="C20">
        <v>38.6</v>
      </c>
      <c r="D20">
        <v>88.2</v>
      </c>
      <c r="E20">
        <v>288.8</v>
      </c>
      <c r="F20">
        <v>14</v>
      </c>
      <c r="G20">
        <v>125</v>
      </c>
      <c r="H20">
        <v>203</v>
      </c>
      <c r="I20">
        <v>136</v>
      </c>
      <c r="J20">
        <v>12</v>
      </c>
      <c r="K20">
        <v>14</v>
      </c>
      <c r="L20">
        <v>14</v>
      </c>
      <c r="M20">
        <v>14</v>
      </c>
      <c r="N20">
        <v>153</v>
      </c>
      <c r="O20">
        <v>3</v>
      </c>
      <c r="R20" s="352"/>
      <c r="S20" s="352"/>
      <c r="V20" s="16"/>
      <c r="W20" s="16"/>
      <c r="X20" s="16"/>
      <c r="Y20" s="16"/>
      <c r="Z20" s="16"/>
      <c r="AA20" s="16"/>
      <c r="AB20" s="16"/>
      <c r="AC20" s="38"/>
      <c r="AD20" s="16">
        <v>20</v>
      </c>
      <c r="AE20" s="16">
        <v>2</v>
      </c>
      <c r="AF20" s="16">
        <v>11</v>
      </c>
      <c r="AG20" s="16">
        <v>22</v>
      </c>
      <c r="AH20" s="16">
        <v>32</v>
      </c>
      <c r="AI20" s="16">
        <v>38</v>
      </c>
      <c r="AJ20" s="16">
        <v>39</v>
      </c>
      <c r="AK20" s="16">
        <v>7</v>
      </c>
      <c r="AL20" s="16">
        <v>7</v>
      </c>
      <c r="AM20" s="16">
        <v>7</v>
      </c>
      <c r="AN20" s="16">
        <v>7</v>
      </c>
      <c r="AO20" s="39">
        <v>6</v>
      </c>
      <c r="AR20" s="249" t="s">
        <v>627</v>
      </c>
      <c r="AS20" s="251" t="s">
        <v>628</v>
      </c>
      <c r="AT20" s="251"/>
      <c r="AU20" s="267" t="s">
        <v>631</v>
      </c>
      <c r="AV20" s="259"/>
      <c r="AW20" s="259"/>
      <c r="AX20" s="259"/>
      <c r="AY20" s="259"/>
      <c r="AZ20" s="259"/>
    </row>
    <row r="21" spans="1:52" ht="18.75" customHeight="1">
      <c r="A21" s="2"/>
      <c r="B21">
        <v>10</v>
      </c>
      <c r="C21">
        <v>53.6</v>
      </c>
      <c r="D21">
        <v>86.9</v>
      </c>
      <c r="E21">
        <v>307.8</v>
      </c>
      <c r="F21">
        <v>15</v>
      </c>
      <c r="G21">
        <v>91</v>
      </c>
      <c r="H21">
        <v>153</v>
      </c>
      <c r="I21">
        <v>104</v>
      </c>
      <c r="J21">
        <v>13</v>
      </c>
      <c r="K21">
        <v>15</v>
      </c>
      <c r="L21">
        <v>15</v>
      </c>
      <c r="M21">
        <v>15</v>
      </c>
      <c r="N21">
        <v>224</v>
      </c>
      <c r="O21">
        <v>2</v>
      </c>
      <c r="R21" s="352" t="s">
        <v>369</v>
      </c>
      <c r="S21" s="352"/>
      <c r="V21" s="16"/>
      <c r="W21" s="16"/>
      <c r="X21" s="16"/>
      <c r="Y21" s="16"/>
      <c r="Z21" s="16"/>
      <c r="AA21" s="16"/>
      <c r="AB21" s="16"/>
      <c r="AC21" s="38" t="s">
        <v>72</v>
      </c>
      <c r="AD21" s="16">
        <v>60</v>
      </c>
      <c r="AE21" s="16">
        <v>2</v>
      </c>
      <c r="AF21" s="16">
        <v>9</v>
      </c>
      <c r="AG21" s="16">
        <v>17</v>
      </c>
      <c r="AH21" s="16">
        <v>25</v>
      </c>
      <c r="AI21" s="16">
        <v>30</v>
      </c>
      <c r="AJ21" s="16">
        <v>31</v>
      </c>
      <c r="AK21" s="16">
        <v>5</v>
      </c>
      <c r="AL21" s="16">
        <v>5</v>
      </c>
      <c r="AM21" s="16">
        <v>6</v>
      </c>
      <c r="AN21" s="16">
        <v>5</v>
      </c>
      <c r="AO21" s="39">
        <v>5</v>
      </c>
      <c r="AR21" s="250"/>
      <c r="AS21" s="252" t="s">
        <v>629</v>
      </c>
      <c r="AT21" s="253" t="s">
        <v>630</v>
      </c>
      <c r="AU21" s="262" t="s">
        <v>632</v>
      </c>
      <c r="AV21" s="262"/>
      <c r="AW21" s="262" t="s">
        <v>633</v>
      </c>
      <c r="AX21" s="262"/>
      <c r="AY21" s="262" t="s">
        <v>634</v>
      </c>
      <c r="AZ21" s="263"/>
    </row>
    <row r="22" spans="1:52" ht="18.75" customHeight="1">
      <c r="A22" s="2"/>
      <c r="B22">
        <v>11</v>
      </c>
      <c r="C22">
        <v>68.6</v>
      </c>
      <c r="D22">
        <v>84.2</v>
      </c>
      <c r="E22">
        <v>317.1</v>
      </c>
      <c r="F22">
        <v>16</v>
      </c>
      <c r="G22">
        <v>47</v>
      </c>
      <c r="H22">
        <v>84</v>
      </c>
      <c r="I22">
        <v>61</v>
      </c>
      <c r="J22">
        <v>14</v>
      </c>
      <c r="K22">
        <v>16</v>
      </c>
      <c r="L22">
        <v>16</v>
      </c>
      <c r="M22">
        <v>16</v>
      </c>
      <c r="N22">
        <v>248</v>
      </c>
      <c r="O22">
        <v>1</v>
      </c>
      <c r="R22" s="352" t="s">
        <v>370</v>
      </c>
      <c r="S22" s="352"/>
      <c r="V22" s="16"/>
      <c r="W22" s="16"/>
      <c r="X22" s="16"/>
      <c r="Y22" s="16"/>
      <c r="Z22" s="16"/>
      <c r="AA22" s="16"/>
      <c r="AB22" s="16"/>
      <c r="AC22" s="38"/>
      <c r="AD22" s="16">
        <v>100</v>
      </c>
      <c r="AE22" s="16">
        <v>1</v>
      </c>
      <c r="AF22" s="16">
        <v>6</v>
      </c>
      <c r="AG22" s="16">
        <v>12</v>
      </c>
      <c r="AH22" s="16">
        <v>18</v>
      </c>
      <c r="AI22" s="16">
        <v>21</v>
      </c>
      <c r="AJ22" s="16">
        <v>22</v>
      </c>
      <c r="AK22" s="16">
        <v>4</v>
      </c>
      <c r="AL22" s="16">
        <v>4</v>
      </c>
      <c r="AM22" s="16">
        <v>4</v>
      </c>
      <c r="AN22" s="16">
        <v>4</v>
      </c>
      <c r="AO22" s="39">
        <v>3</v>
      </c>
      <c r="AR22" s="250"/>
      <c r="AS22" s="252"/>
      <c r="AT22" s="253"/>
      <c r="AU22" s="262"/>
      <c r="AV22" s="262"/>
      <c r="AW22" s="262"/>
      <c r="AX22" s="262"/>
      <c r="AY22" s="262"/>
      <c r="AZ22" s="263"/>
    </row>
    <row r="23" spans="1:52" ht="9.75" customHeight="1">
      <c r="A23" s="2"/>
      <c r="B23">
        <v>12</v>
      </c>
      <c r="C23">
        <v>83.3</v>
      </c>
      <c r="D23">
        <v>180</v>
      </c>
      <c r="E23">
        <v>320.9</v>
      </c>
      <c r="F23">
        <v>24</v>
      </c>
      <c r="G23">
        <v>19</v>
      </c>
      <c r="H23">
        <v>16</v>
      </c>
      <c r="I23">
        <v>16</v>
      </c>
      <c r="J23">
        <v>16</v>
      </c>
      <c r="K23">
        <v>16</v>
      </c>
      <c r="L23">
        <v>16</v>
      </c>
      <c r="M23">
        <v>19</v>
      </c>
      <c r="N23">
        <v>16</v>
      </c>
      <c r="O23">
        <v>12</v>
      </c>
      <c r="R23" s="352" t="s">
        <v>371</v>
      </c>
      <c r="S23" s="352"/>
      <c r="T23" s="16" t="s">
        <v>206</v>
      </c>
      <c r="V23" s="16">
        <v>0.25</v>
      </c>
      <c r="W23" s="16">
        <v>0.23</v>
      </c>
      <c r="X23" s="16"/>
      <c r="Y23" s="16"/>
      <c r="Z23" s="16"/>
      <c r="AA23" s="16"/>
      <c r="AB23" s="16"/>
      <c r="AC23" s="36"/>
      <c r="AD23" s="35">
        <v>140</v>
      </c>
      <c r="AE23" s="35">
        <v>0</v>
      </c>
      <c r="AF23" s="35">
        <v>4</v>
      </c>
      <c r="AG23" s="35">
        <v>7</v>
      </c>
      <c r="AH23" s="35">
        <v>11</v>
      </c>
      <c r="AI23" s="35">
        <v>13</v>
      </c>
      <c r="AJ23" s="35">
        <v>13</v>
      </c>
      <c r="AK23" s="35">
        <v>2</v>
      </c>
      <c r="AL23" s="35">
        <v>2</v>
      </c>
      <c r="AM23" s="35">
        <v>2</v>
      </c>
      <c r="AN23" s="35">
        <v>2</v>
      </c>
      <c r="AO23" s="37">
        <v>2</v>
      </c>
      <c r="AR23" s="250"/>
      <c r="AS23" s="252"/>
      <c r="AT23" s="253"/>
      <c r="AU23" s="262"/>
      <c r="AV23" s="262"/>
      <c r="AW23" s="262"/>
      <c r="AX23" s="262"/>
      <c r="AY23" s="262"/>
      <c r="AZ23" s="263"/>
    </row>
    <row r="24" spans="1:52" ht="30" customHeight="1">
      <c r="A24" s="2"/>
      <c r="R24" s="352" t="s">
        <v>372</v>
      </c>
      <c r="S24" s="352"/>
      <c r="V24" s="16">
        <v>0.33</v>
      </c>
      <c r="W24" s="16">
        <v>0.29</v>
      </c>
      <c r="X24" s="16"/>
      <c r="Y24" s="16"/>
      <c r="Z24" s="16"/>
      <c r="AA24" s="16"/>
      <c r="AB24" s="16"/>
      <c r="AC24" s="38"/>
      <c r="AD24" s="16"/>
      <c r="AE24" s="16"/>
      <c r="AF24" s="16"/>
      <c r="AG24" s="16"/>
      <c r="AH24" s="16"/>
      <c r="AI24" s="16"/>
      <c r="AJ24" s="16"/>
      <c r="AK24" s="16"/>
      <c r="AL24" s="16"/>
      <c r="AM24" s="16"/>
      <c r="AN24" s="16"/>
      <c r="AO24" s="39"/>
      <c r="AR24" s="202">
        <v>20</v>
      </c>
      <c r="AS24" s="201" t="s">
        <v>635</v>
      </c>
      <c r="AT24" s="201" t="s">
        <v>635</v>
      </c>
      <c r="AU24" s="272" t="s">
        <v>653</v>
      </c>
      <c r="AV24" s="264"/>
      <c r="AW24" s="272" t="s">
        <v>657</v>
      </c>
      <c r="AX24" s="264"/>
      <c r="AY24" s="272" t="s">
        <v>662</v>
      </c>
      <c r="AZ24" s="273"/>
    </row>
    <row r="25" spans="1:52" ht="30" customHeight="1">
      <c r="A25" s="2">
        <v>44287</v>
      </c>
      <c r="B25">
        <v>7</v>
      </c>
      <c r="C25">
        <v>10.1</v>
      </c>
      <c r="D25">
        <v>167.9</v>
      </c>
      <c r="E25">
        <v>147.9</v>
      </c>
      <c r="F25">
        <v>104</v>
      </c>
      <c r="G25">
        <v>109</v>
      </c>
      <c r="H25">
        <v>18</v>
      </c>
      <c r="I25">
        <v>7.5</v>
      </c>
      <c r="J25">
        <v>7.5</v>
      </c>
      <c r="K25">
        <v>7.5</v>
      </c>
      <c r="L25">
        <v>6</v>
      </c>
      <c r="M25">
        <v>63</v>
      </c>
      <c r="N25">
        <v>7.5</v>
      </c>
      <c r="O25">
        <v>5</v>
      </c>
      <c r="R25" s="352" t="s">
        <v>373</v>
      </c>
      <c r="S25" s="352"/>
      <c r="V25" s="16">
        <v>0.42</v>
      </c>
      <c r="W25" s="16">
        <v>0.38</v>
      </c>
      <c r="X25" s="16"/>
      <c r="Y25" s="16"/>
      <c r="Z25" s="16"/>
      <c r="AA25" s="16"/>
      <c r="AB25" s="16"/>
      <c r="AC25" s="38"/>
      <c r="AD25" s="16">
        <v>20</v>
      </c>
      <c r="AE25" s="16">
        <v>0</v>
      </c>
      <c r="AF25" s="16">
        <v>2</v>
      </c>
      <c r="AG25" s="16">
        <v>2</v>
      </c>
      <c r="AH25" s="16">
        <v>3</v>
      </c>
      <c r="AI25" s="16">
        <v>5</v>
      </c>
      <c r="AJ25" s="16">
        <v>6</v>
      </c>
      <c r="AK25" s="16">
        <v>40</v>
      </c>
      <c r="AL25" s="16">
        <v>39</v>
      </c>
      <c r="AM25" s="16">
        <v>31</v>
      </c>
      <c r="AN25" s="16">
        <v>22</v>
      </c>
      <c r="AO25" s="39">
        <v>11</v>
      </c>
      <c r="AR25" s="203">
        <v>19</v>
      </c>
      <c r="AS25" s="43" t="s">
        <v>635</v>
      </c>
      <c r="AT25" s="43" t="s">
        <v>635</v>
      </c>
      <c r="AU25" s="264"/>
      <c r="AV25" s="264"/>
      <c r="AW25" s="264"/>
      <c r="AX25" s="264"/>
      <c r="AY25" s="264"/>
      <c r="AZ25" s="273"/>
    </row>
    <row r="26" spans="1:52" ht="30" customHeight="1" thickBot="1">
      <c r="A26" s="2"/>
      <c r="B26">
        <v>8</v>
      </c>
      <c r="C26">
        <v>24.7</v>
      </c>
      <c r="D26">
        <v>166.2</v>
      </c>
      <c r="E26">
        <v>250.5</v>
      </c>
      <c r="F26">
        <v>195</v>
      </c>
      <c r="G26">
        <v>173</v>
      </c>
      <c r="H26">
        <v>33</v>
      </c>
      <c r="I26">
        <v>12</v>
      </c>
      <c r="J26">
        <v>12</v>
      </c>
      <c r="K26">
        <v>12</v>
      </c>
      <c r="L26">
        <v>12</v>
      </c>
      <c r="M26">
        <v>90</v>
      </c>
      <c r="N26">
        <v>12</v>
      </c>
      <c r="O26">
        <v>4</v>
      </c>
      <c r="R26" s="352" t="s">
        <v>374</v>
      </c>
      <c r="S26" s="352"/>
      <c r="T26" s="22"/>
      <c r="U26" s="22"/>
      <c r="V26" s="21">
        <v>0.5</v>
      </c>
      <c r="W26" s="21">
        <v>0.44</v>
      </c>
      <c r="X26" s="21"/>
      <c r="Y26" s="21"/>
      <c r="Z26" s="21"/>
      <c r="AA26" s="21"/>
      <c r="AB26" s="16"/>
      <c r="AC26" s="38" t="s">
        <v>45</v>
      </c>
      <c r="AD26" s="16">
        <v>60</v>
      </c>
      <c r="AE26" s="16">
        <v>0</v>
      </c>
      <c r="AF26" s="16">
        <v>1</v>
      </c>
      <c r="AG26" s="16">
        <v>2</v>
      </c>
      <c r="AH26" s="16">
        <v>3</v>
      </c>
      <c r="AI26" s="16">
        <v>4</v>
      </c>
      <c r="AJ26" s="16">
        <v>4</v>
      </c>
      <c r="AK26" s="16">
        <v>32</v>
      </c>
      <c r="AL26" s="16">
        <v>31</v>
      </c>
      <c r="AM26" s="16">
        <v>25</v>
      </c>
      <c r="AN26" s="16">
        <v>17</v>
      </c>
      <c r="AO26" s="39">
        <v>9</v>
      </c>
      <c r="AR26" s="203">
        <v>18</v>
      </c>
      <c r="AS26" s="43" t="s">
        <v>635</v>
      </c>
      <c r="AT26" s="43" t="s">
        <v>635</v>
      </c>
      <c r="AU26" s="264"/>
      <c r="AV26" s="264"/>
      <c r="AW26" s="264"/>
      <c r="AX26" s="264"/>
      <c r="AY26" s="264"/>
      <c r="AZ26" s="273"/>
    </row>
    <row r="27" spans="1:52" ht="30" customHeight="1">
      <c r="A27" s="2"/>
      <c r="B27">
        <v>9</v>
      </c>
      <c r="C27">
        <v>39.2</v>
      </c>
      <c r="D27">
        <v>163.1</v>
      </c>
      <c r="E27">
        <v>285.1</v>
      </c>
      <c r="F27">
        <v>186</v>
      </c>
      <c r="G27">
        <v>168</v>
      </c>
      <c r="H27">
        <v>39</v>
      </c>
      <c r="I27">
        <v>14</v>
      </c>
      <c r="J27">
        <v>14</v>
      </c>
      <c r="K27">
        <v>14</v>
      </c>
      <c r="L27">
        <v>14</v>
      </c>
      <c r="M27">
        <v>73</v>
      </c>
      <c r="N27">
        <v>14</v>
      </c>
      <c r="O27">
        <v>3</v>
      </c>
      <c r="AC27" s="38"/>
      <c r="AD27" s="16">
        <v>100</v>
      </c>
      <c r="AE27" s="16">
        <v>0</v>
      </c>
      <c r="AF27" s="16">
        <v>1</v>
      </c>
      <c r="AG27" s="16">
        <v>1</v>
      </c>
      <c r="AH27" s="16">
        <v>2</v>
      </c>
      <c r="AI27" s="16">
        <v>2</v>
      </c>
      <c r="AJ27" s="16">
        <v>3</v>
      </c>
      <c r="AK27" s="16">
        <v>23</v>
      </c>
      <c r="AL27" s="16">
        <v>22</v>
      </c>
      <c r="AM27" s="16">
        <v>18</v>
      </c>
      <c r="AN27" s="16">
        <v>12</v>
      </c>
      <c r="AO27" s="39">
        <v>6</v>
      </c>
      <c r="AR27" s="204">
        <v>17</v>
      </c>
      <c r="AS27" s="44" t="s">
        <v>635</v>
      </c>
      <c r="AT27" s="44" t="s">
        <v>635</v>
      </c>
      <c r="AU27" s="264"/>
      <c r="AV27" s="264"/>
      <c r="AW27" s="264"/>
      <c r="AX27" s="264"/>
      <c r="AY27" s="264"/>
      <c r="AZ27" s="273"/>
    </row>
    <row r="28" spans="1:52" ht="38.25" customHeight="1" thickBot="1">
      <c r="A28" s="2"/>
      <c r="B28">
        <v>10</v>
      </c>
      <c r="C28">
        <v>53.3</v>
      </c>
      <c r="D28">
        <v>157.2</v>
      </c>
      <c r="E28">
        <v>300.8</v>
      </c>
      <c r="F28">
        <v>133</v>
      </c>
      <c r="G28">
        <v>134</v>
      </c>
      <c r="H28">
        <v>43</v>
      </c>
      <c r="I28">
        <v>15</v>
      </c>
      <c r="J28">
        <v>15</v>
      </c>
      <c r="K28">
        <v>15</v>
      </c>
      <c r="L28">
        <v>15</v>
      </c>
      <c r="M28">
        <v>41</v>
      </c>
      <c r="N28">
        <v>15</v>
      </c>
      <c r="O28">
        <v>2</v>
      </c>
      <c r="S28" s="30"/>
      <c r="T28" s="30"/>
      <c r="AC28" s="36"/>
      <c r="AD28" s="35">
        <v>140</v>
      </c>
      <c r="AE28" s="35">
        <v>0</v>
      </c>
      <c r="AF28" s="35">
        <v>0</v>
      </c>
      <c r="AG28" s="35">
        <v>1</v>
      </c>
      <c r="AH28" s="35">
        <v>1</v>
      </c>
      <c r="AI28" s="35">
        <v>1</v>
      </c>
      <c r="AJ28" s="35">
        <v>2</v>
      </c>
      <c r="AK28" s="35">
        <v>14</v>
      </c>
      <c r="AL28" s="35">
        <v>13</v>
      </c>
      <c r="AM28" s="35">
        <v>11</v>
      </c>
      <c r="AN28" s="35">
        <v>7</v>
      </c>
      <c r="AO28" s="37">
        <v>4</v>
      </c>
      <c r="AR28" s="200">
        <v>16</v>
      </c>
      <c r="AS28" s="201" t="s">
        <v>635</v>
      </c>
      <c r="AT28" s="201" t="s">
        <v>635</v>
      </c>
      <c r="AU28" s="272" t="s">
        <v>666</v>
      </c>
      <c r="AV28" s="264"/>
      <c r="AW28" s="272" t="s">
        <v>658</v>
      </c>
      <c r="AX28" s="264"/>
      <c r="AY28" s="272" t="s">
        <v>663</v>
      </c>
      <c r="AZ28" s="273"/>
    </row>
    <row r="29" spans="1:52" ht="38.25" customHeight="1">
      <c r="A29" s="2"/>
      <c r="B29">
        <v>11</v>
      </c>
      <c r="C29">
        <v>66.5</v>
      </c>
      <c r="D29">
        <v>143.8</v>
      </c>
      <c r="E29">
        <v>308.4</v>
      </c>
      <c r="F29">
        <v>67</v>
      </c>
      <c r="G29">
        <v>88</v>
      </c>
      <c r="H29">
        <v>45</v>
      </c>
      <c r="I29">
        <v>15</v>
      </c>
      <c r="J29">
        <v>15</v>
      </c>
      <c r="K29">
        <v>15</v>
      </c>
      <c r="L29">
        <v>16</v>
      </c>
      <c r="M29">
        <v>13</v>
      </c>
      <c r="N29">
        <v>15</v>
      </c>
      <c r="O29">
        <v>1</v>
      </c>
      <c r="Q29" s="363" t="s">
        <v>375</v>
      </c>
      <c r="R29" s="363"/>
      <c r="S29" s="363"/>
      <c r="T29" s="363"/>
      <c r="U29" s="363"/>
      <c r="V29" s="363"/>
      <c r="W29" s="363"/>
      <c r="X29" s="363"/>
      <c r="Y29" s="363"/>
      <c r="Z29" s="363"/>
      <c r="AC29" s="38"/>
      <c r="AD29" s="16"/>
      <c r="AE29" s="16"/>
      <c r="AF29" s="16"/>
      <c r="AG29" s="16"/>
      <c r="AH29" s="16"/>
      <c r="AI29" s="16"/>
      <c r="AJ29" s="16"/>
      <c r="AK29" s="16"/>
      <c r="AL29" s="16"/>
      <c r="AM29" s="16"/>
      <c r="AN29" s="16"/>
      <c r="AO29" s="39"/>
      <c r="AR29" s="203">
        <v>15</v>
      </c>
      <c r="AS29" s="43" t="s">
        <v>636</v>
      </c>
      <c r="AT29" s="43" t="s">
        <v>635</v>
      </c>
      <c r="AU29" s="264"/>
      <c r="AV29" s="264"/>
      <c r="AW29" s="264"/>
      <c r="AX29" s="264"/>
      <c r="AY29" s="264"/>
      <c r="AZ29" s="273"/>
    </row>
    <row r="30" spans="1:52" ht="38.25" customHeight="1" thickBot="1">
      <c r="A30" s="2"/>
      <c r="B30">
        <v>12</v>
      </c>
      <c r="C30">
        <v>75.6</v>
      </c>
      <c r="D30">
        <v>180</v>
      </c>
      <c r="E30">
        <v>311.3</v>
      </c>
      <c r="F30">
        <v>48</v>
      </c>
      <c r="G30">
        <v>32</v>
      </c>
      <c r="H30">
        <v>15</v>
      </c>
      <c r="I30">
        <v>15</v>
      </c>
      <c r="J30">
        <v>15</v>
      </c>
      <c r="K30">
        <v>15</v>
      </c>
      <c r="L30">
        <v>16</v>
      </c>
      <c r="M30">
        <v>32</v>
      </c>
      <c r="N30">
        <v>15</v>
      </c>
      <c r="O30">
        <v>12</v>
      </c>
      <c r="Q30" s="364"/>
      <c r="R30" s="364"/>
      <c r="S30" s="364"/>
      <c r="T30" s="364"/>
      <c r="U30" s="364"/>
      <c r="V30" s="364"/>
      <c r="W30" s="364"/>
      <c r="X30" s="364"/>
      <c r="Y30" s="364"/>
      <c r="Z30" s="364"/>
      <c r="AC30" s="38"/>
      <c r="AD30" s="16">
        <v>20</v>
      </c>
      <c r="AE30" s="16">
        <v>0</v>
      </c>
      <c r="AF30" s="16">
        <v>2</v>
      </c>
      <c r="AG30" s="16">
        <v>2</v>
      </c>
      <c r="AH30" s="16">
        <v>3</v>
      </c>
      <c r="AI30" s="16">
        <v>5</v>
      </c>
      <c r="AJ30" s="16">
        <v>6</v>
      </c>
      <c r="AK30" s="16">
        <v>40</v>
      </c>
      <c r="AL30" s="16">
        <v>39</v>
      </c>
      <c r="AM30" s="16">
        <v>31</v>
      </c>
      <c r="AN30" s="16">
        <v>22</v>
      </c>
      <c r="AO30" s="39">
        <v>11</v>
      </c>
      <c r="AR30" s="203">
        <v>14</v>
      </c>
      <c r="AS30" s="43" t="s">
        <v>637</v>
      </c>
      <c r="AT30" s="43" t="s">
        <v>646</v>
      </c>
      <c r="AU30" s="264"/>
      <c r="AV30" s="264"/>
      <c r="AW30" s="264"/>
      <c r="AX30" s="264"/>
      <c r="AY30" s="264"/>
      <c r="AZ30" s="273"/>
    </row>
    <row r="31" spans="1:52" ht="38.25" customHeight="1" thickBot="1">
      <c r="A31" s="2"/>
      <c r="Q31" s="28"/>
      <c r="R31" s="28"/>
      <c r="S31" s="28"/>
      <c r="T31" s="28"/>
      <c r="U31" s="335" t="s">
        <v>217</v>
      </c>
      <c r="V31" s="335"/>
      <c r="W31" s="335"/>
      <c r="X31" s="335"/>
      <c r="Y31" s="365" t="s">
        <v>218</v>
      </c>
      <c r="Z31" s="365"/>
      <c r="AC31" s="38" t="s">
        <v>44</v>
      </c>
      <c r="AD31" s="16">
        <v>60</v>
      </c>
      <c r="AE31" s="16">
        <v>0</v>
      </c>
      <c r="AF31" s="16">
        <v>1</v>
      </c>
      <c r="AG31" s="16">
        <v>2</v>
      </c>
      <c r="AH31" s="16">
        <v>3</v>
      </c>
      <c r="AI31" s="16">
        <v>4</v>
      </c>
      <c r="AJ31" s="16">
        <v>4</v>
      </c>
      <c r="AK31" s="16">
        <v>32</v>
      </c>
      <c r="AL31" s="16">
        <v>31</v>
      </c>
      <c r="AM31" s="16">
        <v>25</v>
      </c>
      <c r="AN31" s="16">
        <v>17</v>
      </c>
      <c r="AO31" s="39">
        <v>9</v>
      </c>
      <c r="AR31" s="204">
        <v>13</v>
      </c>
      <c r="AS31" s="44" t="s">
        <v>638</v>
      </c>
      <c r="AT31" s="44" t="s">
        <v>646</v>
      </c>
      <c r="AU31" s="264"/>
      <c r="AV31" s="264"/>
      <c r="AW31" s="264"/>
      <c r="AX31" s="264"/>
      <c r="AY31" s="264"/>
      <c r="AZ31" s="273"/>
    </row>
    <row r="32" spans="1:52" ht="30" customHeight="1" thickBot="1">
      <c r="A32" s="2">
        <v>44317</v>
      </c>
      <c r="B32">
        <v>7</v>
      </c>
      <c r="C32">
        <v>10</v>
      </c>
      <c r="D32">
        <v>159.3</v>
      </c>
      <c r="E32">
        <v>150.7</v>
      </c>
      <c r="F32">
        <v>117</v>
      </c>
      <c r="G32">
        <v>117</v>
      </c>
      <c r="H32">
        <v>35</v>
      </c>
      <c r="I32">
        <v>7.7</v>
      </c>
      <c r="J32">
        <v>7.7</v>
      </c>
      <c r="K32">
        <v>7.7</v>
      </c>
      <c r="L32">
        <v>7.5</v>
      </c>
      <c r="M32">
        <v>43</v>
      </c>
      <c r="N32">
        <v>7.7</v>
      </c>
      <c r="O32">
        <v>5</v>
      </c>
      <c r="Q32" s="28"/>
      <c r="R32" s="28"/>
      <c r="S32" s="28"/>
      <c r="T32" s="28"/>
      <c r="U32" s="335" t="s">
        <v>376</v>
      </c>
      <c r="V32" s="335"/>
      <c r="W32" s="362" t="s">
        <v>377</v>
      </c>
      <c r="X32" s="362"/>
      <c r="Y32" s="366"/>
      <c r="Z32" s="366"/>
      <c r="AC32" s="38"/>
      <c r="AD32" s="16">
        <v>100</v>
      </c>
      <c r="AE32" s="16">
        <v>0</v>
      </c>
      <c r="AF32" s="16">
        <v>1</v>
      </c>
      <c r="AG32" s="16">
        <v>1</v>
      </c>
      <c r="AH32" s="16">
        <v>2</v>
      </c>
      <c r="AI32" s="16">
        <v>2</v>
      </c>
      <c r="AJ32" s="16">
        <v>3</v>
      </c>
      <c r="AK32" s="16">
        <v>23</v>
      </c>
      <c r="AL32" s="16">
        <v>22</v>
      </c>
      <c r="AM32" s="16">
        <v>18</v>
      </c>
      <c r="AN32" s="16">
        <v>12</v>
      </c>
      <c r="AO32" s="39">
        <v>6</v>
      </c>
      <c r="AR32" s="200">
        <v>12</v>
      </c>
      <c r="AS32" s="201" t="s">
        <v>639</v>
      </c>
      <c r="AT32" s="201" t="s">
        <v>636</v>
      </c>
      <c r="AU32" s="272" t="s">
        <v>654</v>
      </c>
      <c r="AV32" s="264"/>
      <c r="AW32" s="272" t="s">
        <v>659</v>
      </c>
      <c r="AX32" s="264"/>
      <c r="AY32" s="272" t="s">
        <v>663</v>
      </c>
      <c r="AZ32" s="273"/>
    </row>
    <row r="33" spans="1:52" ht="30" customHeight="1">
      <c r="A33" s="2"/>
      <c r="B33">
        <v>8</v>
      </c>
      <c r="C33">
        <v>23.9</v>
      </c>
      <c r="D33">
        <v>157</v>
      </c>
      <c r="E33">
        <v>247</v>
      </c>
      <c r="F33">
        <v>185</v>
      </c>
      <c r="G33">
        <v>186</v>
      </c>
      <c r="H33">
        <v>60</v>
      </c>
      <c r="I33">
        <v>12</v>
      </c>
      <c r="J33">
        <v>12</v>
      </c>
      <c r="K33">
        <v>12</v>
      </c>
      <c r="L33">
        <v>12</v>
      </c>
      <c r="M33">
        <v>57</v>
      </c>
      <c r="N33">
        <v>12</v>
      </c>
      <c r="O33">
        <v>4</v>
      </c>
      <c r="Q33" s="28"/>
      <c r="R33" s="28"/>
      <c r="S33" s="28"/>
      <c r="T33" s="28"/>
      <c r="U33" s="26" t="s">
        <v>219</v>
      </c>
      <c r="V33" s="26" t="s">
        <v>221</v>
      </c>
      <c r="W33" s="26" t="s">
        <v>219</v>
      </c>
      <c r="X33" s="26" t="s">
        <v>221</v>
      </c>
      <c r="Y33" s="26" t="s">
        <v>219</v>
      </c>
      <c r="Z33" s="26" t="s">
        <v>221</v>
      </c>
      <c r="AC33" s="36"/>
      <c r="AD33" s="35">
        <v>140</v>
      </c>
      <c r="AE33" s="35">
        <v>0</v>
      </c>
      <c r="AF33" s="35">
        <v>0</v>
      </c>
      <c r="AG33" s="35">
        <v>1</v>
      </c>
      <c r="AH33" s="35">
        <v>1</v>
      </c>
      <c r="AI33" s="35">
        <v>1</v>
      </c>
      <c r="AJ33" s="35">
        <v>2</v>
      </c>
      <c r="AK33" s="35">
        <v>14</v>
      </c>
      <c r="AL33" s="35">
        <v>13</v>
      </c>
      <c r="AM33" s="35">
        <v>11</v>
      </c>
      <c r="AN33" s="35">
        <v>7</v>
      </c>
      <c r="AO33" s="37">
        <v>4</v>
      </c>
      <c r="AR33" s="203">
        <v>11</v>
      </c>
      <c r="AS33" s="43" t="s">
        <v>640</v>
      </c>
      <c r="AT33" s="43" t="s">
        <v>636</v>
      </c>
      <c r="AU33" s="264"/>
      <c r="AV33" s="264"/>
      <c r="AW33" s="264"/>
      <c r="AX33" s="264"/>
      <c r="AY33" s="264"/>
      <c r="AZ33" s="273"/>
    </row>
    <row r="34" spans="1:52" ht="30" customHeight="1" thickBot="1">
      <c r="A34" s="2"/>
      <c r="B34">
        <v>9</v>
      </c>
      <c r="C34">
        <v>37.5</v>
      </c>
      <c r="D34">
        <v>152.6</v>
      </c>
      <c r="E34">
        <v>279.4</v>
      </c>
      <c r="F34">
        <v>170</v>
      </c>
      <c r="G34">
        <v>186</v>
      </c>
      <c r="H34">
        <v>70</v>
      </c>
      <c r="I34">
        <v>14</v>
      </c>
      <c r="J34">
        <v>14</v>
      </c>
      <c r="K34">
        <v>14</v>
      </c>
      <c r="L34">
        <v>14</v>
      </c>
      <c r="M34">
        <v>40</v>
      </c>
      <c r="N34">
        <v>14</v>
      </c>
      <c r="O34">
        <v>3</v>
      </c>
      <c r="Q34" s="25"/>
      <c r="R34" s="367" t="s">
        <v>378</v>
      </c>
      <c r="S34" s="367"/>
      <c r="T34" s="367"/>
      <c r="U34" s="29" t="s">
        <v>220</v>
      </c>
      <c r="V34" s="29" t="s">
        <v>222</v>
      </c>
      <c r="W34" s="29" t="s">
        <v>220</v>
      </c>
      <c r="X34" s="29" t="s">
        <v>222</v>
      </c>
      <c r="Y34" s="29" t="s">
        <v>220</v>
      </c>
      <c r="Z34" s="29" t="s">
        <v>222</v>
      </c>
      <c r="AC34" s="38"/>
      <c r="AD34" s="16"/>
      <c r="AE34" s="16"/>
      <c r="AF34" s="16"/>
      <c r="AG34" s="16"/>
      <c r="AH34" s="16"/>
      <c r="AI34" s="16"/>
      <c r="AJ34" s="16"/>
      <c r="AK34" s="16"/>
      <c r="AL34" s="16"/>
      <c r="AM34" s="16"/>
      <c r="AN34" s="16"/>
      <c r="AO34" s="39"/>
      <c r="AR34" s="203">
        <v>10</v>
      </c>
      <c r="AS34" s="43" t="s">
        <v>641</v>
      </c>
      <c r="AT34" s="43" t="s">
        <v>636</v>
      </c>
      <c r="AU34" s="264"/>
      <c r="AV34" s="264"/>
      <c r="AW34" s="264"/>
      <c r="AX34" s="264"/>
      <c r="AY34" s="264"/>
      <c r="AZ34" s="273"/>
    </row>
    <row r="35" spans="1:52" ht="30" customHeight="1">
      <c r="A35" s="2"/>
      <c r="B35">
        <v>10</v>
      </c>
      <c r="C35">
        <v>50.3</v>
      </c>
      <c r="D35">
        <v>144.5</v>
      </c>
      <c r="E35">
        <v>294.1</v>
      </c>
      <c r="F35">
        <v>120</v>
      </c>
      <c r="G35">
        <v>154</v>
      </c>
      <c r="H35">
        <v>76</v>
      </c>
      <c r="I35">
        <v>15</v>
      </c>
      <c r="J35">
        <v>15</v>
      </c>
      <c r="K35">
        <v>15</v>
      </c>
      <c r="L35">
        <v>15</v>
      </c>
      <c r="M35">
        <v>17</v>
      </c>
      <c r="N35">
        <v>15</v>
      </c>
      <c r="O35">
        <v>2</v>
      </c>
      <c r="Q35" s="371" t="s">
        <v>379</v>
      </c>
      <c r="R35" s="371"/>
      <c r="S35" s="371"/>
      <c r="T35" s="28"/>
      <c r="U35" s="27"/>
      <c r="V35" s="27"/>
      <c r="W35" s="27"/>
      <c r="X35" s="27"/>
      <c r="Y35" s="27"/>
      <c r="Z35" s="27"/>
      <c r="AC35" s="38"/>
      <c r="AD35" s="16">
        <v>20</v>
      </c>
      <c r="AE35" s="16">
        <v>0</v>
      </c>
      <c r="AF35" s="16">
        <v>2</v>
      </c>
      <c r="AG35" s="16">
        <v>2</v>
      </c>
      <c r="AH35" s="16">
        <v>3</v>
      </c>
      <c r="AI35" s="16">
        <v>5</v>
      </c>
      <c r="AJ35" s="16">
        <v>6</v>
      </c>
      <c r="AK35" s="16">
        <v>7</v>
      </c>
      <c r="AL35" s="16">
        <v>39</v>
      </c>
      <c r="AM35" s="16">
        <v>31</v>
      </c>
      <c r="AN35" s="16">
        <v>22</v>
      </c>
      <c r="AO35" s="39">
        <v>11</v>
      </c>
      <c r="AR35" s="204">
        <v>9</v>
      </c>
      <c r="AS35" s="44" t="s">
        <v>642</v>
      </c>
      <c r="AT35" s="44" t="s">
        <v>647</v>
      </c>
      <c r="AU35" s="264"/>
      <c r="AV35" s="264"/>
      <c r="AW35" s="264"/>
      <c r="AX35" s="264"/>
      <c r="AY35" s="264"/>
      <c r="AZ35" s="273"/>
    </row>
    <row r="36" spans="1:52" ht="33.75" customHeight="1">
      <c r="A36" s="2"/>
      <c r="B36">
        <v>11</v>
      </c>
      <c r="C36">
        <v>61.3</v>
      </c>
      <c r="D36">
        <v>128.6</v>
      </c>
      <c r="E36">
        <v>301.2</v>
      </c>
      <c r="F36">
        <v>58</v>
      </c>
      <c r="G36">
        <v>109</v>
      </c>
      <c r="H36">
        <v>79</v>
      </c>
      <c r="I36">
        <v>11</v>
      </c>
      <c r="J36">
        <v>15</v>
      </c>
      <c r="K36">
        <v>15</v>
      </c>
      <c r="L36">
        <v>15</v>
      </c>
      <c r="M36">
        <v>15</v>
      </c>
      <c r="N36">
        <v>15</v>
      </c>
      <c r="O36">
        <v>1</v>
      </c>
      <c r="Q36" s="28"/>
      <c r="R36" s="336" t="s">
        <v>380</v>
      </c>
      <c r="S36" s="336"/>
      <c r="T36" s="28"/>
      <c r="U36" s="27">
        <v>1.13</v>
      </c>
      <c r="V36" s="27">
        <v>6.42</v>
      </c>
      <c r="W36" s="67">
        <v>1.06</v>
      </c>
      <c r="X36" s="27">
        <v>6.02</v>
      </c>
      <c r="Y36" s="27">
        <v>0.73</v>
      </c>
      <c r="Z36" s="27">
        <v>4.15</v>
      </c>
      <c r="AC36" s="38" t="s">
        <v>46</v>
      </c>
      <c r="AD36" s="16">
        <v>60</v>
      </c>
      <c r="AE36" s="16">
        <v>0</v>
      </c>
      <c r="AF36" s="16">
        <v>1</v>
      </c>
      <c r="AG36" s="16">
        <v>2</v>
      </c>
      <c r="AH36" s="16">
        <v>3</v>
      </c>
      <c r="AI36" s="16">
        <v>4</v>
      </c>
      <c r="AJ36" s="16">
        <v>4</v>
      </c>
      <c r="AK36" s="16">
        <v>5</v>
      </c>
      <c r="AL36" s="16">
        <v>31</v>
      </c>
      <c r="AM36" s="16">
        <v>25</v>
      </c>
      <c r="AN36" s="16">
        <v>17</v>
      </c>
      <c r="AO36" s="39">
        <v>9</v>
      </c>
      <c r="AR36" s="200">
        <v>8</v>
      </c>
      <c r="AS36" s="201" t="s">
        <v>643</v>
      </c>
      <c r="AT36" s="201" t="s">
        <v>647</v>
      </c>
      <c r="AU36" s="260" t="s">
        <v>655</v>
      </c>
      <c r="AV36" s="260"/>
      <c r="AW36" s="272" t="s">
        <v>660</v>
      </c>
      <c r="AX36" s="264"/>
      <c r="AY36" s="272" t="s">
        <v>664</v>
      </c>
      <c r="AZ36" s="273"/>
    </row>
    <row r="37" spans="1:52" ht="33.75" customHeight="1">
      <c r="A37" s="2"/>
      <c r="B37">
        <v>12</v>
      </c>
      <c r="C37">
        <v>67.6</v>
      </c>
      <c r="D37">
        <v>180</v>
      </c>
      <c r="E37">
        <v>303.8</v>
      </c>
      <c r="F37">
        <v>81</v>
      </c>
      <c r="G37">
        <v>51</v>
      </c>
      <c r="H37">
        <v>15</v>
      </c>
      <c r="I37">
        <v>15</v>
      </c>
      <c r="J37">
        <v>15</v>
      </c>
      <c r="K37">
        <v>15</v>
      </c>
      <c r="L37">
        <v>15</v>
      </c>
      <c r="M37">
        <v>51</v>
      </c>
      <c r="N37">
        <v>15</v>
      </c>
      <c r="O37">
        <v>12</v>
      </c>
      <c r="Q37" s="28"/>
      <c r="R37" s="336" t="s">
        <v>381</v>
      </c>
      <c r="S37" s="336"/>
      <c r="T37" s="28"/>
      <c r="U37" s="27"/>
      <c r="V37" s="27"/>
      <c r="W37" s="27"/>
      <c r="X37" s="27"/>
      <c r="Y37" s="27"/>
      <c r="Z37" s="27"/>
      <c r="AC37" s="38"/>
      <c r="AD37" s="16">
        <v>100</v>
      </c>
      <c r="AE37" s="16">
        <v>0</v>
      </c>
      <c r="AF37" s="16">
        <v>1</v>
      </c>
      <c r="AG37" s="16">
        <v>1</v>
      </c>
      <c r="AH37" s="16">
        <v>2</v>
      </c>
      <c r="AI37" s="16">
        <v>2</v>
      </c>
      <c r="AJ37" s="16">
        <v>3</v>
      </c>
      <c r="AK37" s="16">
        <v>4</v>
      </c>
      <c r="AL37" s="16">
        <v>22</v>
      </c>
      <c r="AM37" s="16">
        <v>18</v>
      </c>
      <c r="AN37" s="16">
        <v>12</v>
      </c>
      <c r="AO37" s="39">
        <v>6</v>
      </c>
      <c r="AR37" s="203">
        <v>7</v>
      </c>
      <c r="AS37" s="43" t="s">
        <v>644</v>
      </c>
      <c r="AT37" s="43" t="s">
        <v>647</v>
      </c>
      <c r="AU37" s="260"/>
      <c r="AV37" s="260"/>
      <c r="AW37" s="264"/>
      <c r="AX37" s="264"/>
      <c r="AY37" s="264"/>
      <c r="AZ37" s="273"/>
    </row>
    <row r="38" spans="1:52" ht="33.75" customHeight="1">
      <c r="A38" s="2"/>
      <c r="Q38" s="28"/>
      <c r="R38" s="28"/>
      <c r="S38" s="336" t="s">
        <v>382</v>
      </c>
      <c r="T38" s="336"/>
      <c r="U38" s="27">
        <v>0.65</v>
      </c>
      <c r="V38" s="27">
        <v>3.69</v>
      </c>
      <c r="W38" s="27">
        <v>0.61</v>
      </c>
      <c r="X38" s="27">
        <v>3.46</v>
      </c>
      <c r="Y38" s="27">
        <v>0.49</v>
      </c>
      <c r="Z38" s="27">
        <v>2.78</v>
      </c>
      <c r="AC38" s="36"/>
      <c r="AD38" s="35">
        <v>140</v>
      </c>
      <c r="AE38" s="35">
        <v>0</v>
      </c>
      <c r="AF38" s="35">
        <v>0</v>
      </c>
      <c r="AG38" s="35">
        <v>1</v>
      </c>
      <c r="AH38" s="35">
        <v>1</v>
      </c>
      <c r="AI38" s="35">
        <v>1</v>
      </c>
      <c r="AJ38" s="35">
        <v>2</v>
      </c>
      <c r="AK38" s="35">
        <v>2</v>
      </c>
      <c r="AL38" s="35">
        <v>13</v>
      </c>
      <c r="AM38" s="35">
        <v>11</v>
      </c>
      <c r="AN38" s="35">
        <v>7</v>
      </c>
      <c r="AO38" s="37">
        <v>4</v>
      </c>
      <c r="AR38" s="203">
        <v>6</v>
      </c>
      <c r="AS38" s="43" t="s">
        <v>645</v>
      </c>
      <c r="AT38" s="43" t="s">
        <v>648</v>
      </c>
      <c r="AU38" s="260"/>
      <c r="AV38" s="260"/>
      <c r="AW38" s="264"/>
      <c r="AX38" s="264"/>
      <c r="AY38" s="264"/>
      <c r="AZ38" s="273"/>
    </row>
    <row r="39" spans="1:52" ht="33.75" customHeight="1">
      <c r="A39" s="2">
        <v>44348</v>
      </c>
      <c r="B39">
        <v>7</v>
      </c>
      <c r="C39">
        <v>8.4</v>
      </c>
      <c r="D39">
        <v>156</v>
      </c>
      <c r="E39">
        <v>133.2</v>
      </c>
      <c r="F39">
        <v>103</v>
      </c>
      <c r="G39">
        <v>102</v>
      </c>
      <c r="H39">
        <v>38</v>
      </c>
      <c r="I39">
        <v>6.8</v>
      </c>
      <c r="J39">
        <v>6.8</v>
      </c>
      <c r="K39">
        <v>6.8</v>
      </c>
      <c r="L39">
        <v>7.7</v>
      </c>
      <c r="M39">
        <v>32</v>
      </c>
      <c r="N39">
        <v>6.8</v>
      </c>
      <c r="O39">
        <v>5</v>
      </c>
      <c r="Q39" s="28"/>
      <c r="R39" s="28"/>
      <c r="S39" s="336" t="s">
        <v>383</v>
      </c>
      <c r="T39" s="336"/>
      <c r="U39" s="27">
        <v>0.58</v>
      </c>
      <c r="V39" s="27">
        <v>3.29</v>
      </c>
      <c r="W39" s="27">
        <v>0.56</v>
      </c>
      <c r="X39" s="27">
        <v>3.18</v>
      </c>
      <c r="Y39" s="27">
        <v>0.46</v>
      </c>
      <c r="Z39" s="27">
        <v>2.61</v>
      </c>
      <c r="AC39" s="38"/>
      <c r="AD39" s="16"/>
      <c r="AE39" s="16"/>
      <c r="AF39" s="16"/>
      <c r="AG39" s="16"/>
      <c r="AH39" s="16"/>
      <c r="AI39" s="16"/>
      <c r="AJ39" s="16"/>
      <c r="AK39" s="16"/>
      <c r="AL39" s="16"/>
      <c r="AM39" s="16"/>
      <c r="AN39" s="16"/>
      <c r="AO39" s="39"/>
      <c r="AR39" s="204">
        <v>5</v>
      </c>
      <c r="AS39" s="44" t="s">
        <v>645</v>
      </c>
      <c r="AT39" s="44" t="s">
        <v>649</v>
      </c>
      <c r="AU39" s="260"/>
      <c r="AV39" s="260"/>
      <c r="AW39" s="264"/>
      <c r="AX39" s="264"/>
      <c r="AY39" s="264"/>
      <c r="AZ39" s="273"/>
    </row>
    <row r="40" spans="1:52" ht="22.5" customHeight="1">
      <c r="A40" s="2"/>
      <c r="B40">
        <v>8</v>
      </c>
      <c r="C40">
        <v>22</v>
      </c>
      <c r="D40">
        <v>153.6</v>
      </c>
      <c r="E40">
        <v>240.8</v>
      </c>
      <c r="F40">
        <v>178</v>
      </c>
      <c r="G40">
        <v>186</v>
      </c>
      <c r="H40">
        <v>71</v>
      </c>
      <c r="I40">
        <v>12</v>
      </c>
      <c r="J40">
        <v>12</v>
      </c>
      <c r="K40">
        <v>12</v>
      </c>
      <c r="L40">
        <v>12</v>
      </c>
      <c r="M40">
        <v>45</v>
      </c>
      <c r="N40">
        <v>12</v>
      </c>
      <c r="O40">
        <v>4</v>
      </c>
      <c r="Q40" s="28"/>
      <c r="R40" s="28"/>
      <c r="S40" s="336" t="s">
        <v>383</v>
      </c>
      <c r="T40" s="336"/>
      <c r="U40" s="27"/>
      <c r="V40" s="27"/>
      <c r="W40" s="27"/>
      <c r="X40" s="27"/>
      <c r="Y40" s="27"/>
      <c r="Z40" s="27"/>
      <c r="AC40" s="38"/>
      <c r="AD40" s="16">
        <v>20</v>
      </c>
      <c r="AE40" s="16">
        <v>0</v>
      </c>
      <c r="AF40" s="16">
        <v>2</v>
      </c>
      <c r="AG40" s="16">
        <v>2</v>
      </c>
      <c r="AH40" s="16">
        <v>3</v>
      </c>
      <c r="AI40" s="16">
        <v>5</v>
      </c>
      <c r="AJ40" s="16">
        <v>6</v>
      </c>
      <c r="AK40" s="16">
        <v>7</v>
      </c>
      <c r="AL40" s="16">
        <v>7</v>
      </c>
      <c r="AM40" s="16">
        <v>7</v>
      </c>
      <c r="AN40" s="16">
        <v>7</v>
      </c>
      <c r="AO40" s="39">
        <v>6</v>
      </c>
      <c r="AR40" s="200">
        <v>4</v>
      </c>
      <c r="AS40" s="201" t="s">
        <v>645</v>
      </c>
      <c r="AT40" s="201" t="s">
        <v>650</v>
      </c>
      <c r="AU40" s="260" t="s">
        <v>656</v>
      </c>
      <c r="AV40" s="260"/>
      <c r="AW40" s="260" t="s">
        <v>661</v>
      </c>
      <c r="AX40" s="260"/>
      <c r="AY40" s="272" t="s">
        <v>665</v>
      </c>
      <c r="AZ40" s="273"/>
    </row>
    <row r="41" spans="1:52" ht="22.5" customHeight="1">
      <c r="A41" s="2"/>
      <c r="B41">
        <v>9</v>
      </c>
      <c r="C41">
        <v>35.2</v>
      </c>
      <c r="D41">
        <v>149.1</v>
      </c>
      <c r="E41">
        <v>275</v>
      </c>
      <c r="F41">
        <v>166</v>
      </c>
      <c r="G41">
        <v>193</v>
      </c>
      <c r="H41">
        <v>83</v>
      </c>
      <c r="I41">
        <v>14</v>
      </c>
      <c r="J41">
        <v>14</v>
      </c>
      <c r="K41">
        <v>14</v>
      </c>
      <c r="L41">
        <v>14</v>
      </c>
      <c r="M41">
        <v>30</v>
      </c>
      <c r="N41">
        <v>14</v>
      </c>
      <c r="O41">
        <v>3</v>
      </c>
      <c r="Q41" s="28"/>
      <c r="R41" s="28"/>
      <c r="S41" s="336" t="s">
        <v>384</v>
      </c>
      <c r="T41" s="336"/>
      <c r="U41" s="27"/>
      <c r="V41" s="27"/>
      <c r="W41" s="27"/>
      <c r="X41" s="27"/>
      <c r="Y41" s="27"/>
      <c r="Z41" s="27"/>
      <c r="AC41" s="38" t="s">
        <v>40</v>
      </c>
      <c r="AD41" s="16">
        <v>60</v>
      </c>
      <c r="AE41" s="16">
        <v>0</v>
      </c>
      <c r="AF41" s="16">
        <v>1</v>
      </c>
      <c r="AG41" s="16">
        <v>2</v>
      </c>
      <c r="AH41" s="16">
        <v>3</v>
      </c>
      <c r="AI41" s="16">
        <v>4</v>
      </c>
      <c r="AJ41" s="16">
        <v>4</v>
      </c>
      <c r="AK41" s="16">
        <v>5</v>
      </c>
      <c r="AL41" s="16">
        <v>5</v>
      </c>
      <c r="AM41" s="16">
        <v>6</v>
      </c>
      <c r="AN41" s="16">
        <v>5</v>
      </c>
      <c r="AO41" s="39">
        <v>5</v>
      </c>
      <c r="AR41" s="203">
        <v>3</v>
      </c>
      <c r="AS41" s="43" t="s">
        <v>645</v>
      </c>
      <c r="AT41" s="43" t="s">
        <v>639</v>
      </c>
      <c r="AU41" s="260"/>
      <c r="AV41" s="260"/>
      <c r="AW41" s="260"/>
      <c r="AX41" s="260"/>
      <c r="AY41" s="264"/>
      <c r="AZ41" s="273"/>
    </row>
    <row r="42" spans="1:52" ht="22.5" customHeight="1">
      <c r="A42" s="2"/>
      <c r="B42">
        <v>10</v>
      </c>
      <c r="C42">
        <v>47.5</v>
      </c>
      <c r="D42">
        <v>140.9</v>
      </c>
      <c r="E42">
        <v>290.2</v>
      </c>
      <c r="F42">
        <v>119</v>
      </c>
      <c r="G42">
        <v>165</v>
      </c>
      <c r="H42">
        <v>89</v>
      </c>
      <c r="I42">
        <v>14</v>
      </c>
      <c r="J42">
        <v>14</v>
      </c>
      <c r="K42">
        <v>14</v>
      </c>
      <c r="L42">
        <v>15</v>
      </c>
      <c r="M42">
        <v>11</v>
      </c>
      <c r="N42">
        <v>14</v>
      </c>
      <c r="O42">
        <v>2</v>
      </c>
      <c r="Q42" s="28"/>
      <c r="R42" s="28"/>
      <c r="S42" s="336" t="s">
        <v>385</v>
      </c>
      <c r="T42" s="336"/>
      <c r="U42" s="27">
        <v>0.38</v>
      </c>
      <c r="V42" s="27">
        <v>2.16</v>
      </c>
      <c r="W42" s="27">
        <v>0.36</v>
      </c>
      <c r="X42" s="27">
        <v>2.04</v>
      </c>
      <c r="Y42" s="27">
        <v>0.32</v>
      </c>
      <c r="Z42" s="27">
        <v>1.82</v>
      </c>
      <c r="AC42" s="38"/>
      <c r="AD42" s="16">
        <v>100</v>
      </c>
      <c r="AE42" s="16">
        <v>0</v>
      </c>
      <c r="AF42" s="16">
        <v>1</v>
      </c>
      <c r="AG42" s="16">
        <v>1</v>
      </c>
      <c r="AH42" s="16">
        <v>2</v>
      </c>
      <c r="AI42" s="16">
        <v>2</v>
      </c>
      <c r="AJ42" s="16">
        <v>3</v>
      </c>
      <c r="AK42" s="16">
        <v>4</v>
      </c>
      <c r="AL42" s="16">
        <v>4</v>
      </c>
      <c r="AM42" s="16">
        <v>4</v>
      </c>
      <c r="AN42" s="16">
        <v>4</v>
      </c>
      <c r="AO42" s="39">
        <v>3</v>
      </c>
      <c r="AR42" s="203">
        <v>2</v>
      </c>
      <c r="AS42" s="43" t="s">
        <v>645</v>
      </c>
      <c r="AT42" s="43" t="s">
        <v>651</v>
      </c>
      <c r="AU42" s="260"/>
      <c r="AV42" s="260"/>
      <c r="AW42" s="260"/>
      <c r="AX42" s="260"/>
      <c r="AY42" s="264"/>
      <c r="AZ42" s="273"/>
    </row>
    <row r="43" spans="1:52" ht="22.5" customHeight="1" thickBot="1">
      <c r="A43" s="2"/>
      <c r="B43">
        <v>11</v>
      </c>
      <c r="C43">
        <v>57.9</v>
      </c>
      <c r="D43">
        <v>126</v>
      </c>
      <c r="E43">
        <v>297.6</v>
      </c>
      <c r="F43">
        <v>60</v>
      </c>
      <c r="G43">
        <v>122</v>
      </c>
      <c r="H43">
        <v>93</v>
      </c>
      <c r="I43">
        <v>13</v>
      </c>
      <c r="J43">
        <v>15</v>
      </c>
      <c r="K43">
        <v>15</v>
      </c>
      <c r="L43">
        <v>15</v>
      </c>
      <c r="M43">
        <v>15</v>
      </c>
      <c r="N43">
        <v>15</v>
      </c>
      <c r="O43">
        <v>1</v>
      </c>
      <c r="Q43" s="28"/>
      <c r="R43" s="28"/>
      <c r="S43" s="336" t="s">
        <v>386</v>
      </c>
      <c r="T43" s="336"/>
      <c r="U43" s="27">
        <v>0.52</v>
      </c>
      <c r="V43" s="27">
        <v>2.95</v>
      </c>
      <c r="W43" s="27">
        <v>0.5</v>
      </c>
      <c r="X43" s="27">
        <v>2.84</v>
      </c>
      <c r="Y43" s="27">
        <v>0.42</v>
      </c>
      <c r="Z43" s="27">
        <v>2.38</v>
      </c>
      <c r="AC43" s="36"/>
      <c r="AD43" s="35">
        <v>140</v>
      </c>
      <c r="AE43" s="35">
        <v>0</v>
      </c>
      <c r="AF43" s="35">
        <v>0</v>
      </c>
      <c r="AG43" s="35">
        <v>1</v>
      </c>
      <c r="AH43" s="35">
        <v>1</v>
      </c>
      <c r="AI43" s="35">
        <v>1</v>
      </c>
      <c r="AJ43" s="35">
        <v>2</v>
      </c>
      <c r="AK43" s="35">
        <v>2</v>
      </c>
      <c r="AL43" s="35">
        <v>2</v>
      </c>
      <c r="AM43" s="35">
        <v>2</v>
      </c>
      <c r="AN43" s="35">
        <v>2</v>
      </c>
      <c r="AO43" s="37">
        <v>2</v>
      </c>
      <c r="AR43" s="206">
        <v>1</v>
      </c>
      <c r="AS43" s="207" t="s">
        <v>645</v>
      </c>
      <c r="AT43" s="207" t="s">
        <v>652</v>
      </c>
      <c r="AU43" s="261"/>
      <c r="AV43" s="261"/>
      <c r="AW43" s="261"/>
      <c r="AX43" s="261"/>
      <c r="AY43" s="265"/>
      <c r="AZ43" s="266"/>
    </row>
    <row r="44" spans="1:41" ht="14.25">
      <c r="A44" s="2"/>
      <c r="B44">
        <v>12</v>
      </c>
      <c r="C44">
        <v>64</v>
      </c>
      <c r="D44">
        <v>180</v>
      </c>
      <c r="E44">
        <v>300.4</v>
      </c>
      <c r="F44">
        <v>96</v>
      </c>
      <c r="G44">
        <v>60</v>
      </c>
      <c r="H44">
        <v>15</v>
      </c>
      <c r="I44">
        <v>15</v>
      </c>
      <c r="J44">
        <v>15</v>
      </c>
      <c r="K44">
        <v>15</v>
      </c>
      <c r="L44">
        <v>15</v>
      </c>
      <c r="M44">
        <v>60</v>
      </c>
      <c r="N44">
        <v>15</v>
      </c>
      <c r="O44">
        <v>12</v>
      </c>
      <c r="Q44" s="28"/>
      <c r="R44" s="336" t="s">
        <v>387</v>
      </c>
      <c r="S44" s="336"/>
      <c r="T44" s="28"/>
      <c r="U44" s="27"/>
      <c r="V44" s="27"/>
      <c r="W44" s="27"/>
      <c r="X44" s="27"/>
      <c r="Y44" s="27"/>
      <c r="Z44" s="27"/>
      <c r="AC44" s="38"/>
      <c r="AD44" s="16"/>
      <c r="AE44" s="16"/>
      <c r="AF44" s="16"/>
      <c r="AG44" s="16"/>
      <c r="AH44" s="16"/>
      <c r="AI44" s="16"/>
      <c r="AJ44" s="16"/>
      <c r="AK44" s="16"/>
      <c r="AL44" s="16"/>
      <c r="AM44" s="16"/>
      <c r="AN44" s="16"/>
      <c r="AO44" s="39"/>
    </row>
    <row r="45" spans="1:41" ht="14.25">
      <c r="A45" s="2"/>
      <c r="Q45" s="28"/>
      <c r="R45" s="28"/>
      <c r="S45" s="336" t="s">
        <v>388</v>
      </c>
      <c r="T45" s="336"/>
      <c r="U45" s="27">
        <v>0.47</v>
      </c>
      <c r="V45" s="27">
        <v>2.67</v>
      </c>
      <c r="W45" s="27">
        <v>0.45</v>
      </c>
      <c r="X45" s="27">
        <v>2.56</v>
      </c>
      <c r="Y45" s="27">
        <v>0.38</v>
      </c>
      <c r="Z45" s="27">
        <v>2.16</v>
      </c>
      <c r="AC45" s="38"/>
      <c r="AD45" s="16">
        <v>20</v>
      </c>
      <c r="AE45" s="16">
        <v>0</v>
      </c>
      <c r="AF45" s="16">
        <v>10</v>
      </c>
      <c r="AG45" s="16">
        <v>21</v>
      </c>
      <c r="AH45" s="16">
        <v>32</v>
      </c>
      <c r="AI45" s="16">
        <v>39</v>
      </c>
      <c r="AJ45" s="16">
        <v>40</v>
      </c>
      <c r="AK45" s="16">
        <v>41</v>
      </c>
      <c r="AL45" s="16">
        <v>40</v>
      </c>
      <c r="AM45" s="16">
        <v>32</v>
      </c>
      <c r="AN45" s="16">
        <v>21</v>
      </c>
      <c r="AO45" s="39">
        <v>10</v>
      </c>
    </row>
    <row r="46" spans="1:41" ht="14.25">
      <c r="A46" s="2">
        <v>44378</v>
      </c>
      <c r="B46">
        <v>7</v>
      </c>
      <c r="C46">
        <v>7.6</v>
      </c>
      <c r="D46">
        <v>158.9</v>
      </c>
      <c r="E46">
        <v>120</v>
      </c>
      <c r="F46">
        <v>92</v>
      </c>
      <c r="G46">
        <v>93</v>
      </c>
      <c r="H46">
        <v>29</v>
      </c>
      <c r="I46">
        <v>6.1</v>
      </c>
      <c r="J46">
        <v>6.1</v>
      </c>
      <c r="K46">
        <v>6.1</v>
      </c>
      <c r="L46">
        <v>6.1</v>
      </c>
      <c r="M46">
        <v>34</v>
      </c>
      <c r="N46">
        <v>6.1</v>
      </c>
      <c r="O46">
        <v>5</v>
      </c>
      <c r="Q46" s="28"/>
      <c r="R46" s="28"/>
      <c r="S46" s="336" t="s">
        <v>383</v>
      </c>
      <c r="T46" s="336"/>
      <c r="U46" s="27">
        <v>0.36</v>
      </c>
      <c r="V46" s="27">
        <v>2.04</v>
      </c>
      <c r="W46" s="27">
        <v>0.36</v>
      </c>
      <c r="X46" s="27">
        <v>1.99</v>
      </c>
      <c r="Y46" s="27">
        <v>0.3</v>
      </c>
      <c r="Z46" s="27">
        <v>1.7</v>
      </c>
      <c r="AC46" s="38" t="s">
        <v>236</v>
      </c>
      <c r="AD46" s="16">
        <v>40</v>
      </c>
      <c r="AE46" s="16">
        <v>0</v>
      </c>
      <c r="AF46" s="16">
        <v>7</v>
      </c>
      <c r="AG46" s="16">
        <v>16</v>
      </c>
      <c r="AH46" s="16">
        <v>25</v>
      </c>
      <c r="AI46" s="16">
        <v>30</v>
      </c>
      <c r="AJ46" s="16">
        <v>31</v>
      </c>
      <c r="AK46" s="16">
        <v>32</v>
      </c>
      <c r="AL46" s="16">
        <v>30</v>
      </c>
      <c r="AM46" s="16">
        <v>25</v>
      </c>
      <c r="AN46" s="16">
        <v>16</v>
      </c>
      <c r="AO46" s="39">
        <v>7</v>
      </c>
    </row>
    <row r="47" spans="1:41" ht="14.25">
      <c r="A47" s="2"/>
      <c r="B47">
        <v>8</v>
      </c>
      <c r="C47">
        <v>21.5</v>
      </c>
      <c r="D47">
        <v>156.9</v>
      </c>
      <c r="E47">
        <v>238.2</v>
      </c>
      <c r="F47">
        <v>181</v>
      </c>
      <c r="G47">
        <v>182</v>
      </c>
      <c r="H47">
        <v>59</v>
      </c>
      <c r="I47">
        <v>12</v>
      </c>
      <c r="J47">
        <v>12</v>
      </c>
      <c r="K47">
        <v>12</v>
      </c>
      <c r="L47">
        <v>12</v>
      </c>
      <c r="M47">
        <v>55</v>
      </c>
      <c r="N47">
        <v>12</v>
      </c>
      <c r="O47">
        <v>4</v>
      </c>
      <c r="Q47" s="28"/>
      <c r="R47" s="336" t="s">
        <v>389</v>
      </c>
      <c r="S47" s="336"/>
      <c r="T47" s="28"/>
      <c r="U47" s="27"/>
      <c r="V47" s="27"/>
      <c r="W47" s="27"/>
      <c r="X47" s="27"/>
      <c r="Y47" s="27"/>
      <c r="Z47" s="27"/>
      <c r="AC47" s="36"/>
      <c r="AD47" s="35">
        <v>60</v>
      </c>
      <c r="AE47" s="35">
        <v>0</v>
      </c>
      <c r="AF47" s="35">
        <v>6</v>
      </c>
      <c r="AG47" s="35">
        <v>13</v>
      </c>
      <c r="AH47" s="35">
        <v>20</v>
      </c>
      <c r="AI47" s="35">
        <v>24</v>
      </c>
      <c r="AJ47" s="35">
        <v>25</v>
      </c>
      <c r="AK47" s="35">
        <v>26</v>
      </c>
      <c r="AL47" s="35">
        <v>25</v>
      </c>
      <c r="AM47" s="35">
        <v>20</v>
      </c>
      <c r="AN47" s="35">
        <v>13</v>
      </c>
      <c r="AO47" s="37">
        <v>6</v>
      </c>
    </row>
    <row r="48" spans="1:30" ht="14.25">
      <c r="A48" s="2"/>
      <c r="B48">
        <v>9</v>
      </c>
      <c r="C48">
        <v>35.1</v>
      </c>
      <c r="D48">
        <v>152.8</v>
      </c>
      <c r="E48">
        <v>274.1</v>
      </c>
      <c r="F48">
        <v>173</v>
      </c>
      <c r="G48">
        <v>188</v>
      </c>
      <c r="H48">
        <v>71</v>
      </c>
      <c r="I48">
        <v>14</v>
      </c>
      <c r="J48">
        <v>14</v>
      </c>
      <c r="K48">
        <v>14</v>
      </c>
      <c r="L48">
        <v>14</v>
      </c>
      <c r="M48">
        <v>41</v>
      </c>
      <c r="N48">
        <v>14</v>
      </c>
      <c r="O48">
        <v>3</v>
      </c>
      <c r="Q48" s="28"/>
      <c r="R48" s="28"/>
      <c r="S48" s="336" t="s">
        <v>390</v>
      </c>
      <c r="T48" s="336"/>
      <c r="U48" s="27">
        <v>0.56</v>
      </c>
      <c r="V48" s="27">
        <v>3.18</v>
      </c>
      <c r="W48" s="27">
        <v>0.54</v>
      </c>
      <c r="X48" s="27">
        <v>3.07</v>
      </c>
      <c r="Y48" s="27">
        <v>0.44</v>
      </c>
      <c r="Z48" s="27">
        <v>2.5</v>
      </c>
      <c r="AD48" s="16"/>
    </row>
    <row r="49" spans="1:48" ht="14.25">
      <c r="A49" s="2"/>
      <c r="B49">
        <v>10</v>
      </c>
      <c r="C49">
        <v>48</v>
      </c>
      <c r="D49">
        <v>145.4</v>
      </c>
      <c r="E49">
        <v>289.8</v>
      </c>
      <c r="F49">
        <v>127</v>
      </c>
      <c r="G49">
        <v>161</v>
      </c>
      <c r="H49">
        <v>77</v>
      </c>
      <c r="I49">
        <v>14</v>
      </c>
      <c r="J49">
        <v>14</v>
      </c>
      <c r="K49">
        <v>14</v>
      </c>
      <c r="L49">
        <v>14</v>
      </c>
      <c r="M49">
        <v>18</v>
      </c>
      <c r="N49">
        <v>14</v>
      </c>
      <c r="O49">
        <v>2</v>
      </c>
      <c r="Q49" s="370" t="s">
        <v>391</v>
      </c>
      <c r="R49" s="370"/>
      <c r="S49" s="370"/>
      <c r="T49" s="28"/>
      <c r="U49" s="27"/>
      <c r="V49" s="27"/>
      <c r="W49" s="27"/>
      <c r="X49" s="27"/>
      <c r="Y49" s="27"/>
      <c r="Z49" s="27"/>
      <c r="AU49" s="16"/>
      <c r="AV49" s="16"/>
    </row>
    <row r="50" spans="1:26" ht="15" customHeight="1">
      <c r="A50" s="2"/>
      <c r="B50">
        <v>11</v>
      </c>
      <c r="C50">
        <v>59.3</v>
      </c>
      <c r="D50">
        <v>131.2</v>
      </c>
      <c r="E50">
        <v>297.4</v>
      </c>
      <c r="F50">
        <v>67</v>
      </c>
      <c r="G50">
        <v>117</v>
      </c>
      <c r="H50">
        <v>80</v>
      </c>
      <c r="I50">
        <v>8.8</v>
      </c>
      <c r="J50">
        <v>15</v>
      </c>
      <c r="K50">
        <v>15</v>
      </c>
      <c r="L50">
        <v>15</v>
      </c>
      <c r="M50">
        <v>15</v>
      </c>
      <c r="N50">
        <v>15</v>
      </c>
      <c r="O50">
        <v>1</v>
      </c>
      <c r="Q50" s="28"/>
      <c r="R50" s="337" t="s">
        <v>392</v>
      </c>
      <c r="S50" s="337"/>
      <c r="T50" s="337"/>
      <c r="U50" s="27">
        <v>0.6</v>
      </c>
      <c r="V50" s="27">
        <v>3.41</v>
      </c>
      <c r="W50" s="27">
        <v>0.57</v>
      </c>
      <c r="X50" s="27">
        <v>3.24</v>
      </c>
      <c r="Y50" s="27">
        <v>0.46</v>
      </c>
      <c r="Z50" s="27">
        <v>2.61</v>
      </c>
    </row>
    <row r="51" spans="1:43" ht="74.25" customHeight="1" thickBot="1">
      <c r="A51" s="2"/>
      <c r="B51">
        <v>12</v>
      </c>
      <c r="C51">
        <v>66.5</v>
      </c>
      <c r="D51">
        <v>180</v>
      </c>
      <c r="E51">
        <v>300.5</v>
      </c>
      <c r="F51">
        <v>85</v>
      </c>
      <c r="G51">
        <v>53</v>
      </c>
      <c r="H51">
        <v>15</v>
      </c>
      <c r="I51">
        <v>15</v>
      </c>
      <c r="J51">
        <v>15</v>
      </c>
      <c r="K51">
        <v>15</v>
      </c>
      <c r="L51">
        <v>15</v>
      </c>
      <c r="M51">
        <v>53</v>
      </c>
      <c r="N51">
        <v>15</v>
      </c>
      <c r="O51">
        <v>12</v>
      </c>
      <c r="Q51" s="28"/>
      <c r="R51" s="337" t="s">
        <v>393</v>
      </c>
      <c r="S51" s="337"/>
      <c r="T51" s="337"/>
      <c r="U51" s="27">
        <v>0.52</v>
      </c>
      <c r="V51" s="27">
        <v>2.95</v>
      </c>
      <c r="W51" s="27">
        <v>0.5</v>
      </c>
      <c r="X51" s="27">
        <v>2.84</v>
      </c>
      <c r="Y51" s="27">
        <v>0.41</v>
      </c>
      <c r="Z51" s="27">
        <v>2.33</v>
      </c>
      <c r="AH51" s="289" t="s">
        <v>614</v>
      </c>
      <c r="AI51" s="290"/>
      <c r="AJ51" s="290"/>
      <c r="AK51" s="290"/>
      <c r="AL51" s="290"/>
      <c r="AM51" s="290"/>
      <c r="AN51" s="290"/>
      <c r="AO51" s="290"/>
      <c r="AP51" s="290"/>
      <c r="AQ51" s="290"/>
    </row>
    <row r="52" spans="1:43" ht="35.25" customHeight="1">
      <c r="A52" s="2"/>
      <c r="Q52" s="28"/>
      <c r="R52" s="337" t="s">
        <v>394</v>
      </c>
      <c r="S52" s="337"/>
      <c r="T52" s="28"/>
      <c r="U52" s="27">
        <v>0.44</v>
      </c>
      <c r="V52" s="27">
        <v>2.5</v>
      </c>
      <c r="W52" s="27">
        <v>0.42</v>
      </c>
      <c r="X52" s="27">
        <v>2.38</v>
      </c>
      <c r="Y52" s="27">
        <v>0.36</v>
      </c>
      <c r="Z52" s="27">
        <v>2.04</v>
      </c>
      <c r="AH52" s="230" t="s">
        <v>626</v>
      </c>
      <c r="AI52" s="233" t="s">
        <v>595</v>
      </c>
      <c r="AJ52" s="244" t="s">
        <v>596</v>
      </c>
      <c r="AK52" s="245"/>
      <c r="AL52" s="245"/>
      <c r="AM52" s="245"/>
      <c r="AN52" s="245"/>
      <c r="AO52" s="245"/>
      <c r="AP52" s="245"/>
      <c r="AQ52" s="246"/>
    </row>
    <row r="53" spans="1:43" ht="72.75" customHeight="1" thickBot="1">
      <c r="A53" s="2">
        <v>44409</v>
      </c>
      <c r="B53">
        <v>7</v>
      </c>
      <c r="C53">
        <v>9</v>
      </c>
      <c r="D53">
        <v>157.21</v>
      </c>
      <c r="E53">
        <v>143.2</v>
      </c>
      <c r="F53">
        <v>99</v>
      </c>
      <c r="G53">
        <v>106</v>
      </c>
      <c r="H53">
        <v>18</v>
      </c>
      <c r="I53">
        <v>7.3</v>
      </c>
      <c r="J53">
        <v>7.3</v>
      </c>
      <c r="K53">
        <v>7.3</v>
      </c>
      <c r="L53">
        <v>7.3</v>
      </c>
      <c r="M53">
        <v>59</v>
      </c>
      <c r="N53">
        <v>7.3</v>
      </c>
      <c r="O53">
        <v>5</v>
      </c>
      <c r="Q53" s="369" t="s">
        <v>395</v>
      </c>
      <c r="R53" s="369"/>
      <c r="S53" s="369"/>
      <c r="T53" s="25"/>
      <c r="U53" s="29">
        <v>1.09</v>
      </c>
      <c r="V53" s="29">
        <v>6.19</v>
      </c>
      <c r="W53" s="29">
        <v>1</v>
      </c>
      <c r="X53" s="29">
        <v>5.68</v>
      </c>
      <c r="Y53" s="29">
        <v>0.7</v>
      </c>
      <c r="Z53" s="29">
        <v>3.97</v>
      </c>
      <c r="AH53" s="231"/>
      <c r="AI53" s="234"/>
      <c r="AJ53" s="229" t="s">
        <v>597</v>
      </c>
      <c r="AK53" s="252"/>
      <c r="AL53" s="252"/>
      <c r="AM53" s="252" t="s">
        <v>600</v>
      </c>
      <c r="AN53" s="252"/>
      <c r="AO53" s="252" t="s">
        <v>602</v>
      </c>
      <c r="AP53" s="252"/>
      <c r="AQ53" s="286"/>
    </row>
    <row r="54" spans="1:43" ht="30" customHeight="1">
      <c r="A54" s="2"/>
      <c r="B54">
        <v>8</v>
      </c>
      <c r="C54">
        <v>23.6</v>
      </c>
      <c r="D54">
        <v>165.6</v>
      </c>
      <c r="E54">
        <v>249.9</v>
      </c>
      <c r="F54">
        <v>194</v>
      </c>
      <c r="G54">
        <v>174</v>
      </c>
      <c r="H54">
        <v>33</v>
      </c>
      <c r="I54">
        <v>12</v>
      </c>
      <c r="J54">
        <v>12</v>
      </c>
      <c r="K54">
        <v>12</v>
      </c>
      <c r="L54">
        <v>12</v>
      </c>
      <c r="M54">
        <v>87</v>
      </c>
      <c r="N54">
        <v>12</v>
      </c>
      <c r="O54">
        <v>4</v>
      </c>
      <c r="S54" s="73"/>
      <c r="T54" s="73"/>
      <c r="U54" s="73"/>
      <c r="AH54" s="231"/>
      <c r="AI54" s="234"/>
      <c r="AJ54" s="184"/>
      <c r="AK54" s="185" t="s">
        <v>598</v>
      </c>
      <c r="AL54" s="185"/>
      <c r="AM54" s="253" t="s">
        <v>601</v>
      </c>
      <c r="AN54" s="253"/>
      <c r="AO54" s="185"/>
      <c r="AP54" s="185" t="s">
        <v>603</v>
      </c>
      <c r="AQ54" s="187"/>
    </row>
    <row r="55" spans="1:43" ht="67.5" customHeight="1" thickBot="1">
      <c r="A55" s="2"/>
      <c r="B55">
        <v>9</v>
      </c>
      <c r="C55">
        <v>38</v>
      </c>
      <c r="D55">
        <v>162.6</v>
      </c>
      <c r="E55">
        <v>283.4</v>
      </c>
      <c r="F55">
        <v>187</v>
      </c>
      <c r="G55">
        <v>170</v>
      </c>
      <c r="H55">
        <v>40</v>
      </c>
      <c r="I55">
        <v>14</v>
      </c>
      <c r="J55">
        <v>14</v>
      </c>
      <c r="K55">
        <v>14</v>
      </c>
      <c r="L55">
        <v>14</v>
      </c>
      <c r="M55">
        <v>71</v>
      </c>
      <c r="N55">
        <v>14</v>
      </c>
      <c r="O55">
        <v>3</v>
      </c>
      <c r="S55" s="30"/>
      <c r="T55" s="30"/>
      <c r="U55" s="30"/>
      <c r="AH55" s="232"/>
      <c r="AI55" s="208"/>
      <c r="AJ55" s="135"/>
      <c r="AK55" s="183" t="s">
        <v>599</v>
      </c>
      <c r="AL55" s="186"/>
      <c r="AM55" s="291"/>
      <c r="AN55" s="291"/>
      <c r="AO55" s="188"/>
      <c r="AP55" s="183" t="s">
        <v>604</v>
      </c>
      <c r="AQ55" s="135"/>
    </row>
    <row r="56" spans="1:43" ht="14.25">
      <c r="A56" s="2"/>
      <c r="B56">
        <v>10</v>
      </c>
      <c r="C56">
        <v>52.1</v>
      </c>
      <c r="D56">
        <v>156.7</v>
      </c>
      <c r="E56">
        <v>298.3</v>
      </c>
      <c r="F56">
        <v>135</v>
      </c>
      <c r="G56">
        <v>137</v>
      </c>
      <c r="H56">
        <v>43</v>
      </c>
      <c r="I56">
        <v>15</v>
      </c>
      <c r="J56">
        <v>15</v>
      </c>
      <c r="K56">
        <v>15</v>
      </c>
      <c r="L56">
        <v>15</v>
      </c>
      <c r="M56">
        <v>40</v>
      </c>
      <c r="N56">
        <v>15</v>
      </c>
      <c r="O56">
        <v>2</v>
      </c>
      <c r="AH56" s="189"/>
      <c r="AI56" s="136"/>
      <c r="AJ56" s="209" t="s">
        <v>613</v>
      </c>
      <c r="AK56" s="209"/>
      <c r="AL56" s="209"/>
      <c r="AM56" s="209"/>
      <c r="AN56" s="209"/>
      <c r="AO56" s="209"/>
      <c r="AP56" s="209"/>
      <c r="AQ56" s="210"/>
    </row>
    <row r="57" spans="1:43" ht="63.75" customHeight="1">
      <c r="A57" s="2"/>
      <c r="B57">
        <v>11</v>
      </c>
      <c r="C57">
        <v>65.2</v>
      </c>
      <c r="D57">
        <v>143.8</v>
      </c>
      <c r="E57">
        <v>305.5</v>
      </c>
      <c r="F57">
        <v>69</v>
      </c>
      <c r="G57">
        <v>91</v>
      </c>
      <c r="H57">
        <v>45</v>
      </c>
      <c r="I57">
        <v>15</v>
      </c>
      <c r="J57">
        <v>15</v>
      </c>
      <c r="K57">
        <v>15</v>
      </c>
      <c r="L57">
        <v>15</v>
      </c>
      <c r="M57">
        <v>12</v>
      </c>
      <c r="N57">
        <v>15</v>
      </c>
      <c r="O57">
        <v>1</v>
      </c>
      <c r="AH57" s="190" t="s">
        <v>605</v>
      </c>
      <c r="AI57" s="153">
        <v>40</v>
      </c>
      <c r="AJ57" s="247">
        <v>320</v>
      </c>
      <c r="AK57" s="247"/>
      <c r="AL57" s="247"/>
      <c r="AM57" s="247">
        <v>130</v>
      </c>
      <c r="AN57" s="247"/>
      <c r="AO57" s="247">
        <v>190</v>
      </c>
      <c r="AP57" s="247"/>
      <c r="AQ57" s="248"/>
    </row>
    <row r="58" spans="1:43" ht="14.25" customHeight="1">
      <c r="A58" s="2"/>
      <c r="B58">
        <v>12</v>
      </c>
      <c r="C58">
        <v>74.6</v>
      </c>
      <c r="D58">
        <v>180</v>
      </c>
      <c r="E58">
        <v>308.3</v>
      </c>
      <c r="F58">
        <v>50</v>
      </c>
      <c r="G58">
        <v>32</v>
      </c>
      <c r="H58">
        <v>15</v>
      </c>
      <c r="I58">
        <v>15</v>
      </c>
      <c r="J58">
        <v>15</v>
      </c>
      <c r="K58">
        <v>15</v>
      </c>
      <c r="L58">
        <v>15</v>
      </c>
      <c r="M58">
        <v>32</v>
      </c>
      <c r="N58">
        <v>15</v>
      </c>
      <c r="O58">
        <v>12</v>
      </c>
      <c r="AH58" s="191" t="s">
        <v>606</v>
      </c>
      <c r="AI58" s="153">
        <v>49</v>
      </c>
      <c r="AJ58" s="247">
        <v>430</v>
      </c>
      <c r="AK58" s="247"/>
      <c r="AL58" s="247"/>
      <c r="AM58" s="247">
        <v>240</v>
      </c>
      <c r="AN58" s="247"/>
      <c r="AO58" s="247">
        <v>220</v>
      </c>
      <c r="AP58" s="247"/>
      <c r="AQ58" s="248"/>
    </row>
    <row r="59" spans="1:43" ht="63.75" customHeight="1">
      <c r="A59" s="2"/>
      <c r="AH59" s="191" t="s">
        <v>607</v>
      </c>
      <c r="AI59" s="153">
        <v>55</v>
      </c>
      <c r="AJ59" s="247">
        <v>580</v>
      </c>
      <c r="AK59" s="247"/>
      <c r="AL59" s="247"/>
      <c r="AM59" s="247">
        <v>320</v>
      </c>
      <c r="AN59" s="247"/>
      <c r="AO59" s="247">
        <v>260</v>
      </c>
      <c r="AP59" s="247"/>
      <c r="AQ59" s="248"/>
    </row>
    <row r="60" spans="1:43" ht="14.25">
      <c r="A60" s="2">
        <v>44440</v>
      </c>
      <c r="B60">
        <v>7</v>
      </c>
      <c r="C60">
        <v>12.2</v>
      </c>
      <c r="D60">
        <v>89.5</v>
      </c>
      <c r="E60">
        <v>177.9</v>
      </c>
      <c r="F60">
        <v>9.1</v>
      </c>
      <c r="G60">
        <v>105</v>
      </c>
      <c r="H60">
        <v>110</v>
      </c>
      <c r="I60">
        <v>107</v>
      </c>
      <c r="J60">
        <v>5.4</v>
      </c>
      <c r="K60">
        <v>9.1</v>
      </c>
      <c r="L60">
        <v>9.1</v>
      </c>
      <c r="M60">
        <v>9.1</v>
      </c>
      <c r="N60">
        <v>22</v>
      </c>
      <c r="O60">
        <v>5</v>
      </c>
      <c r="AH60" s="192" t="s">
        <v>608</v>
      </c>
      <c r="AI60" s="153">
        <v>60</v>
      </c>
      <c r="AJ60" s="240">
        <v>710</v>
      </c>
      <c r="AK60" s="240"/>
      <c r="AL60" s="240"/>
      <c r="AM60" s="240">
        <v>430</v>
      </c>
      <c r="AN60" s="240"/>
      <c r="AO60" s="247">
        <v>280</v>
      </c>
      <c r="AP60" s="247"/>
      <c r="AQ60" s="248"/>
    </row>
    <row r="61" spans="1:43" ht="15" thickBot="1">
      <c r="A61" s="2"/>
      <c r="B61">
        <v>8</v>
      </c>
      <c r="C61">
        <v>27.2</v>
      </c>
      <c r="D61">
        <v>88.8</v>
      </c>
      <c r="E61">
        <v>264.6</v>
      </c>
      <c r="F61">
        <v>13</v>
      </c>
      <c r="G61">
        <v>135</v>
      </c>
      <c r="H61">
        <v>207</v>
      </c>
      <c r="I61">
        <v>143</v>
      </c>
      <c r="J61">
        <v>8.5</v>
      </c>
      <c r="K61">
        <v>13</v>
      </c>
      <c r="L61">
        <v>13</v>
      </c>
      <c r="M61">
        <v>13</v>
      </c>
      <c r="N61">
        <v>91</v>
      </c>
      <c r="O61">
        <v>4</v>
      </c>
      <c r="AH61" s="196" t="s">
        <v>609</v>
      </c>
      <c r="AI61" s="154">
        <v>64</v>
      </c>
      <c r="AJ61" s="227">
        <v>1000</v>
      </c>
      <c r="AK61" s="227"/>
      <c r="AL61" s="227"/>
      <c r="AM61" s="227">
        <v>640</v>
      </c>
      <c r="AN61" s="227"/>
      <c r="AO61" s="225">
        <v>360</v>
      </c>
      <c r="AP61" s="225"/>
      <c r="AQ61" s="226"/>
    </row>
    <row r="62" spans="1:52" ht="29.25" customHeight="1" thickBot="1">
      <c r="A62" s="2"/>
      <c r="B62">
        <v>9</v>
      </c>
      <c r="C62">
        <v>42.2</v>
      </c>
      <c r="D62">
        <v>87.9</v>
      </c>
      <c r="E62">
        <v>295.1</v>
      </c>
      <c r="F62">
        <v>15</v>
      </c>
      <c r="G62">
        <v>116</v>
      </c>
      <c r="H62">
        <v>192</v>
      </c>
      <c r="I62">
        <v>128</v>
      </c>
      <c r="J62">
        <v>9.9</v>
      </c>
      <c r="K62">
        <v>15</v>
      </c>
      <c r="L62">
        <v>15</v>
      </c>
      <c r="M62">
        <v>15</v>
      </c>
      <c r="N62">
        <v>169</v>
      </c>
      <c r="O62">
        <v>3</v>
      </c>
      <c r="AH62" s="191" t="s">
        <v>610</v>
      </c>
      <c r="AI62" s="153">
        <v>66</v>
      </c>
      <c r="AJ62" s="240">
        <v>1290</v>
      </c>
      <c r="AK62" s="240"/>
      <c r="AL62" s="240"/>
      <c r="AM62" s="240">
        <v>850</v>
      </c>
      <c r="AN62" s="240"/>
      <c r="AO62" s="247">
        <v>440</v>
      </c>
      <c r="AP62" s="247"/>
      <c r="AQ62" s="248"/>
      <c r="AS62" s="435" t="s">
        <v>667</v>
      </c>
      <c r="AT62" s="436" t="s">
        <v>709</v>
      </c>
      <c r="AU62" s="437" t="s">
        <v>679</v>
      </c>
      <c r="AV62" s="437"/>
      <c r="AW62" s="437" t="s">
        <v>684</v>
      </c>
      <c r="AX62" s="437"/>
      <c r="AY62" s="438" t="s">
        <v>698</v>
      </c>
      <c r="AZ62" s="439" t="s">
        <v>701</v>
      </c>
    </row>
    <row r="63" spans="1:52" ht="57.75" customHeight="1" thickBot="1">
      <c r="A63" s="2"/>
      <c r="B63">
        <v>10</v>
      </c>
      <c r="C63">
        <v>57.1</v>
      </c>
      <c r="D63">
        <v>86.5</v>
      </c>
      <c r="E63">
        <v>309.2</v>
      </c>
      <c r="F63">
        <v>15</v>
      </c>
      <c r="G63">
        <v>77</v>
      </c>
      <c r="H63">
        <v>134</v>
      </c>
      <c r="I63">
        <v>91</v>
      </c>
      <c r="J63">
        <v>10</v>
      </c>
      <c r="K63">
        <v>15</v>
      </c>
      <c r="L63">
        <v>15</v>
      </c>
      <c r="M63">
        <v>15</v>
      </c>
      <c r="N63">
        <v>232</v>
      </c>
      <c r="O63">
        <v>2</v>
      </c>
      <c r="S63" s="329" t="s">
        <v>435</v>
      </c>
      <c r="T63" s="333"/>
      <c r="U63" s="72"/>
      <c r="V63" s="329" t="s">
        <v>438</v>
      </c>
      <c r="W63" s="329"/>
      <c r="X63" s="329"/>
      <c r="AH63" s="191" t="s">
        <v>611</v>
      </c>
      <c r="AI63" s="153">
        <v>70</v>
      </c>
      <c r="AJ63" s="240">
        <v>1820</v>
      </c>
      <c r="AK63" s="240"/>
      <c r="AL63" s="240"/>
      <c r="AM63" s="240">
        <v>1280</v>
      </c>
      <c r="AN63" s="240"/>
      <c r="AO63" s="247">
        <v>540</v>
      </c>
      <c r="AP63" s="247"/>
      <c r="AQ63" s="248"/>
      <c r="AS63" s="375" t="s">
        <v>668</v>
      </c>
      <c r="AT63" s="140" t="s">
        <v>708</v>
      </c>
      <c r="AU63" s="216" t="s">
        <v>680</v>
      </c>
      <c r="AV63" s="216" t="s">
        <v>680</v>
      </c>
      <c r="AW63" s="216" t="s">
        <v>686</v>
      </c>
      <c r="AX63" s="216" t="s">
        <v>692</v>
      </c>
      <c r="AY63" s="216" t="s">
        <v>680</v>
      </c>
      <c r="AZ63" s="217" t="s">
        <v>702</v>
      </c>
    </row>
    <row r="64" spans="1:52" ht="57" customHeight="1">
      <c r="A64" s="2"/>
      <c r="B64">
        <v>11</v>
      </c>
      <c r="C64">
        <v>72.1</v>
      </c>
      <c r="D64">
        <v>82.9</v>
      </c>
      <c r="E64">
        <v>316</v>
      </c>
      <c r="F64">
        <v>16</v>
      </c>
      <c r="G64">
        <v>35</v>
      </c>
      <c r="H64">
        <v>64</v>
      </c>
      <c r="I64">
        <v>47</v>
      </c>
      <c r="J64">
        <v>11</v>
      </c>
      <c r="K64">
        <v>16</v>
      </c>
      <c r="L64">
        <v>16</v>
      </c>
      <c r="M64">
        <v>16</v>
      </c>
      <c r="N64">
        <v>233</v>
      </c>
      <c r="O64">
        <v>1</v>
      </c>
      <c r="S64" s="332" t="s">
        <v>436</v>
      </c>
      <c r="T64" s="332"/>
      <c r="U64" s="70"/>
      <c r="V64" s="330" t="s">
        <v>439</v>
      </c>
      <c r="W64" s="330"/>
      <c r="X64" s="330"/>
      <c r="AH64" s="191" t="s">
        <v>612</v>
      </c>
      <c r="AI64" s="153">
        <v>72</v>
      </c>
      <c r="AJ64" s="240">
        <v>2680</v>
      </c>
      <c r="AK64" s="240"/>
      <c r="AL64" s="240"/>
      <c r="AM64" s="240">
        <v>1930</v>
      </c>
      <c r="AN64" s="240"/>
      <c r="AO64" s="247">
        <v>750</v>
      </c>
      <c r="AP64" s="247"/>
      <c r="AQ64" s="248"/>
      <c r="AS64" s="368"/>
      <c r="AT64" s="142" t="s">
        <v>707</v>
      </c>
      <c r="AU64" s="205" t="s">
        <v>680</v>
      </c>
      <c r="AV64" s="205" t="s">
        <v>680</v>
      </c>
      <c r="AW64" s="205" t="s">
        <v>687</v>
      </c>
      <c r="AX64" s="205" t="s">
        <v>693</v>
      </c>
      <c r="AY64" s="205" t="s">
        <v>680</v>
      </c>
      <c r="AZ64" s="215"/>
    </row>
    <row r="65" spans="1:52" ht="57" customHeight="1" thickBot="1">
      <c r="A65" s="2"/>
      <c r="B65">
        <v>12</v>
      </c>
      <c r="C65">
        <v>86.4</v>
      </c>
      <c r="D65">
        <v>180</v>
      </c>
      <c r="E65">
        <v>318.4</v>
      </c>
      <c r="F65">
        <v>13</v>
      </c>
      <c r="G65">
        <v>12</v>
      </c>
      <c r="H65">
        <v>16</v>
      </c>
      <c r="I65">
        <v>16</v>
      </c>
      <c r="J65">
        <v>16</v>
      </c>
      <c r="K65">
        <v>16</v>
      </c>
      <c r="L65">
        <v>16</v>
      </c>
      <c r="M65">
        <v>12</v>
      </c>
      <c r="N65">
        <v>16</v>
      </c>
      <c r="O65">
        <v>12</v>
      </c>
      <c r="S65" s="332" t="s">
        <v>437</v>
      </c>
      <c r="T65" s="332"/>
      <c r="U65" s="71"/>
      <c r="V65" s="331" t="s">
        <v>440</v>
      </c>
      <c r="W65" s="331"/>
      <c r="X65" s="331"/>
      <c r="AH65" s="191">
        <v>1</v>
      </c>
      <c r="AI65" s="153">
        <v>79</v>
      </c>
      <c r="AJ65" s="240">
        <v>3220</v>
      </c>
      <c r="AK65" s="240"/>
      <c r="AL65" s="240"/>
      <c r="AM65" s="240">
        <v>2540</v>
      </c>
      <c r="AN65" s="240"/>
      <c r="AO65" s="247">
        <v>680</v>
      </c>
      <c r="AP65" s="247"/>
      <c r="AQ65" s="248"/>
      <c r="AS65" s="368" t="s">
        <v>669</v>
      </c>
      <c r="AT65" s="295" t="s">
        <v>673</v>
      </c>
      <c r="AU65" s="272" t="s">
        <v>680</v>
      </c>
      <c r="AV65" s="272" t="s">
        <v>680</v>
      </c>
      <c r="AW65" s="272" t="s">
        <v>688</v>
      </c>
      <c r="AX65" s="272" t="s">
        <v>695</v>
      </c>
      <c r="AY65" s="272" t="s">
        <v>680</v>
      </c>
      <c r="AZ65" s="376" t="s">
        <v>703</v>
      </c>
    </row>
    <row r="66" spans="19:52" ht="62.25" customHeight="1">
      <c r="S66" s="69"/>
      <c r="T66" s="69"/>
      <c r="U66" s="69"/>
      <c r="V66" s="68"/>
      <c r="AH66" s="197">
        <v>1.5</v>
      </c>
      <c r="AI66" s="154">
        <v>80</v>
      </c>
      <c r="AJ66" s="227">
        <v>4770</v>
      </c>
      <c r="AK66" s="227"/>
      <c r="AL66" s="227"/>
      <c r="AM66" s="227">
        <v>3820</v>
      </c>
      <c r="AN66" s="227"/>
      <c r="AO66" s="225">
        <v>950</v>
      </c>
      <c r="AP66" s="225"/>
      <c r="AQ66" s="226"/>
      <c r="AS66" s="368"/>
      <c r="AT66" s="295"/>
      <c r="AU66" s="272"/>
      <c r="AV66" s="272"/>
      <c r="AW66" s="272"/>
      <c r="AX66" s="272"/>
      <c r="AY66" s="272"/>
      <c r="AZ66" s="376"/>
    </row>
    <row r="67" spans="1:52" ht="73.5" customHeight="1">
      <c r="A67" s="2">
        <v>44470</v>
      </c>
      <c r="B67">
        <v>7</v>
      </c>
      <c r="C67">
        <v>14.5</v>
      </c>
      <c r="D67">
        <v>79.8</v>
      </c>
      <c r="E67">
        <v>187.8</v>
      </c>
      <c r="F67">
        <v>9.6</v>
      </c>
      <c r="G67">
        <v>85</v>
      </c>
      <c r="H67">
        <v>140</v>
      </c>
      <c r="I67">
        <v>135</v>
      </c>
      <c r="J67">
        <v>20</v>
      </c>
      <c r="K67">
        <v>9.6</v>
      </c>
      <c r="L67">
        <v>9.6</v>
      </c>
      <c r="M67">
        <v>9.6</v>
      </c>
      <c r="N67">
        <v>31</v>
      </c>
      <c r="O67">
        <v>5</v>
      </c>
      <c r="S67" s="372" t="s">
        <v>441</v>
      </c>
      <c r="T67" s="372"/>
      <c r="U67" s="372"/>
      <c r="V67" s="372"/>
      <c r="W67" s="372"/>
      <c r="AH67" s="191">
        <v>2</v>
      </c>
      <c r="AI67" s="153">
        <v>80</v>
      </c>
      <c r="AJ67" s="240">
        <v>6380</v>
      </c>
      <c r="AK67" s="240"/>
      <c r="AL67" s="240"/>
      <c r="AM67" s="240">
        <v>5100</v>
      </c>
      <c r="AN67" s="240"/>
      <c r="AO67" s="247">
        <v>1280</v>
      </c>
      <c r="AP67" s="247"/>
      <c r="AQ67" s="248"/>
      <c r="AS67" s="368" t="s">
        <v>670</v>
      </c>
      <c r="AT67" s="142" t="s">
        <v>674</v>
      </c>
      <c r="AU67" s="205" t="s">
        <v>681</v>
      </c>
      <c r="AV67" s="205" t="s">
        <v>685</v>
      </c>
      <c r="AW67" s="205" t="s">
        <v>689</v>
      </c>
      <c r="AX67" s="272" t="s">
        <v>694</v>
      </c>
      <c r="AY67" s="205" t="s">
        <v>680</v>
      </c>
      <c r="AZ67" s="376" t="s">
        <v>704</v>
      </c>
    </row>
    <row r="68" spans="2:52" ht="73.5" customHeight="1">
      <c r="B68">
        <v>8</v>
      </c>
      <c r="C68">
        <v>29.2</v>
      </c>
      <c r="D68">
        <v>79.2</v>
      </c>
      <c r="E68">
        <v>266.7</v>
      </c>
      <c r="F68">
        <v>13</v>
      </c>
      <c r="G68">
        <v>104</v>
      </c>
      <c r="H68">
        <v>207</v>
      </c>
      <c r="I68">
        <v>171</v>
      </c>
      <c r="J68">
        <v>27</v>
      </c>
      <c r="K68">
        <v>13</v>
      </c>
      <c r="L68">
        <v>13</v>
      </c>
      <c r="M68">
        <v>13</v>
      </c>
      <c r="N68">
        <v>103</v>
      </c>
      <c r="O68">
        <v>4</v>
      </c>
      <c r="S68" s="334" t="s">
        <v>442</v>
      </c>
      <c r="T68" s="334"/>
      <c r="U68" s="334"/>
      <c r="V68" s="334"/>
      <c r="W68" s="334"/>
      <c r="X68" s="334"/>
      <c r="AH68" s="191">
        <v>3</v>
      </c>
      <c r="AI68" s="153">
        <v>81</v>
      </c>
      <c r="AJ68" s="240">
        <v>9450</v>
      </c>
      <c r="AK68" s="240"/>
      <c r="AL68" s="240"/>
      <c r="AM68" s="240">
        <v>7650</v>
      </c>
      <c r="AN68" s="240"/>
      <c r="AO68" s="247">
        <v>1800</v>
      </c>
      <c r="AP68" s="247"/>
      <c r="AQ68" s="248"/>
      <c r="AS68" s="368"/>
      <c r="AT68" s="142" t="s">
        <v>675</v>
      </c>
      <c r="AU68" s="205" t="s">
        <v>680</v>
      </c>
      <c r="AV68" s="205" t="s">
        <v>680</v>
      </c>
      <c r="AW68" s="205" t="s">
        <v>689</v>
      </c>
      <c r="AX68" s="272"/>
      <c r="AY68" s="205" t="s">
        <v>680</v>
      </c>
      <c r="AZ68" s="376"/>
    </row>
    <row r="69" spans="2:52" ht="69" customHeight="1">
      <c r="B69">
        <v>9</v>
      </c>
      <c r="C69">
        <v>43.9</v>
      </c>
      <c r="D69">
        <v>77.6</v>
      </c>
      <c r="E69">
        <v>297.4</v>
      </c>
      <c r="F69">
        <v>15</v>
      </c>
      <c r="G69">
        <v>86</v>
      </c>
      <c r="H69">
        <v>185</v>
      </c>
      <c r="I69">
        <v>153</v>
      </c>
      <c r="J69">
        <v>29</v>
      </c>
      <c r="K69">
        <v>15</v>
      </c>
      <c r="L69">
        <v>15</v>
      </c>
      <c r="M69">
        <v>15</v>
      </c>
      <c r="N69">
        <v>181</v>
      </c>
      <c r="O69">
        <v>3</v>
      </c>
      <c r="AH69" s="191">
        <v>5</v>
      </c>
      <c r="AI69" s="153">
        <v>82</v>
      </c>
      <c r="AJ69" s="240">
        <v>15600</v>
      </c>
      <c r="AK69" s="240"/>
      <c r="AL69" s="240"/>
      <c r="AM69" s="240">
        <v>128000</v>
      </c>
      <c r="AN69" s="240"/>
      <c r="AO69" s="247">
        <v>2800</v>
      </c>
      <c r="AP69" s="247"/>
      <c r="AQ69" s="248"/>
      <c r="AS69" s="368" t="s">
        <v>671</v>
      </c>
      <c r="AT69" s="142" t="s">
        <v>676</v>
      </c>
      <c r="AU69" s="205" t="s">
        <v>683</v>
      </c>
      <c r="AV69" s="205" t="s">
        <v>685</v>
      </c>
      <c r="AW69" s="205" t="s">
        <v>689</v>
      </c>
      <c r="AX69" s="205" t="s">
        <v>690</v>
      </c>
      <c r="AY69" s="205" t="s">
        <v>699</v>
      </c>
      <c r="AZ69" s="376" t="s">
        <v>705</v>
      </c>
    </row>
    <row r="70" spans="2:52" ht="69" customHeight="1">
      <c r="B70">
        <v>10</v>
      </c>
      <c r="C70">
        <v>58.4</v>
      </c>
      <c r="D70">
        <v>73.4</v>
      </c>
      <c r="E70">
        <v>312.1</v>
      </c>
      <c r="F70">
        <v>16</v>
      </c>
      <c r="G70">
        <v>52</v>
      </c>
      <c r="H70">
        <v>125</v>
      </c>
      <c r="I70">
        <v>112</v>
      </c>
      <c r="J70">
        <v>30</v>
      </c>
      <c r="K70">
        <v>16</v>
      </c>
      <c r="L70">
        <v>16</v>
      </c>
      <c r="M70">
        <v>16</v>
      </c>
      <c r="N70">
        <v>241</v>
      </c>
      <c r="O70">
        <v>2</v>
      </c>
      <c r="AH70" s="193">
        <v>7.5</v>
      </c>
      <c r="AI70" s="153">
        <v>85</v>
      </c>
      <c r="AJ70" s="240">
        <v>22500</v>
      </c>
      <c r="AK70" s="240"/>
      <c r="AL70" s="240"/>
      <c r="AM70" s="240">
        <v>19100</v>
      </c>
      <c r="AN70" s="240"/>
      <c r="AO70" s="247">
        <v>3400</v>
      </c>
      <c r="AP70" s="247"/>
      <c r="AQ70" s="248"/>
      <c r="AS70" s="368"/>
      <c r="AT70" s="142" t="s">
        <v>677</v>
      </c>
      <c r="AU70" s="205" t="s">
        <v>680</v>
      </c>
      <c r="AV70" s="205" t="s">
        <v>680</v>
      </c>
      <c r="AW70" s="205" t="s">
        <v>691</v>
      </c>
      <c r="AX70" s="205" t="s">
        <v>696</v>
      </c>
      <c r="AY70" s="205" t="s">
        <v>680</v>
      </c>
      <c r="AZ70" s="376"/>
    </row>
    <row r="71" spans="2:52" ht="85.5" customHeight="1" thickBot="1">
      <c r="B71">
        <v>11</v>
      </c>
      <c r="C71">
        <v>72.4</v>
      </c>
      <c r="D71">
        <v>61.3</v>
      </c>
      <c r="E71">
        <v>319.2</v>
      </c>
      <c r="F71">
        <v>16</v>
      </c>
      <c r="G71">
        <v>20</v>
      </c>
      <c r="H71">
        <v>57</v>
      </c>
      <c r="I71">
        <v>64</v>
      </c>
      <c r="J71">
        <v>30</v>
      </c>
      <c r="K71">
        <v>16</v>
      </c>
      <c r="L71">
        <v>16</v>
      </c>
      <c r="M71">
        <v>16</v>
      </c>
      <c r="N71">
        <v>238</v>
      </c>
      <c r="O71">
        <v>1</v>
      </c>
      <c r="S71" s="326" t="s">
        <v>396</v>
      </c>
      <c r="T71" s="326"/>
      <c r="U71" s="326"/>
      <c r="V71" s="326"/>
      <c r="W71" s="326"/>
      <c r="X71" s="326"/>
      <c r="Y71" s="326"/>
      <c r="Z71" s="326"/>
      <c r="AA71" s="326"/>
      <c r="AB71" s="326"/>
      <c r="AC71" s="326"/>
      <c r="AD71" s="326"/>
      <c r="AE71" s="326"/>
      <c r="AF71" s="326"/>
      <c r="AH71" s="196">
        <v>10</v>
      </c>
      <c r="AI71" s="154">
        <v>85</v>
      </c>
      <c r="AJ71" s="227">
        <v>30000</v>
      </c>
      <c r="AK71" s="227"/>
      <c r="AL71" s="227"/>
      <c r="AM71" s="227">
        <v>25500</v>
      </c>
      <c r="AN71" s="227"/>
      <c r="AO71" s="225">
        <v>4500</v>
      </c>
      <c r="AP71" s="225"/>
      <c r="AQ71" s="226"/>
      <c r="AS71" s="368" t="s">
        <v>672</v>
      </c>
      <c r="AT71" s="295" t="s">
        <v>678</v>
      </c>
      <c r="AU71" s="272" t="s">
        <v>682</v>
      </c>
      <c r="AV71" s="272" t="s">
        <v>685</v>
      </c>
      <c r="AW71" s="272" t="s">
        <v>691</v>
      </c>
      <c r="AX71" s="272" t="s">
        <v>697</v>
      </c>
      <c r="AY71" s="272" t="s">
        <v>700</v>
      </c>
      <c r="AZ71" s="376" t="s">
        <v>706</v>
      </c>
    </row>
    <row r="72" spans="2:52" ht="15" thickBot="1">
      <c r="B72">
        <v>12</v>
      </c>
      <c r="C72">
        <v>81.7</v>
      </c>
      <c r="D72">
        <v>0</v>
      </c>
      <c r="E72">
        <v>321.4</v>
      </c>
      <c r="F72">
        <v>16</v>
      </c>
      <c r="G72">
        <v>16</v>
      </c>
      <c r="H72">
        <v>16</v>
      </c>
      <c r="I72">
        <v>22</v>
      </c>
      <c r="J72">
        <v>30</v>
      </c>
      <c r="K72">
        <v>16</v>
      </c>
      <c r="L72">
        <v>16</v>
      </c>
      <c r="M72">
        <v>16</v>
      </c>
      <c r="N72">
        <v>162</v>
      </c>
      <c r="O72">
        <v>12</v>
      </c>
      <c r="S72" s="318" t="s">
        <v>397</v>
      </c>
      <c r="T72" s="321" t="s">
        <v>398</v>
      </c>
      <c r="U72" s="321" t="s">
        <v>399</v>
      </c>
      <c r="V72" s="321" t="s">
        <v>400</v>
      </c>
      <c r="W72" s="327" t="s">
        <v>401</v>
      </c>
      <c r="X72" s="327"/>
      <c r="Y72" s="327"/>
      <c r="Z72" s="327"/>
      <c r="AA72" s="327"/>
      <c r="AB72" s="327"/>
      <c r="AC72" s="327"/>
      <c r="AD72" s="327"/>
      <c r="AE72" s="327"/>
      <c r="AF72" s="328"/>
      <c r="AH72" s="191">
        <v>15</v>
      </c>
      <c r="AI72" s="153">
        <v>86</v>
      </c>
      <c r="AJ72" s="240">
        <v>44500</v>
      </c>
      <c r="AK72" s="240"/>
      <c r="AL72" s="240"/>
      <c r="AM72" s="240">
        <v>38200</v>
      </c>
      <c r="AN72" s="240"/>
      <c r="AO72" s="247">
        <v>6300</v>
      </c>
      <c r="AP72" s="247"/>
      <c r="AQ72" s="248"/>
      <c r="AS72" s="373"/>
      <c r="AT72" s="296"/>
      <c r="AU72" s="374"/>
      <c r="AV72" s="374"/>
      <c r="AW72" s="374"/>
      <c r="AX72" s="374"/>
      <c r="AY72" s="374"/>
      <c r="AZ72" s="377"/>
    </row>
    <row r="73" spans="19:43" ht="14.25">
      <c r="S73" s="319"/>
      <c r="T73" s="295"/>
      <c r="U73" s="295"/>
      <c r="V73" s="295"/>
      <c r="W73" s="258" t="s">
        <v>402</v>
      </c>
      <c r="X73" s="258"/>
      <c r="Y73" s="258" t="s">
        <v>403</v>
      </c>
      <c r="Z73" s="258"/>
      <c r="AA73" s="258" t="s">
        <v>404</v>
      </c>
      <c r="AB73" s="258"/>
      <c r="AC73" s="258" t="s">
        <v>405</v>
      </c>
      <c r="AD73" s="258"/>
      <c r="AE73" s="258" t="s">
        <v>406</v>
      </c>
      <c r="AF73" s="317"/>
      <c r="AH73" s="191">
        <v>20</v>
      </c>
      <c r="AI73" s="153">
        <v>87</v>
      </c>
      <c r="AJ73" s="240">
        <v>58500</v>
      </c>
      <c r="AK73" s="240"/>
      <c r="AL73" s="240"/>
      <c r="AM73" s="240">
        <v>51000</v>
      </c>
      <c r="AN73" s="240"/>
      <c r="AO73" s="247">
        <v>7500</v>
      </c>
      <c r="AP73" s="247"/>
      <c r="AQ73" s="248"/>
    </row>
    <row r="74" spans="1:50" ht="25.5" customHeight="1" thickBot="1">
      <c r="A74" s="2">
        <v>44501</v>
      </c>
      <c r="B74">
        <v>7</v>
      </c>
      <c r="C74">
        <v>13.9</v>
      </c>
      <c r="D74">
        <v>70.2</v>
      </c>
      <c r="E74">
        <v>175</v>
      </c>
      <c r="F74">
        <v>8.9</v>
      </c>
      <c r="G74">
        <v>56</v>
      </c>
      <c r="H74">
        <v>140</v>
      </c>
      <c r="I74">
        <v>140</v>
      </c>
      <c r="J74">
        <v>42</v>
      </c>
      <c r="K74">
        <v>8.9</v>
      </c>
      <c r="L74">
        <v>8.9</v>
      </c>
      <c r="M74">
        <v>8.9</v>
      </c>
      <c r="N74">
        <v>29</v>
      </c>
      <c r="O74">
        <v>5</v>
      </c>
      <c r="S74" s="319"/>
      <c r="T74" s="295"/>
      <c r="U74" s="295"/>
      <c r="V74" s="295"/>
      <c r="W74" s="258" t="s">
        <v>407</v>
      </c>
      <c r="X74" s="258"/>
      <c r="Y74" s="258" t="s">
        <v>407</v>
      </c>
      <c r="Z74" s="258"/>
      <c r="AA74" s="258" t="s">
        <v>407</v>
      </c>
      <c r="AB74" s="258"/>
      <c r="AC74" s="258" t="s">
        <v>407</v>
      </c>
      <c r="AD74" s="258"/>
      <c r="AE74" s="258" t="s">
        <v>407</v>
      </c>
      <c r="AF74" s="317"/>
      <c r="AH74" s="191">
        <v>25</v>
      </c>
      <c r="AI74" s="153">
        <v>88</v>
      </c>
      <c r="AJ74" s="240">
        <v>72400</v>
      </c>
      <c r="AK74" s="240"/>
      <c r="AL74" s="240"/>
      <c r="AM74" s="240">
        <v>63600</v>
      </c>
      <c r="AN74" s="240"/>
      <c r="AO74" s="247">
        <v>8800</v>
      </c>
      <c r="AP74" s="247"/>
      <c r="AQ74" s="248"/>
      <c r="AS74" s="391" t="s">
        <v>710</v>
      </c>
      <c r="AT74" s="218"/>
      <c r="AU74" s="218"/>
      <c r="AV74" s="392" t="s">
        <v>712</v>
      </c>
      <c r="AW74" s="392"/>
      <c r="AX74" s="392"/>
    </row>
    <row r="75" spans="2:50" ht="37.5" customHeight="1" thickBot="1">
      <c r="B75">
        <v>8</v>
      </c>
      <c r="C75">
        <v>28</v>
      </c>
      <c r="D75">
        <v>68.7</v>
      </c>
      <c r="E75">
        <v>259.9</v>
      </c>
      <c r="F75">
        <v>13</v>
      </c>
      <c r="G75">
        <v>69</v>
      </c>
      <c r="H75">
        <v>197</v>
      </c>
      <c r="I75">
        <v>193</v>
      </c>
      <c r="J75">
        <v>61</v>
      </c>
      <c r="K75">
        <v>13</v>
      </c>
      <c r="L75">
        <v>13</v>
      </c>
      <c r="M75">
        <v>13</v>
      </c>
      <c r="N75">
        <v>98</v>
      </c>
      <c r="O75">
        <v>4</v>
      </c>
      <c r="S75" s="320"/>
      <c r="T75" s="296"/>
      <c r="U75" s="296"/>
      <c r="V75" s="296"/>
      <c r="W75" s="151" t="s">
        <v>60</v>
      </c>
      <c r="X75" s="151" t="s">
        <v>61</v>
      </c>
      <c r="Y75" s="151" t="s">
        <v>60</v>
      </c>
      <c r="Z75" s="151" t="s">
        <v>61</v>
      </c>
      <c r="AA75" s="151" t="s">
        <v>60</v>
      </c>
      <c r="AB75" s="151" t="s">
        <v>61</v>
      </c>
      <c r="AC75" s="151" t="s">
        <v>60</v>
      </c>
      <c r="AD75" s="151" t="s">
        <v>61</v>
      </c>
      <c r="AE75" s="151" t="s">
        <v>60</v>
      </c>
      <c r="AF75" s="152" t="s">
        <v>61</v>
      </c>
      <c r="AH75" s="191">
        <v>30</v>
      </c>
      <c r="AI75" s="153">
        <v>89</v>
      </c>
      <c r="AJ75" s="240">
        <v>85800</v>
      </c>
      <c r="AK75" s="240"/>
      <c r="AL75" s="240"/>
      <c r="AM75" s="240">
        <v>76400</v>
      </c>
      <c r="AN75" s="240"/>
      <c r="AO75" s="247">
        <v>9400</v>
      </c>
      <c r="AP75" s="247"/>
      <c r="AQ75" s="248"/>
      <c r="AS75" s="391"/>
      <c r="AT75" s="378" t="s">
        <v>711</v>
      </c>
      <c r="AU75" s="378"/>
      <c r="AV75" s="219" t="s">
        <v>713</v>
      </c>
      <c r="AW75" s="218" t="s">
        <v>714</v>
      </c>
      <c r="AX75" s="218" t="s">
        <v>715</v>
      </c>
    </row>
    <row r="76" spans="2:50" ht="12.75" customHeight="1">
      <c r="B76">
        <v>9</v>
      </c>
      <c r="C76">
        <v>41.8</v>
      </c>
      <c r="D76">
        <v>65.2</v>
      </c>
      <c r="E76">
        <v>294.1</v>
      </c>
      <c r="F76">
        <v>15</v>
      </c>
      <c r="G76">
        <v>54</v>
      </c>
      <c r="H76">
        <v>177</v>
      </c>
      <c r="I76">
        <v>184</v>
      </c>
      <c r="J76">
        <v>67</v>
      </c>
      <c r="K76">
        <v>15</v>
      </c>
      <c r="L76">
        <v>15</v>
      </c>
      <c r="M76">
        <v>15</v>
      </c>
      <c r="N76">
        <v>173</v>
      </c>
      <c r="O76">
        <v>3</v>
      </c>
      <c r="S76" s="147" t="s">
        <v>408</v>
      </c>
      <c r="T76" s="148" t="s">
        <v>418</v>
      </c>
      <c r="U76" s="49">
        <v>390</v>
      </c>
      <c r="V76" s="49">
        <v>350</v>
      </c>
      <c r="W76" s="49">
        <v>175</v>
      </c>
      <c r="X76" s="49">
        <v>175</v>
      </c>
      <c r="Y76" s="49">
        <v>195</v>
      </c>
      <c r="Z76" s="49">
        <v>155</v>
      </c>
      <c r="AA76" s="49">
        <v>210</v>
      </c>
      <c r="AB76" s="49">
        <v>140</v>
      </c>
      <c r="AC76" s="49">
        <v>230</v>
      </c>
      <c r="AD76" s="49">
        <v>120</v>
      </c>
      <c r="AE76" s="49">
        <v>260</v>
      </c>
      <c r="AF76" s="54">
        <v>90</v>
      </c>
      <c r="AH76" s="196">
        <v>40</v>
      </c>
      <c r="AI76" s="154">
        <v>89</v>
      </c>
      <c r="AJ76" s="227">
        <v>115000</v>
      </c>
      <c r="AK76" s="227"/>
      <c r="AL76" s="227"/>
      <c r="AM76" s="227">
        <v>102000</v>
      </c>
      <c r="AN76" s="227"/>
      <c r="AO76" s="225">
        <v>13000</v>
      </c>
      <c r="AP76" s="225"/>
      <c r="AQ76" s="226"/>
      <c r="AS76" s="382">
        <v>3</v>
      </c>
      <c r="AT76" s="379" t="s">
        <v>716</v>
      </c>
      <c r="AU76" s="379"/>
      <c r="AV76" s="354">
        <v>25</v>
      </c>
      <c r="AW76" s="354">
        <v>90</v>
      </c>
      <c r="AX76" s="354" t="s">
        <v>731</v>
      </c>
    </row>
    <row r="77" spans="2:50" ht="12.75" customHeight="1">
      <c r="B77">
        <v>10</v>
      </c>
      <c r="C77">
        <v>55</v>
      </c>
      <c r="D77">
        <v>57.6</v>
      </c>
      <c r="E77">
        <v>310.7</v>
      </c>
      <c r="F77">
        <v>15</v>
      </c>
      <c r="G77">
        <v>28</v>
      </c>
      <c r="H77">
        <v>122</v>
      </c>
      <c r="I77">
        <v>147</v>
      </c>
      <c r="J77">
        <v>70</v>
      </c>
      <c r="K77">
        <v>15</v>
      </c>
      <c r="L77">
        <v>15</v>
      </c>
      <c r="M77">
        <v>15</v>
      </c>
      <c r="N77">
        <v>234</v>
      </c>
      <c r="O77">
        <v>2</v>
      </c>
      <c r="S77" s="141" t="s">
        <v>409</v>
      </c>
      <c r="T77" s="145" t="s">
        <v>419</v>
      </c>
      <c r="U77" s="146">
        <v>450</v>
      </c>
      <c r="V77" s="146">
        <v>400</v>
      </c>
      <c r="W77" s="146">
        <v>180</v>
      </c>
      <c r="X77" s="146">
        <v>220</v>
      </c>
      <c r="Y77" s="146">
        <v>195</v>
      </c>
      <c r="Z77" s="146">
        <v>205</v>
      </c>
      <c r="AA77" s="146">
        <v>215</v>
      </c>
      <c r="AB77" s="146">
        <v>185</v>
      </c>
      <c r="AC77" s="146">
        <v>240</v>
      </c>
      <c r="AD77" s="146">
        <v>160</v>
      </c>
      <c r="AE77" s="146">
        <v>275</v>
      </c>
      <c r="AF77" s="40">
        <v>125</v>
      </c>
      <c r="AH77" s="194">
        <v>50</v>
      </c>
      <c r="AI77" s="195">
        <v>89</v>
      </c>
      <c r="AJ77" s="240">
        <v>143000</v>
      </c>
      <c r="AK77" s="240"/>
      <c r="AL77" s="240"/>
      <c r="AM77" s="240">
        <v>127000</v>
      </c>
      <c r="AN77" s="240"/>
      <c r="AO77" s="247">
        <v>16000</v>
      </c>
      <c r="AP77" s="247"/>
      <c r="AQ77" s="248"/>
      <c r="AS77" s="383"/>
      <c r="AT77" s="380"/>
      <c r="AU77" s="380"/>
      <c r="AV77" s="390"/>
      <c r="AW77" s="390"/>
      <c r="AX77" s="390"/>
    </row>
    <row r="78" spans="2:50" ht="12.75" customHeight="1">
      <c r="B78">
        <v>11</v>
      </c>
      <c r="C78">
        <v>66.5</v>
      </c>
      <c r="D78">
        <v>40.5</v>
      </c>
      <c r="E78">
        <v>318.8</v>
      </c>
      <c r="F78">
        <v>16</v>
      </c>
      <c r="G78">
        <v>16</v>
      </c>
      <c r="H78">
        <v>59</v>
      </c>
      <c r="I78">
        <v>98</v>
      </c>
      <c r="J78">
        <v>70</v>
      </c>
      <c r="K78">
        <v>16</v>
      </c>
      <c r="L78">
        <v>16</v>
      </c>
      <c r="M78">
        <v>16</v>
      </c>
      <c r="N78">
        <v>256</v>
      </c>
      <c r="O78">
        <v>1</v>
      </c>
      <c r="S78" s="141" t="s">
        <v>410</v>
      </c>
      <c r="T78" s="145" t="s">
        <v>420</v>
      </c>
      <c r="U78" s="146">
        <v>475</v>
      </c>
      <c r="V78" s="310">
        <v>450</v>
      </c>
      <c r="W78" s="310">
        <v>180</v>
      </c>
      <c r="X78" s="310">
        <v>170</v>
      </c>
      <c r="Y78" s="310">
        <v>200</v>
      </c>
      <c r="Z78" s="310">
        <v>250</v>
      </c>
      <c r="AA78" s="310">
        <v>215</v>
      </c>
      <c r="AB78" s="310">
        <v>235</v>
      </c>
      <c r="AC78" s="316">
        <v>245</v>
      </c>
      <c r="AD78" s="316">
        <v>205</v>
      </c>
      <c r="AE78" s="310">
        <v>285</v>
      </c>
      <c r="AF78" s="315">
        <v>165</v>
      </c>
      <c r="AH78" s="194">
        <v>60</v>
      </c>
      <c r="AI78" s="195">
        <v>89</v>
      </c>
      <c r="AJ78" s="240">
        <v>172000</v>
      </c>
      <c r="AK78" s="240"/>
      <c r="AL78" s="240"/>
      <c r="AM78" s="240">
        <v>153000</v>
      </c>
      <c r="AN78" s="240"/>
      <c r="AO78" s="247">
        <v>19000</v>
      </c>
      <c r="AP78" s="247"/>
      <c r="AQ78" s="248"/>
      <c r="AS78" s="384"/>
      <c r="AT78" s="381"/>
      <c r="AU78" s="381"/>
      <c r="AV78" s="348"/>
      <c r="AW78" s="348"/>
      <c r="AX78" s="348"/>
    </row>
    <row r="79" spans="2:50" ht="12.75" customHeight="1">
      <c r="B79">
        <v>12</v>
      </c>
      <c r="C79">
        <v>72.4</v>
      </c>
      <c r="D79">
        <v>0</v>
      </c>
      <c r="E79">
        <v>321.4</v>
      </c>
      <c r="F79">
        <v>16</v>
      </c>
      <c r="G79">
        <v>16</v>
      </c>
      <c r="H79">
        <v>16</v>
      </c>
      <c r="I79">
        <v>48</v>
      </c>
      <c r="J79">
        <v>71</v>
      </c>
      <c r="K79">
        <v>16</v>
      </c>
      <c r="L79">
        <v>16</v>
      </c>
      <c r="M79">
        <v>16</v>
      </c>
      <c r="N79">
        <v>242</v>
      </c>
      <c r="O79">
        <v>12</v>
      </c>
      <c r="S79" s="141" t="s">
        <v>411</v>
      </c>
      <c r="T79" s="145" t="s">
        <v>421</v>
      </c>
      <c r="U79" s="146">
        <v>550</v>
      </c>
      <c r="V79" s="310"/>
      <c r="W79" s="310"/>
      <c r="X79" s="310"/>
      <c r="Y79" s="310"/>
      <c r="Z79" s="310"/>
      <c r="AA79" s="310"/>
      <c r="AB79" s="310"/>
      <c r="AC79" s="316"/>
      <c r="AD79" s="316"/>
      <c r="AE79" s="310"/>
      <c r="AF79" s="315"/>
      <c r="AH79" s="191">
        <v>75</v>
      </c>
      <c r="AI79" s="153">
        <v>90</v>
      </c>
      <c r="AJ79" s="240">
        <v>212000</v>
      </c>
      <c r="AK79" s="240"/>
      <c r="AL79" s="240"/>
      <c r="AM79" s="240">
        <v>191000</v>
      </c>
      <c r="AN79" s="240"/>
      <c r="AO79" s="247">
        <v>21000</v>
      </c>
      <c r="AP79" s="247"/>
      <c r="AQ79" s="248"/>
      <c r="AS79" s="388">
        <v>2</v>
      </c>
      <c r="AT79" s="386" t="s">
        <v>717</v>
      </c>
      <c r="AU79" s="386"/>
      <c r="AV79" s="389">
        <v>25</v>
      </c>
      <c r="AW79" s="389">
        <v>90</v>
      </c>
      <c r="AX79" s="224"/>
    </row>
    <row r="80" spans="19:50" ht="12.75" customHeight="1">
      <c r="S80" s="141" t="s">
        <v>412</v>
      </c>
      <c r="T80" s="145" t="s">
        <v>422</v>
      </c>
      <c r="U80" s="146">
        <v>550</v>
      </c>
      <c r="V80" s="310">
        <v>500</v>
      </c>
      <c r="W80" s="310">
        <v>180</v>
      </c>
      <c r="X80" s="310">
        <v>320</v>
      </c>
      <c r="Y80" s="310">
        <v>200</v>
      </c>
      <c r="Z80" s="310">
        <v>300</v>
      </c>
      <c r="AA80" s="310">
        <v>220</v>
      </c>
      <c r="AB80" s="310">
        <v>280</v>
      </c>
      <c r="AC80" s="310">
        <v>255</v>
      </c>
      <c r="AD80" s="310">
        <v>245</v>
      </c>
      <c r="AE80" s="310">
        <v>290</v>
      </c>
      <c r="AF80" s="315">
        <v>210</v>
      </c>
      <c r="AH80" s="191">
        <v>100</v>
      </c>
      <c r="AI80" s="153">
        <v>90</v>
      </c>
      <c r="AJ80" s="240">
        <v>284000</v>
      </c>
      <c r="AK80" s="240"/>
      <c r="AL80" s="240"/>
      <c r="AM80" s="240">
        <v>255000</v>
      </c>
      <c r="AN80" s="240"/>
      <c r="AO80" s="247">
        <v>29000</v>
      </c>
      <c r="AP80" s="247"/>
      <c r="AQ80" s="248"/>
      <c r="AS80" s="383"/>
      <c r="AT80" s="387" t="s">
        <v>718</v>
      </c>
      <c r="AU80" s="387"/>
      <c r="AV80" s="390"/>
      <c r="AW80" s="390"/>
      <c r="AX80" s="24"/>
    </row>
    <row r="81" spans="1:50" ht="13.5" customHeight="1">
      <c r="A81" s="2">
        <v>44531</v>
      </c>
      <c r="B81">
        <v>7</v>
      </c>
      <c r="C81">
        <v>11</v>
      </c>
      <c r="D81">
        <v>66.6</v>
      </c>
      <c r="E81">
        <v>135.7</v>
      </c>
      <c r="F81">
        <v>6.9</v>
      </c>
      <c r="G81">
        <v>37</v>
      </c>
      <c r="H81">
        <v>110</v>
      </c>
      <c r="I81">
        <v>110</v>
      </c>
      <c r="J81">
        <v>41</v>
      </c>
      <c r="K81">
        <v>6.9</v>
      </c>
      <c r="L81">
        <v>6.9</v>
      </c>
      <c r="M81">
        <v>6.9</v>
      </c>
      <c r="N81">
        <v>18</v>
      </c>
      <c r="O81">
        <v>5</v>
      </c>
      <c r="S81" s="141" t="s">
        <v>411</v>
      </c>
      <c r="T81" s="145" t="s">
        <v>423</v>
      </c>
      <c r="U81" s="146">
        <v>550</v>
      </c>
      <c r="V81" s="310"/>
      <c r="W81" s="310"/>
      <c r="X81" s="310"/>
      <c r="Y81" s="310"/>
      <c r="Z81" s="310"/>
      <c r="AA81" s="310"/>
      <c r="AB81" s="310"/>
      <c r="AC81" s="310"/>
      <c r="AD81" s="310"/>
      <c r="AE81" s="310"/>
      <c r="AF81" s="315"/>
      <c r="AH81" s="196">
        <v>125</v>
      </c>
      <c r="AI81" s="154">
        <v>90</v>
      </c>
      <c r="AJ81" s="227">
        <v>354000</v>
      </c>
      <c r="AK81" s="227"/>
      <c r="AL81" s="227"/>
      <c r="AM81" s="227">
        <v>318000</v>
      </c>
      <c r="AN81" s="227"/>
      <c r="AO81" s="225">
        <v>36000</v>
      </c>
      <c r="AP81" s="225"/>
      <c r="AQ81" s="226"/>
      <c r="AS81" s="383"/>
      <c r="AT81" s="268" t="s">
        <v>719</v>
      </c>
      <c r="AU81" s="268"/>
      <c r="AV81" s="390"/>
      <c r="AW81" s="390"/>
      <c r="AX81" s="24"/>
    </row>
    <row r="82" spans="2:50" ht="13.5" customHeight="1">
      <c r="B82">
        <v>8</v>
      </c>
      <c r="C82">
        <v>24.7</v>
      </c>
      <c r="D82">
        <v>65.2</v>
      </c>
      <c r="E82">
        <v>244</v>
      </c>
      <c r="F82">
        <v>12</v>
      </c>
      <c r="G82">
        <v>57</v>
      </c>
      <c r="H82">
        <v>187</v>
      </c>
      <c r="I82">
        <v>192</v>
      </c>
      <c r="J82">
        <v>72</v>
      </c>
      <c r="K82">
        <v>12</v>
      </c>
      <c r="L82">
        <v>12</v>
      </c>
      <c r="M82">
        <v>12</v>
      </c>
      <c r="N82">
        <v>81</v>
      </c>
      <c r="O82">
        <v>4</v>
      </c>
      <c r="S82" s="141" t="s">
        <v>413</v>
      </c>
      <c r="T82" s="145" t="s">
        <v>429</v>
      </c>
      <c r="U82" s="146">
        <v>500</v>
      </c>
      <c r="V82" s="146">
        <v>550</v>
      </c>
      <c r="W82" s="146">
        <v>190</v>
      </c>
      <c r="X82" s="146">
        <v>360</v>
      </c>
      <c r="Y82" s="146">
        <v>220</v>
      </c>
      <c r="Z82" s="146">
        <v>330</v>
      </c>
      <c r="AA82" s="146">
        <v>245</v>
      </c>
      <c r="AB82" s="146">
        <v>310</v>
      </c>
      <c r="AC82" s="146">
        <v>280</v>
      </c>
      <c r="AD82" s="146">
        <v>270</v>
      </c>
      <c r="AE82" s="146">
        <v>320</v>
      </c>
      <c r="AF82" s="40">
        <v>230</v>
      </c>
      <c r="AH82" s="191">
        <v>150</v>
      </c>
      <c r="AI82" s="153">
        <v>91</v>
      </c>
      <c r="AJ82" s="240">
        <v>420000</v>
      </c>
      <c r="AK82" s="240"/>
      <c r="AL82" s="240"/>
      <c r="AM82" s="240">
        <v>382000</v>
      </c>
      <c r="AN82" s="240"/>
      <c r="AO82" s="240">
        <v>38000</v>
      </c>
      <c r="AP82" s="240"/>
      <c r="AQ82" s="241"/>
      <c r="AS82" s="383"/>
      <c r="AT82" s="268" t="s">
        <v>720</v>
      </c>
      <c r="AU82" s="268"/>
      <c r="AV82" s="390"/>
      <c r="AW82" s="390"/>
      <c r="AX82" s="24"/>
    </row>
    <row r="83" spans="2:50" ht="13.5" customHeight="1">
      <c r="B83">
        <v>9</v>
      </c>
      <c r="C83">
        <v>38.1</v>
      </c>
      <c r="D83">
        <v>61.6</v>
      </c>
      <c r="E83">
        <v>286</v>
      </c>
      <c r="F83">
        <v>14</v>
      </c>
      <c r="G83">
        <v>46</v>
      </c>
      <c r="H83">
        <v>179</v>
      </c>
      <c r="I83">
        <v>198</v>
      </c>
      <c r="J83">
        <v>83</v>
      </c>
      <c r="K83">
        <v>14</v>
      </c>
      <c r="L83">
        <v>14</v>
      </c>
      <c r="M83">
        <v>14</v>
      </c>
      <c r="N83">
        <v>154</v>
      </c>
      <c r="O83">
        <v>3</v>
      </c>
      <c r="S83" s="141" t="s">
        <v>414</v>
      </c>
      <c r="T83" s="145" t="s">
        <v>425</v>
      </c>
      <c r="U83" s="146">
        <v>800</v>
      </c>
      <c r="V83" s="146">
        <v>750</v>
      </c>
      <c r="W83" s="146">
        <v>190</v>
      </c>
      <c r="X83" s="146">
        <v>560</v>
      </c>
      <c r="Y83" s="146">
        <v>220</v>
      </c>
      <c r="Z83" s="146">
        <v>530</v>
      </c>
      <c r="AA83" s="146">
        <v>245</v>
      </c>
      <c r="AB83" s="146">
        <v>505</v>
      </c>
      <c r="AC83" s="146">
        <v>295</v>
      </c>
      <c r="AD83" s="146">
        <v>455</v>
      </c>
      <c r="AE83" s="146">
        <v>365</v>
      </c>
      <c r="AF83" s="40">
        <v>385</v>
      </c>
      <c r="AH83" s="194">
        <v>200</v>
      </c>
      <c r="AI83" s="195">
        <v>91</v>
      </c>
      <c r="AJ83" s="240">
        <v>560000</v>
      </c>
      <c r="AK83" s="240"/>
      <c r="AL83" s="240"/>
      <c r="AM83" s="240">
        <v>51000</v>
      </c>
      <c r="AN83" s="240"/>
      <c r="AO83" s="240">
        <v>50000</v>
      </c>
      <c r="AP83" s="240"/>
      <c r="AQ83" s="241"/>
      <c r="AS83" s="383"/>
      <c r="AT83" s="30" t="s">
        <v>721</v>
      </c>
      <c r="AU83" s="30"/>
      <c r="AV83" s="390"/>
      <c r="AW83" s="390"/>
      <c r="AX83" s="24"/>
    </row>
    <row r="84" spans="2:50" ht="15" customHeight="1" thickBot="1">
      <c r="B84">
        <v>10</v>
      </c>
      <c r="C84">
        <v>50.8</v>
      </c>
      <c r="D84">
        <v>54.4</v>
      </c>
      <c r="E84">
        <v>306.1</v>
      </c>
      <c r="F84">
        <v>15</v>
      </c>
      <c r="G84">
        <v>26</v>
      </c>
      <c r="H84">
        <v>131</v>
      </c>
      <c r="I84">
        <v>168</v>
      </c>
      <c r="J84">
        <v>87</v>
      </c>
      <c r="K84">
        <v>15</v>
      </c>
      <c r="L84">
        <v>15</v>
      </c>
      <c r="M84">
        <v>15</v>
      </c>
      <c r="N84">
        <v>219</v>
      </c>
      <c r="O84">
        <v>2</v>
      </c>
      <c r="S84" s="141" t="s">
        <v>415</v>
      </c>
      <c r="T84" s="145" t="s">
        <v>426</v>
      </c>
      <c r="U84" s="146">
        <v>900</v>
      </c>
      <c r="V84" s="146">
        <v>850</v>
      </c>
      <c r="W84" s="146">
        <v>220</v>
      </c>
      <c r="X84" s="146">
        <v>630</v>
      </c>
      <c r="Y84" s="146">
        <v>245</v>
      </c>
      <c r="Z84" s="146">
        <v>605</v>
      </c>
      <c r="AA84" s="146">
        <v>275</v>
      </c>
      <c r="AB84" s="146">
        <v>575</v>
      </c>
      <c r="AC84" s="146">
        <v>325</v>
      </c>
      <c r="AD84" s="146">
        <v>525</v>
      </c>
      <c r="AE84" s="146">
        <v>400</v>
      </c>
      <c r="AF84" s="40">
        <v>450</v>
      </c>
      <c r="AH84" s="198">
        <v>250</v>
      </c>
      <c r="AI84" s="199">
        <v>91</v>
      </c>
      <c r="AJ84" s="242">
        <v>700000</v>
      </c>
      <c r="AK84" s="242"/>
      <c r="AL84" s="242"/>
      <c r="AM84" s="242">
        <v>636000</v>
      </c>
      <c r="AN84" s="242"/>
      <c r="AO84" s="242">
        <v>64000</v>
      </c>
      <c r="AP84" s="242"/>
      <c r="AQ84" s="243"/>
      <c r="AS84" s="383"/>
      <c r="AT84" s="387" t="s">
        <v>722</v>
      </c>
      <c r="AU84" s="387"/>
      <c r="AV84" s="390"/>
      <c r="AW84" s="390"/>
      <c r="AX84" s="24"/>
    </row>
    <row r="85" spans="2:50" ht="15" customHeight="1">
      <c r="B85">
        <v>11</v>
      </c>
      <c r="C85">
        <v>61.9</v>
      </c>
      <c r="D85">
        <v>39.4</v>
      </c>
      <c r="E85">
        <v>316.1</v>
      </c>
      <c r="F85">
        <v>16</v>
      </c>
      <c r="G85">
        <v>16</v>
      </c>
      <c r="H85">
        <v>70</v>
      </c>
      <c r="I85">
        <v>121</v>
      </c>
      <c r="J85">
        <v>89</v>
      </c>
      <c r="K85">
        <v>16</v>
      </c>
      <c r="L85">
        <v>16</v>
      </c>
      <c r="M85">
        <v>16</v>
      </c>
      <c r="N85">
        <v>255</v>
      </c>
      <c r="O85">
        <v>1</v>
      </c>
      <c r="S85" s="141" t="s">
        <v>416</v>
      </c>
      <c r="T85" s="145" t="s">
        <v>427</v>
      </c>
      <c r="U85" s="146">
        <v>1000</v>
      </c>
      <c r="V85" s="146">
        <v>1000</v>
      </c>
      <c r="W85" s="146">
        <v>270</v>
      </c>
      <c r="X85" s="146">
        <v>730</v>
      </c>
      <c r="Y85" s="146">
        <v>300</v>
      </c>
      <c r="Z85" s="146">
        <v>700</v>
      </c>
      <c r="AA85" s="146">
        <v>330</v>
      </c>
      <c r="AB85" s="146">
        <v>670</v>
      </c>
      <c r="AC85" s="146">
        <v>380</v>
      </c>
      <c r="AD85" s="146">
        <v>620</v>
      </c>
      <c r="AE85" s="146">
        <v>460</v>
      </c>
      <c r="AF85" s="40">
        <v>540</v>
      </c>
      <c r="AH85" s="254" t="s">
        <v>615</v>
      </c>
      <c r="AI85" s="254"/>
      <c r="AJ85" s="254"/>
      <c r="AK85" s="254"/>
      <c r="AL85" s="254"/>
      <c r="AM85" s="254"/>
      <c r="AN85" s="254"/>
      <c r="AO85" s="254"/>
      <c r="AP85" s="254"/>
      <c r="AQ85" s="254"/>
      <c r="AS85" s="384"/>
      <c r="AT85" s="385" t="s">
        <v>723</v>
      </c>
      <c r="AU85" s="385"/>
      <c r="AV85" s="348"/>
      <c r="AW85" s="348"/>
      <c r="AX85" s="35"/>
    </row>
    <row r="86" spans="2:50" ht="18" customHeight="1" thickBot="1">
      <c r="B86">
        <v>12</v>
      </c>
      <c r="C86">
        <v>68.4</v>
      </c>
      <c r="D86">
        <v>0</v>
      </c>
      <c r="E86">
        <v>319.9</v>
      </c>
      <c r="F86">
        <v>16</v>
      </c>
      <c r="G86">
        <v>16</v>
      </c>
      <c r="H86">
        <v>16</v>
      </c>
      <c r="I86">
        <v>61</v>
      </c>
      <c r="J86">
        <v>91</v>
      </c>
      <c r="K86">
        <v>16</v>
      </c>
      <c r="L86">
        <v>16</v>
      </c>
      <c r="M86">
        <v>16</v>
      </c>
      <c r="N86">
        <v>256</v>
      </c>
      <c r="O86">
        <v>12</v>
      </c>
      <c r="S86" s="149" t="s">
        <v>417</v>
      </c>
      <c r="T86" s="155" t="s">
        <v>428</v>
      </c>
      <c r="U86" s="156">
        <v>1500</v>
      </c>
      <c r="V86" s="156">
        <v>1450</v>
      </c>
      <c r="W86" s="156">
        <v>450</v>
      </c>
      <c r="X86" s="156">
        <v>1000</v>
      </c>
      <c r="Y86" s="156">
        <v>465</v>
      </c>
      <c r="Z86" s="156">
        <v>985</v>
      </c>
      <c r="AA86" s="156">
        <v>485</v>
      </c>
      <c r="AB86" s="156">
        <v>965</v>
      </c>
      <c r="AC86" s="156">
        <v>525</v>
      </c>
      <c r="AD86" s="156">
        <v>925</v>
      </c>
      <c r="AE86" s="156">
        <v>605</v>
      </c>
      <c r="AF86" s="157">
        <v>845</v>
      </c>
      <c r="AI86" s="239" t="s">
        <v>616</v>
      </c>
      <c r="AJ86" s="239"/>
      <c r="AK86" s="239"/>
      <c r="AL86" s="239"/>
      <c r="AM86" s="239"/>
      <c r="AN86" s="239"/>
      <c r="AO86" s="239"/>
      <c r="AP86" s="239"/>
      <c r="AS86" s="378">
        <v>1</v>
      </c>
      <c r="AT86" s="269" t="s">
        <v>724</v>
      </c>
      <c r="AU86" s="269"/>
      <c r="AV86" s="359">
        <v>80</v>
      </c>
      <c r="AW86" s="359"/>
      <c r="AX86" s="16"/>
    </row>
    <row r="87" spans="6:50" ht="14.25" customHeight="1">
      <c r="F87" t="s">
        <v>40</v>
      </c>
      <c r="G87" t="s">
        <v>46</v>
      </c>
      <c r="H87" t="s">
        <v>44</v>
      </c>
      <c r="I87" t="s">
        <v>45</v>
      </c>
      <c r="J87" t="s">
        <v>72</v>
      </c>
      <c r="K87" t="s">
        <v>43</v>
      </c>
      <c r="L87" t="s">
        <v>42</v>
      </c>
      <c r="M87" t="s">
        <v>73</v>
      </c>
      <c r="N87" t="s">
        <v>74</v>
      </c>
      <c r="S87" s="311" t="s">
        <v>430</v>
      </c>
      <c r="T87" s="311"/>
      <c r="U87" s="311"/>
      <c r="V87" s="311"/>
      <c r="W87" s="311"/>
      <c r="X87" s="137"/>
      <c r="Y87" s="311" t="s">
        <v>434</v>
      </c>
      <c r="Z87" s="311"/>
      <c r="AA87" s="311"/>
      <c r="AB87" s="311"/>
      <c r="AC87" s="311"/>
      <c r="AD87" s="311"/>
      <c r="AE87" s="311"/>
      <c r="AF87" s="311"/>
      <c r="AI87" s="255" t="s">
        <v>617</v>
      </c>
      <c r="AJ87" s="256"/>
      <c r="AK87" s="256" t="s">
        <v>620</v>
      </c>
      <c r="AL87" s="256"/>
      <c r="AM87" s="180" t="s">
        <v>622</v>
      </c>
      <c r="AN87" s="180">
        <v>1</v>
      </c>
      <c r="AO87" s="180" t="s">
        <v>623</v>
      </c>
      <c r="AP87" s="181" t="s">
        <v>624</v>
      </c>
      <c r="AS87" s="378"/>
      <c r="AT87" s="269" t="s">
        <v>725</v>
      </c>
      <c r="AU87" s="269"/>
      <c r="AV87" s="359"/>
      <c r="AW87" s="359"/>
      <c r="AX87" s="16"/>
    </row>
    <row r="88" spans="19:50" ht="12.75">
      <c r="S88" s="312" t="s">
        <v>431</v>
      </c>
      <c r="T88" s="312"/>
      <c r="U88" s="312"/>
      <c r="V88" s="312"/>
      <c r="W88" s="312"/>
      <c r="X88" s="137"/>
      <c r="Y88" s="312" t="s">
        <v>433</v>
      </c>
      <c r="Z88" s="312"/>
      <c r="AA88" s="312"/>
      <c r="AB88" s="312"/>
      <c r="AC88" s="312"/>
      <c r="AD88" s="312"/>
      <c r="AE88" s="312"/>
      <c r="AF88" s="312"/>
      <c r="AI88" s="257" t="s">
        <v>618</v>
      </c>
      <c r="AJ88" s="258"/>
      <c r="AK88" s="258">
        <v>1.4</v>
      </c>
      <c r="AL88" s="258"/>
      <c r="AM88" s="143">
        <v>1.35</v>
      </c>
      <c r="AN88" s="143">
        <v>1.25</v>
      </c>
      <c r="AO88" s="143">
        <v>1.2</v>
      </c>
      <c r="AP88" s="144">
        <v>1.15</v>
      </c>
      <c r="AS88" s="388">
        <v>1</v>
      </c>
      <c r="AT88" s="386" t="s">
        <v>726</v>
      </c>
      <c r="AU88" s="386"/>
      <c r="AV88" s="389">
        <v>25</v>
      </c>
      <c r="AW88" s="389"/>
      <c r="AX88" s="224"/>
    </row>
    <row r="89" spans="2:50" ht="13.5" thickBot="1">
      <c r="B89" s="15" t="s">
        <v>166</v>
      </c>
      <c r="S89" s="312" t="s">
        <v>432</v>
      </c>
      <c r="T89" s="312"/>
      <c r="U89" s="312"/>
      <c r="V89" s="312"/>
      <c r="W89" s="312"/>
      <c r="X89" s="137"/>
      <c r="Y89" s="312"/>
      <c r="Z89" s="312"/>
      <c r="AA89" s="312"/>
      <c r="AB89" s="312"/>
      <c r="AC89" s="312"/>
      <c r="AD89" s="312"/>
      <c r="AE89" s="312"/>
      <c r="AF89" s="312"/>
      <c r="AI89" s="237" t="s">
        <v>619</v>
      </c>
      <c r="AJ89" s="238"/>
      <c r="AK89" s="238" t="s">
        <v>621</v>
      </c>
      <c r="AL89" s="238"/>
      <c r="AM89" s="151" t="s">
        <v>621</v>
      </c>
      <c r="AN89" s="151">
        <v>1.25</v>
      </c>
      <c r="AO89" s="151">
        <v>1.15</v>
      </c>
      <c r="AP89" s="152">
        <v>1.15</v>
      </c>
      <c r="AS89" s="383"/>
      <c r="AT89" s="387" t="s">
        <v>727</v>
      </c>
      <c r="AU89" s="387"/>
      <c r="AV89" s="390"/>
      <c r="AW89" s="390"/>
      <c r="AX89" s="24"/>
    </row>
    <row r="90" spans="2:50" ht="12.75">
      <c r="B90" t="s">
        <v>159</v>
      </c>
      <c r="D90">
        <v>8.41</v>
      </c>
      <c r="S90" s="138"/>
      <c r="AK90" s="182" t="s">
        <v>625</v>
      </c>
      <c r="AL90" s="182"/>
      <c r="AM90" s="182"/>
      <c r="AN90" s="182"/>
      <c r="AO90" s="182"/>
      <c r="AS90" s="383"/>
      <c r="AT90" s="387" t="s">
        <v>728</v>
      </c>
      <c r="AU90" s="387"/>
      <c r="AV90" s="390"/>
      <c r="AW90" s="390"/>
      <c r="AX90" s="24"/>
    </row>
    <row r="91" spans="2:50" ht="12.75">
      <c r="B91" t="s">
        <v>160</v>
      </c>
      <c r="D91">
        <v>156</v>
      </c>
      <c r="S91" s="138"/>
      <c r="AS91" s="383"/>
      <c r="AT91" s="387" t="s">
        <v>729</v>
      </c>
      <c r="AU91" s="387"/>
      <c r="AV91" s="390"/>
      <c r="AW91" s="390"/>
      <c r="AX91" s="24"/>
    </row>
    <row r="92" spans="2:50" ht="10.5" customHeight="1" thickBot="1">
      <c r="B92" t="s">
        <v>161</v>
      </c>
      <c r="D92">
        <f>+D93-D91</f>
        <v>24</v>
      </c>
      <c r="S92" s="1"/>
      <c r="AC92" s="287" t="s">
        <v>529</v>
      </c>
      <c r="AD92" s="287"/>
      <c r="AE92" s="287"/>
      <c r="AF92" s="287"/>
      <c r="AG92" s="287"/>
      <c r="AH92" s="287"/>
      <c r="AI92" s="287"/>
      <c r="AS92" s="290"/>
      <c r="AT92" s="393" t="s">
        <v>730</v>
      </c>
      <c r="AU92" s="393"/>
      <c r="AV92" s="355"/>
      <c r="AW92" s="355"/>
      <c r="AX92" s="21"/>
    </row>
    <row r="93" spans="2:45" s="220" customFormat="1" ht="12" thickBot="1">
      <c r="B93" s="220" t="s">
        <v>162</v>
      </c>
      <c r="D93" s="220">
        <v>180</v>
      </c>
      <c r="S93" s="221"/>
      <c r="AC93" s="288"/>
      <c r="AD93" s="288"/>
      <c r="AE93" s="288"/>
      <c r="AF93" s="288"/>
      <c r="AG93" s="288"/>
      <c r="AH93" s="288"/>
      <c r="AI93" s="288"/>
      <c r="AS93" s="220" t="s">
        <v>732</v>
      </c>
    </row>
    <row r="94" spans="2:45" s="220" customFormat="1" ht="12" thickBot="1">
      <c r="B94" s="220" t="s">
        <v>163</v>
      </c>
      <c r="D94" s="220">
        <v>0.8167</v>
      </c>
      <c r="S94" s="300" t="s">
        <v>735</v>
      </c>
      <c r="T94" s="300"/>
      <c r="U94" s="300"/>
      <c r="V94" s="300"/>
      <c r="W94" s="300"/>
      <c r="X94" s="300"/>
      <c r="Y94" s="300"/>
      <c r="Z94" s="300"/>
      <c r="AC94" s="276" t="s">
        <v>530</v>
      </c>
      <c r="AD94" s="276"/>
      <c r="AE94" s="277"/>
      <c r="AF94" s="275" t="s">
        <v>531</v>
      </c>
      <c r="AG94" s="275" t="s">
        <v>532</v>
      </c>
      <c r="AH94" s="275"/>
      <c r="AI94" s="284" t="s">
        <v>588</v>
      </c>
      <c r="AJ94" s="222"/>
      <c r="AS94" s="220" t="s">
        <v>733</v>
      </c>
    </row>
    <row r="95" spans="2:45" s="220" customFormat="1" ht="12" thickBot="1">
      <c r="B95" s="220" t="s">
        <v>164</v>
      </c>
      <c r="D95" s="220">
        <v>0.1501</v>
      </c>
      <c r="S95" s="318" t="s">
        <v>443</v>
      </c>
      <c r="T95" s="321" t="s">
        <v>444</v>
      </c>
      <c r="U95" s="321" t="s">
        <v>445</v>
      </c>
      <c r="V95" s="321"/>
      <c r="W95" s="321" t="s">
        <v>493</v>
      </c>
      <c r="X95" s="322" t="s">
        <v>446</v>
      </c>
      <c r="Y95" s="322"/>
      <c r="Z95" s="323"/>
      <c r="AC95" s="278"/>
      <c r="AD95" s="278"/>
      <c r="AE95" s="279"/>
      <c r="AF95" s="280"/>
      <c r="AG95" s="223" t="s">
        <v>554</v>
      </c>
      <c r="AH95" s="223" t="s">
        <v>555</v>
      </c>
      <c r="AI95" s="285"/>
      <c r="AJ95" s="222"/>
      <c r="AS95" s="220" t="s">
        <v>734</v>
      </c>
    </row>
    <row r="96" spans="2:36" ht="39" customHeight="1" thickBot="1">
      <c r="B96" t="s">
        <v>165</v>
      </c>
      <c r="D96">
        <f>133.2*(D94+D95)</f>
        <v>128.77776</v>
      </c>
      <c r="S96" s="324"/>
      <c r="T96" s="325"/>
      <c r="U96" s="325"/>
      <c r="V96" s="325"/>
      <c r="W96" s="325"/>
      <c r="X96" s="163" t="s">
        <v>447</v>
      </c>
      <c r="Y96" s="163" t="s">
        <v>448</v>
      </c>
      <c r="Z96" s="164" t="s">
        <v>449</v>
      </c>
      <c r="AC96" s="176" t="s">
        <v>533</v>
      </c>
      <c r="AD96" s="313" t="s">
        <v>534</v>
      </c>
      <c r="AE96" s="314"/>
      <c r="AF96" s="148" t="s">
        <v>543</v>
      </c>
      <c r="AG96" s="148" t="s">
        <v>556</v>
      </c>
      <c r="AH96" s="148" t="s">
        <v>565</v>
      </c>
      <c r="AI96" s="177" t="s">
        <v>574</v>
      </c>
      <c r="AJ96" s="16"/>
    </row>
    <row r="97" spans="19:36" ht="48" customHeight="1" thickBot="1">
      <c r="S97" s="297" t="s">
        <v>525</v>
      </c>
      <c r="T97" s="298"/>
      <c r="U97" s="298"/>
      <c r="V97" s="298"/>
      <c r="W97" s="298"/>
      <c r="X97" s="298"/>
      <c r="Y97" s="298"/>
      <c r="Z97" s="299"/>
      <c r="AC97" s="282" t="s">
        <v>535</v>
      </c>
      <c r="AD97" s="283"/>
      <c r="AE97" s="283"/>
      <c r="AF97" s="145" t="s">
        <v>545</v>
      </c>
      <c r="AG97" s="145" t="s">
        <v>557</v>
      </c>
      <c r="AH97" s="145" t="s">
        <v>566</v>
      </c>
      <c r="AI97" s="178" t="s">
        <v>575</v>
      </c>
      <c r="AJ97" s="16"/>
    </row>
    <row r="98" spans="19:36" ht="66.75" customHeight="1">
      <c r="S98" s="165" t="s">
        <v>450</v>
      </c>
      <c r="T98" s="166" t="s">
        <v>471</v>
      </c>
      <c r="U98" s="292" t="s">
        <v>475</v>
      </c>
      <c r="V98" s="292"/>
      <c r="W98" s="166">
        <v>5370</v>
      </c>
      <c r="X98" s="166">
        <v>2300</v>
      </c>
      <c r="Y98" s="166">
        <v>400</v>
      </c>
      <c r="Z98" s="56">
        <v>2700</v>
      </c>
      <c r="AA98" s="139"/>
      <c r="AB98" s="139"/>
      <c r="AC98" s="282" t="s">
        <v>536</v>
      </c>
      <c r="AD98" s="283"/>
      <c r="AE98" s="283"/>
      <c r="AF98" s="145" t="s">
        <v>544</v>
      </c>
      <c r="AG98" s="145" t="s">
        <v>558</v>
      </c>
      <c r="AH98" s="145" t="s">
        <v>567</v>
      </c>
      <c r="AI98" s="178" t="s">
        <v>576</v>
      </c>
      <c r="AJ98" s="16"/>
    </row>
    <row r="99" spans="2:36" ht="67.5" customHeight="1">
      <c r="B99" t="s">
        <v>167</v>
      </c>
      <c r="S99" s="159" t="s">
        <v>451</v>
      </c>
      <c r="T99" s="142" t="s">
        <v>471</v>
      </c>
      <c r="U99" s="293" t="s">
        <v>474</v>
      </c>
      <c r="V99" s="293"/>
      <c r="W99" s="142">
        <v>2400</v>
      </c>
      <c r="X99" s="142">
        <v>1870</v>
      </c>
      <c r="Y99" s="142">
        <v>330</v>
      </c>
      <c r="Z99" s="158">
        <v>2200</v>
      </c>
      <c r="AA99" s="139"/>
      <c r="AB99" s="139"/>
      <c r="AC99" s="282" t="s">
        <v>589</v>
      </c>
      <c r="AD99" s="283"/>
      <c r="AE99" s="283"/>
      <c r="AF99" s="145" t="s">
        <v>546</v>
      </c>
      <c r="AG99" s="145" t="s">
        <v>559</v>
      </c>
      <c r="AH99" s="145" t="s">
        <v>568</v>
      </c>
      <c r="AI99" s="178" t="s">
        <v>577</v>
      </c>
      <c r="AJ99" s="16"/>
    </row>
    <row r="100" spans="2:36" ht="39" customHeight="1">
      <c r="B100" t="s">
        <v>159</v>
      </c>
      <c r="D100">
        <v>8</v>
      </c>
      <c r="S100" s="159" t="s">
        <v>452</v>
      </c>
      <c r="T100" s="142" t="s">
        <v>471</v>
      </c>
      <c r="U100" s="293" t="s">
        <v>476</v>
      </c>
      <c r="V100" s="293"/>
      <c r="W100" s="142">
        <v>5100</v>
      </c>
      <c r="X100" s="142">
        <v>850</v>
      </c>
      <c r="Y100" s="142">
        <v>150</v>
      </c>
      <c r="Z100" s="158">
        <v>1000</v>
      </c>
      <c r="AA100" s="139"/>
      <c r="AB100" s="139"/>
      <c r="AC100" s="179" t="s">
        <v>537</v>
      </c>
      <c r="AD100" s="214" t="s">
        <v>590</v>
      </c>
      <c r="AE100" s="274"/>
      <c r="AF100" s="145" t="s">
        <v>547</v>
      </c>
      <c r="AG100" s="145" t="s">
        <v>560</v>
      </c>
      <c r="AH100" s="145" t="s">
        <v>569</v>
      </c>
      <c r="AI100" s="178" t="s">
        <v>578</v>
      </c>
      <c r="AJ100" s="16"/>
    </row>
    <row r="101" spans="2:36" ht="27.75" customHeight="1">
      <c r="B101" t="s">
        <v>160</v>
      </c>
      <c r="D101">
        <v>70.2</v>
      </c>
      <c r="S101" s="159" t="s">
        <v>453</v>
      </c>
      <c r="T101" s="142"/>
      <c r="U101" s="293" t="s">
        <v>477</v>
      </c>
      <c r="V101" s="293"/>
      <c r="W101" s="142"/>
      <c r="X101" s="142">
        <v>12000</v>
      </c>
      <c r="Y101" s="142">
        <v>23460</v>
      </c>
      <c r="Z101" s="158">
        <v>35460</v>
      </c>
      <c r="AA101" s="139"/>
      <c r="AB101" s="139"/>
      <c r="AC101" s="214" t="s">
        <v>538</v>
      </c>
      <c r="AD101" s="214"/>
      <c r="AE101" s="274"/>
      <c r="AF101" s="145" t="s">
        <v>24</v>
      </c>
      <c r="AG101" s="145">
        <v>30</v>
      </c>
      <c r="AH101" s="145">
        <v>25</v>
      </c>
      <c r="AI101" s="178">
        <v>0.33</v>
      </c>
      <c r="AJ101" s="16"/>
    </row>
    <row r="102" spans="2:36" ht="33" customHeight="1">
      <c r="B102" t="s">
        <v>161</v>
      </c>
      <c r="D102">
        <v>180</v>
      </c>
      <c r="E102">
        <f>90-D101</f>
        <v>19.799999999999997</v>
      </c>
      <c r="S102" s="159" t="s">
        <v>454</v>
      </c>
      <c r="T102" s="142"/>
      <c r="U102" s="293" t="s">
        <v>490</v>
      </c>
      <c r="V102" s="293"/>
      <c r="W102" s="142"/>
      <c r="X102" s="142" t="s">
        <v>496</v>
      </c>
      <c r="Y102" s="142"/>
      <c r="Z102" s="158" t="s">
        <v>496</v>
      </c>
      <c r="AA102" s="139"/>
      <c r="AB102" s="139"/>
      <c r="AC102" s="179" t="s">
        <v>539</v>
      </c>
      <c r="AD102" s="214" t="s">
        <v>591</v>
      </c>
      <c r="AE102" s="274"/>
      <c r="AF102" s="145" t="s">
        <v>548</v>
      </c>
      <c r="AG102" s="145" t="s">
        <v>561</v>
      </c>
      <c r="AH102" s="145" t="s">
        <v>570</v>
      </c>
      <c r="AI102" s="178" t="s">
        <v>579</v>
      </c>
      <c r="AJ102" s="16"/>
    </row>
    <row r="103" spans="2:36" ht="19.5" customHeight="1">
      <c r="B103" t="s">
        <v>162</v>
      </c>
      <c r="D103">
        <f>+D102-D101</f>
        <v>109.8</v>
      </c>
      <c r="E103">
        <f>180-D103</f>
        <v>70.2</v>
      </c>
      <c r="S103" s="159" t="s">
        <v>455</v>
      </c>
      <c r="T103" s="142"/>
      <c r="U103" s="309" t="s">
        <v>478</v>
      </c>
      <c r="V103" s="309"/>
      <c r="W103" s="142"/>
      <c r="X103" s="142" t="s">
        <v>497</v>
      </c>
      <c r="Y103" s="142" t="s">
        <v>507</v>
      </c>
      <c r="Z103" s="158" t="s">
        <v>514</v>
      </c>
      <c r="AA103" s="139"/>
      <c r="AB103" s="139"/>
      <c r="AC103" s="274" t="s">
        <v>592</v>
      </c>
      <c r="AD103" s="281"/>
      <c r="AE103" s="281"/>
      <c r="AF103" s="145" t="s">
        <v>549</v>
      </c>
      <c r="AG103" s="145">
        <v>20</v>
      </c>
      <c r="AH103" s="145">
        <v>15</v>
      </c>
      <c r="AI103" s="178" t="s">
        <v>580</v>
      </c>
      <c r="AJ103" s="16"/>
    </row>
    <row r="104" spans="2:36" ht="17.25" customHeight="1">
      <c r="B104" t="s">
        <v>163</v>
      </c>
      <c r="D104">
        <v>0.8408</v>
      </c>
      <c r="S104" s="159" t="s">
        <v>456</v>
      </c>
      <c r="T104" s="142" t="s">
        <v>472</v>
      </c>
      <c r="U104" s="293" t="s">
        <v>479</v>
      </c>
      <c r="V104" s="293"/>
      <c r="W104" s="142"/>
      <c r="X104" s="142" t="s">
        <v>498</v>
      </c>
      <c r="Y104" s="142" t="s">
        <v>508</v>
      </c>
      <c r="Z104" s="158" t="s">
        <v>515</v>
      </c>
      <c r="AA104" s="139"/>
      <c r="AB104" s="139"/>
      <c r="AC104" s="274" t="s">
        <v>540</v>
      </c>
      <c r="AD104" s="281"/>
      <c r="AE104" s="281"/>
      <c r="AF104" s="145" t="s">
        <v>550</v>
      </c>
      <c r="AG104" s="145">
        <v>50</v>
      </c>
      <c r="AH104" s="145">
        <v>30</v>
      </c>
      <c r="AI104" s="178">
        <v>1.25</v>
      </c>
      <c r="AJ104" s="16"/>
    </row>
    <row r="105" spans="2:36" ht="42" customHeight="1">
      <c r="B105" t="s">
        <v>164</v>
      </c>
      <c r="D105">
        <v>0.06</v>
      </c>
      <c r="S105" s="159" t="s">
        <v>457</v>
      </c>
      <c r="T105" s="142" t="s">
        <v>472</v>
      </c>
      <c r="U105" s="309" t="s">
        <v>480</v>
      </c>
      <c r="V105" s="309"/>
      <c r="W105" s="142"/>
      <c r="X105" s="142" t="s">
        <v>499</v>
      </c>
      <c r="Y105" s="142" t="s">
        <v>509</v>
      </c>
      <c r="Z105" s="158" t="s">
        <v>516</v>
      </c>
      <c r="AA105" s="139"/>
      <c r="AB105" s="139"/>
      <c r="AC105" s="179" t="s">
        <v>541</v>
      </c>
      <c r="AD105" s="214" t="s">
        <v>542</v>
      </c>
      <c r="AE105" s="274"/>
      <c r="AF105" s="145" t="s">
        <v>551</v>
      </c>
      <c r="AG105" s="145" t="s">
        <v>562</v>
      </c>
      <c r="AH105" s="145" t="s">
        <v>571</v>
      </c>
      <c r="AI105" s="178" t="s">
        <v>581</v>
      </c>
      <c r="AJ105" s="16"/>
    </row>
    <row r="106" spans="2:36" ht="39.75" customHeight="1">
      <c r="B106" t="s">
        <v>165</v>
      </c>
      <c r="D106">
        <f>+E4*(D104+D105)</f>
        <v>80.1712</v>
      </c>
      <c r="S106" s="159" t="s">
        <v>458</v>
      </c>
      <c r="T106" s="142" t="s">
        <v>472</v>
      </c>
      <c r="U106" s="293" t="s">
        <v>481</v>
      </c>
      <c r="V106" s="293"/>
      <c r="W106" s="142"/>
      <c r="X106" s="142" t="s">
        <v>500</v>
      </c>
      <c r="Y106" s="142" t="s">
        <v>510</v>
      </c>
      <c r="Z106" s="158" t="s">
        <v>517</v>
      </c>
      <c r="AA106" s="139"/>
      <c r="AB106" s="139"/>
      <c r="AC106" s="179" t="s">
        <v>424</v>
      </c>
      <c r="AD106" s="214" t="s">
        <v>593</v>
      </c>
      <c r="AE106" s="274"/>
      <c r="AF106" s="145" t="s">
        <v>552</v>
      </c>
      <c r="AG106" s="145" t="s">
        <v>563</v>
      </c>
      <c r="AH106" s="145" t="s">
        <v>572</v>
      </c>
      <c r="AI106" s="178" t="s">
        <v>570</v>
      </c>
      <c r="AJ106" s="16"/>
    </row>
    <row r="107" spans="19:36" ht="68.25" customHeight="1" thickBot="1">
      <c r="S107" s="159" t="s">
        <v>459</v>
      </c>
      <c r="T107" s="142" t="s">
        <v>472</v>
      </c>
      <c r="U107" s="293" t="s">
        <v>504</v>
      </c>
      <c r="V107" s="293"/>
      <c r="W107" s="142"/>
      <c r="X107" s="174" t="s">
        <v>528</v>
      </c>
      <c r="Y107" s="142" t="s">
        <v>511</v>
      </c>
      <c r="Z107" s="158" t="s">
        <v>518</v>
      </c>
      <c r="AA107" s="139"/>
      <c r="AB107" s="139"/>
      <c r="AC107" s="212" t="s">
        <v>594</v>
      </c>
      <c r="AD107" s="213"/>
      <c r="AE107" s="213"/>
      <c r="AF107" s="155" t="s">
        <v>553</v>
      </c>
      <c r="AG107" s="155" t="s">
        <v>564</v>
      </c>
      <c r="AH107" s="155" t="s">
        <v>573</v>
      </c>
      <c r="AI107" s="175" t="s">
        <v>582</v>
      </c>
      <c r="AJ107" s="16"/>
    </row>
    <row r="108" spans="19:35" ht="24.75" customHeight="1">
      <c r="S108" s="159" t="s">
        <v>460</v>
      </c>
      <c r="T108" s="142" t="s">
        <v>472</v>
      </c>
      <c r="U108" s="293" t="s">
        <v>482</v>
      </c>
      <c r="V108" s="293"/>
      <c r="W108" s="142"/>
      <c r="X108" s="142" t="s">
        <v>501</v>
      </c>
      <c r="Y108" s="142" t="s">
        <v>512</v>
      </c>
      <c r="Z108" s="158" t="s">
        <v>519</v>
      </c>
      <c r="AA108" s="139"/>
      <c r="AB108" s="139"/>
      <c r="AC108" s="228" t="s">
        <v>583</v>
      </c>
      <c r="AD108" s="228"/>
      <c r="AE108" s="228"/>
      <c r="AF108" s="211" t="s">
        <v>586</v>
      </c>
      <c r="AG108" s="269"/>
      <c r="AH108" s="269"/>
      <c r="AI108" s="269"/>
    </row>
    <row r="109" spans="19:35" ht="15" customHeight="1">
      <c r="S109" s="159" t="s">
        <v>461</v>
      </c>
      <c r="T109" s="142" t="s">
        <v>472</v>
      </c>
      <c r="U109" s="293" t="s">
        <v>483</v>
      </c>
      <c r="V109" s="293"/>
      <c r="W109" s="142"/>
      <c r="X109" s="142" t="s">
        <v>502</v>
      </c>
      <c r="Y109" s="142" t="s">
        <v>513</v>
      </c>
      <c r="Z109" s="158" t="s">
        <v>520</v>
      </c>
      <c r="AA109" s="139"/>
      <c r="AB109" s="139"/>
      <c r="AC109" s="228" t="s">
        <v>584</v>
      </c>
      <c r="AD109" s="228"/>
      <c r="AE109" s="228"/>
      <c r="AF109" s="228" t="s">
        <v>587</v>
      </c>
      <c r="AG109" s="228"/>
      <c r="AH109" s="228"/>
      <c r="AI109" s="228"/>
    </row>
    <row r="110" spans="19:35" ht="15" customHeight="1">
      <c r="S110" s="159" t="s">
        <v>473</v>
      </c>
      <c r="T110" s="142"/>
      <c r="U110" s="293" t="s">
        <v>484</v>
      </c>
      <c r="V110" s="293"/>
      <c r="W110" s="142"/>
      <c r="X110" s="142">
        <v>1700</v>
      </c>
      <c r="Y110" s="142">
        <v>2700</v>
      </c>
      <c r="Z110" s="158">
        <v>4400</v>
      </c>
      <c r="AA110" s="139"/>
      <c r="AB110" s="139"/>
      <c r="AC110" s="228" t="s">
        <v>585</v>
      </c>
      <c r="AD110" s="228"/>
      <c r="AE110" s="228"/>
      <c r="AF110" s="228"/>
      <c r="AG110" s="228"/>
      <c r="AH110" s="228"/>
      <c r="AI110" s="228"/>
    </row>
    <row r="111" spans="19:28" ht="19.5" customHeight="1">
      <c r="S111" s="159" t="s">
        <v>462</v>
      </c>
      <c r="T111" s="142"/>
      <c r="U111" s="293" t="s">
        <v>485</v>
      </c>
      <c r="V111" s="293"/>
      <c r="W111" s="142"/>
      <c r="X111" s="142" t="s">
        <v>503</v>
      </c>
      <c r="Y111" s="142" t="s">
        <v>503</v>
      </c>
      <c r="Z111" s="158" t="s">
        <v>503</v>
      </c>
      <c r="AA111" s="139"/>
      <c r="AB111" s="139"/>
    </row>
    <row r="112" spans="19:28" ht="39" customHeight="1" thickBot="1">
      <c r="S112" s="161" t="s">
        <v>463</v>
      </c>
      <c r="T112" s="163"/>
      <c r="U112" s="302" t="s">
        <v>486</v>
      </c>
      <c r="V112" s="302"/>
      <c r="W112" s="163"/>
      <c r="X112" s="163"/>
      <c r="Y112" s="168"/>
      <c r="Z112" s="164"/>
      <c r="AA112" s="139"/>
      <c r="AB112" s="139"/>
    </row>
    <row r="113" spans="3:26" ht="23.25" customHeight="1" thickBot="1">
      <c r="C113" s="445" t="s">
        <v>3</v>
      </c>
      <c r="D113" s="445"/>
      <c r="E113" s="445"/>
      <c r="F113" s="236" t="s">
        <v>8</v>
      </c>
      <c r="G113" s="236"/>
      <c r="H113" s="236"/>
      <c r="I113" s="236"/>
      <c r="J113" s="236"/>
      <c r="K113" s="236"/>
      <c r="L113" s="236"/>
      <c r="M113" s="236"/>
      <c r="N113" s="236"/>
      <c r="O113" s="236" t="s">
        <v>9</v>
      </c>
      <c r="S113" s="303" t="s">
        <v>527</v>
      </c>
      <c r="T113" s="304"/>
      <c r="U113" s="304"/>
      <c r="V113" s="304"/>
      <c r="W113" s="304"/>
      <c r="X113" s="304"/>
      <c r="Y113" s="304"/>
      <c r="Z113" s="305"/>
    </row>
    <row r="114" spans="3:26" ht="23.25" customHeight="1" thickBot="1">
      <c r="C114" s="441" t="s">
        <v>4</v>
      </c>
      <c r="D114" s="441"/>
      <c r="E114" s="441"/>
      <c r="F114" s="442" t="s">
        <v>10</v>
      </c>
      <c r="G114" s="442"/>
      <c r="H114" s="442"/>
      <c r="I114" s="442"/>
      <c r="J114" s="442"/>
      <c r="K114" s="442"/>
      <c r="L114" s="442"/>
      <c r="M114" s="442"/>
      <c r="N114" s="442"/>
      <c r="O114" s="442" t="s">
        <v>15</v>
      </c>
      <c r="S114" s="306"/>
      <c r="T114" s="307"/>
      <c r="U114" s="307"/>
      <c r="V114" s="307"/>
      <c r="W114" s="307"/>
      <c r="X114" s="307"/>
      <c r="Y114" s="307"/>
      <c r="Z114" s="308"/>
    </row>
    <row r="115" spans="3:26" ht="21.75" customHeight="1">
      <c r="C115" s="443" t="s">
        <v>5</v>
      </c>
      <c r="D115" s="443"/>
      <c r="E115" s="443"/>
      <c r="F115" s="442" t="s">
        <v>12</v>
      </c>
      <c r="G115" s="442"/>
      <c r="H115" s="442"/>
      <c r="I115" s="442"/>
      <c r="J115" s="442"/>
      <c r="K115" s="442"/>
      <c r="L115" s="442"/>
      <c r="M115" s="442"/>
      <c r="N115" s="442"/>
      <c r="O115" s="442" t="s">
        <v>16</v>
      </c>
      <c r="S115" s="165" t="s">
        <v>464</v>
      </c>
      <c r="T115" s="167"/>
      <c r="U115" s="292" t="s">
        <v>487</v>
      </c>
      <c r="V115" s="292"/>
      <c r="W115" s="166">
        <v>1800</v>
      </c>
      <c r="X115" s="166">
        <v>960</v>
      </c>
      <c r="Y115" s="166">
        <v>240</v>
      </c>
      <c r="Z115" s="56">
        <v>1200</v>
      </c>
    </row>
    <row r="116" spans="3:26" ht="16.5" customHeight="1">
      <c r="C116" s="443"/>
      <c r="D116" s="443"/>
      <c r="E116" s="443"/>
      <c r="F116" s="442" t="s">
        <v>11</v>
      </c>
      <c r="G116" s="442"/>
      <c r="H116" s="442"/>
      <c r="I116" s="442"/>
      <c r="J116" s="442"/>
      <c r="K116" s="442"/>
      <c r="L116" s="442"/>
      <c r="M116" s="442"/>
      <c r="N116" s="442"/>
      <c r="O116" s="442" t="s">
        <v>17</v>
      </c>
      <c r="S116" s="159" t="s">
        <v>465</v>
      </c>
      <c r="T116" s="160" t="s">
        <v>471</v>
      </c>
      <c r="U116" s="293" t="s">
        <v>491</v>
      </c>
      <c r="V116" s="293"/>
      <c r="W116" s="142" t="s">
        <v>494</v>
      </c>
      <c r="X116" s="142" t="s">
        <v>505</v>
      </c>
      <c r="Y116" s="142" t="s">
        <v>521</v>
      </c>
      <c r="Z116" s="158" t="s">
        <v>523</v>
      </c>
    </row>
    <row r="117" spans="3:26" ht="21.75" customHeight="1">
      <c r="C117" s="444" t="s">
        <v>6</v>
      </c>
      <c r="D117" s="444"/>
      <c r="E117" s="444"/>
      <c r="F117" s="442" t="s">
        <v>13</v>
      </c>
      <c r="G117" s="442"/>
      <c r="H117" s="442"/>
      <c r="I117" s="442"/>
      <c r="J117" s="442"/>
      <c r="K117" s="442"/>
      <c r="L117" s="442"/>
      <c r="M117" s="442"/>
      <c r="N117" s="442"/>
      <c r="O117" s="442" t="s">
        <v>18</v>
      </c>
      <c r="S117" s="159" t="s">
        <v>466</v>
      </c>
      <c r="T117" s="160" t="s">
        <v>471</v>
      </c>
      <c r="U117" s="293" t="s">
        <v>492</v>
      </c>
      <c r="V117" s="293"/>
      <c r="W117" s="142" t="s">
        <v>495</v>
      </c>
      <c r="X117" s="142" t="s">
        <v>506</v>
      </c>
      <c r="Y117" s="142" t="s">
        <v>522</v>
      </c>
      <c r="Z117" s="158" t="s">
        <v>524</v>
      </c>
    </row>
    <row r="118" spans="3:26" ht="18.75" customHeight="1">
      <c r="C118" s="446" t="s">
        <v>7</v>
      </c>
      <c r="D118" s="446"/>
      <c r="E118" s="446"/>
      <c r="F118" s="447" t="s">
        <v>14</v>
      </c>
      <c r="G118" s="447"/>
      <c r="H118" s="447"/>
      <c r="I118" s="447"/>
      <c r="J118" s="447"/>
      <c r="K118" s="447"/>
      <c r="L118" s="447"/>
      <c r="M118" s="447"/>
      <c r="N118" s="447"/>
      <c r="O118" s="447" t="s">
        <v>16</v>
      </c>
      <c r="S118" s="159" t="s">
        <v>467</v>
      </c>
      <c r="T118" s="160" t="s">
        <v>471</v>
      </c>
      <c r="U118" s="293" t="s">
        <v>488</v>
      </c>
      <c r="V118" s="293"/>
      <c r="W118" s="142">
        <v>2500</v>
      </c>
      <c r="X118" s="142">
        <v>900</v>
      </c>
      <c r="Y118" s="142">
        <v>100</v>
      </c>
      <c r="Z118" s="158">
        <v>1000</v>
      </c>
    </row>
    <row r="119" spans="3:26" ht="12.75">
      <c r="C119" s="440" t="s">
        <v>19</v>
      </c>
      <c r="D119" s="440"/>
      <c r="E119" s="440" t="s">
        <v>20</v>
      </c>
      <c r="F119" s="440" t="s">
        <v>21</v>
      </c>
      <c r="G119" s="440"/>
      <c r="H119" s="440"/>
      <c r="I119" s="440"/>
      <c r="J119" s="440"/>
      <c r="K119" s="440"/>
      <c r="L119" s="440"/>
      <c r="M119" s="440"/>
      <c r="N119" s="440"/>
      <c r="O119" s="440"/>
      <c r="S119" s="161" t="s">
        <v>468</v>
      </c>
      <c r="T119" s="162"/>
      <c r="U119" s="293" t="s">
        <v>489</v>
      </c>
      <c r="V119" s="293"/>
      <c r="W119" s="295">
        <v>3300</v>
      </c>
      <c r="X119" s="143"/>
      <c r="Y119" s="142"/>
      <c r="Z119" s="158"/>
    </row>
    <row r="120" spans="19:26" ht="12.75" customHeight="1">
      <c r="S120" s="169" t="s">
        <v>469</v>
      </c>
      <c r="T120" s="170" t="s">
        <v>472</v>
      </c>
      <c r="U120" s="293"/>
      <c r="V120" s="293"/>
      <c r="W120" s="295"/>
      <c r="X120" s="142">
        <v>1500</v>
      </c>
      <c r="Y120" s="142">
        <v>4000</v>
      </c>
      <c r="Z120" s="158">
        <v>19000</v>
      </c>
    </row>
    <row r="121" spans="19:26" ht="13.5" thickBot="1">
      <c r="S121" s="171" t="s">
        <v>470</v>
      </c>
      <c r="T121" s="172" t="s">
        <v>472</v>
      </c>
      <c r="U121" s="294"/>
      <c r="V121" s="294"/>
      <c r="W121" s="296"/>
      <c r="X121" s="150">
        <v>2100</v>
      </c>
      <c r="Y121" s="150">
        <v>6000</v>
      </c>
      <c r="Z121" s="173">
        <v>27000</v>
      </c>
    </row>
    <row r="122" spans="19:26" ht="15" customHeight="1">
      <c r="S122" s="301" t="s">
        <v>526</v>
      </c>
      <c r="T122" s="301"/>
      <c r="U122" s="301"/>
      <c r="V122" s="301"/>
      <c r="W122" s="301"/>
      <c r="X122" s="301"/>
      <c r="Y122" s="301"/>
      <c r="Z122" s="301"/>
    </row>
    <row r="123" ht="12.75">
      <c r="S123" s="1"/>
    </row>
    <row r="124" ht="12.75">
      <c r="S124" s="1"/>
    </row>
    <row r="125" ht="12.75">
      <c r="S125" s="1"/>
    </row>
    <row r="126" spans="1:19" ht="84" customHeight="1">
      <c r="A126" s="425" t="s">
        <v>736</v>
      </c>
      <c r="B126" s="425"/>
      <c r="C126" s="425"/>
      <c r="D126" s="425"/>
      <c r="E126" s="425"/>
      <c r="F126" s="426" t="s">
        <v>814</v>
      </c>
      <c r="G126" s="427"/>
      <c r="H126" s="427"/>
      <c r="I126" s="427"/>
      <c r="J126" s="427"/>
      <c r="K126" s="427"/>
      <c r="L126" s="427"/>
      <c r="M126" s="427"/>
      <c r="N126" s="427"/>
      <c r="O126" s="426" t="s">
        <v>815</v>
      </c>
      <c r="P126" s="426" t="s">
        <v>816</v>
      </c>
      <c r="Q126" s="426" t="s">
        <v>737</v>
      </c>
      <c r="R126" s="426" t="s">
        <v>817</v>
      </c>
      <c r="S126" s="1"/>
    </row>
    <row r="127" spans="1:18" ht="12.75">
      <c r="A127" s="425" t="s">
        <v>738</v>
      </c>
      <c r="B127" s="425"/>
      <c r="C127" s="425"/>
      <c r="D127" s="425"/>
      <c r="E127" s="425"/>
      <c r="F127" s="425"/>
      <c r="G127" s="425"/>
      <c r="H127" s="425"/>
      <c r="I127" s="425"/>
      <c r="J127" s="425"/>
      <c r="K127" s="425"/>
      <c r="L127" s="425"/>
      <c r="M127" s="425"/>
      <c r="N127" s="425"/>
      <c r="O127" s="425"/>
      <c r="P127" s="425"/>
      <c r="Q127" s="425"/>
      <c r="R127" s="425"/>
    </row>
    <row r="128" spans="1:18" ht="12.75" customHeight="1">
      <c r="A128" s="423" t="s">
        <v>739</v>
      </c>
      <c r="B128" s="423"/>
      <c r="C128" s="271" t="s">
        <v>740</v>
      </c>
      <c r="D128" s="271"/>
      <c r="E128" s="271"/>
      <c r="F128" s="16" t="s">
        <v>797</v>
      </c>
      <c r="O128" s="16">
        <v>15</v>
      </c>
      <c r="P128" s="16">
        <v>15</v>
      </c>
      <c r="Q128" s="16" t="s">
        <v>802</v>
      </c>
      <c r="R128" s="16" t="s">
        <v>806</v>
      </c>
    </row>
    <row r="129" spans="1:18" ht="12.75" customHeight="1">
      <c r="A129" s="423"/>
      <c r="B129" s="423"/>
      <c r="C129" s="271" t="s">
        <v>741</v>
      </c>
      <c r="D129" s="271"/>
      <c r="E129" s="271"/>
      <c r="F129" s="16" t="s">
        <v>797</v>
      </c>
      <c r="O129" s="16">
        <v>5</v>
      </c>
      <c r="P129" s="16">
        <v>25</v>
      </c>
      <c r="Q129" s="16" t="s">
        <v>803</v>
      </c>
      <c r="R129" s="16" t="s">
        <v>806</v>
      </c>
    </row>
    <row r="130" spans="1:18" ht="12.75" customHeight="1">
      <c r="A130" s="423" t="s">
        <v>742</v>
      </c>
      <c r="B130" s="423"/>
      <c r="C130" s="271" t="s">
        <v>740</v>
      </c>
      <c r="D130" s="271"/>
      <c r="E130" s="271"/>
      <c r="F130" s="16" t="s">
        <v>797</v>
      </c>
      <c r="O130" s="16">
        <v>15</v>
      </c>
      <c r="P130" s="16">
        <v>15</v>
      </c>
      <c r="Q130" s="16" t="s">
        <v>803</v>
      </c>
      <c r="R130" s="16" t="s">
        <v>806</v>
      </c>
    </row>
    <row r="131" spans="1:18" ht="12.75" customHeight="1">
      <c r="A131" s="423"/>
      <c r="B131" s="423"/>
      <c r="C131" s="271" t="s">
        <v>741</v>
      </c>
      <c r="D131" s="271"/>
      <c r="E131" s="271"/>
      <c r="F131" s="16" t="s">
        <v>797</v>
      </c>
      <c r="O131" s="16">
        <v>5</v>
      </c>
      <c r="P131" s="16">
        <v>25</v>
      </c>
      <c r="Q131" s="16" t="s">
        <v>803</v>
      </c>
      <c r="R131" s="16" t="s">
        <v>806</v>
      </c>
    </row>
    <row r="132" spans="1:18" ht="12.75">
      <c r="A132" s="271" t="s">
        <v>743</v>
      </c>
      <c r="B132" s="271"/>
      <c r="C132" s="271"/>
      <c r="D132" s="271"/>
      <c r="E132" s="271"/>
      <c r="F132" s="16" t="s">
        <v>42</v>
      </c>
      <c r="O132" s="16">
        <v>2</v>
      </c>
      <c r="P132" s="16">
        <v>6</v>
      </c>
      <c r="Q132" s="16" t="s">
        <v>803</v>
      </c>
      <c r="R132" s="16" t="s">
        <v>806</v>
      </c>
    </row>
    <row r="133" spans="1:18" ht="12.75">
      <c r="A133" s="271" t="s">
        <v>744</v>
      </c>
      <c r="B133" s="271"/>
      <c r="C133" s="271"/>
      <c r="D133" s="271"/>
      <c r="E133" s="271"/>
      <c r="F133" s="16" t="s">
        <v>797</v>
      </c>
      <c r="O133" s="16">
        <v>5</v>
      </c>
      <c r="P133" s="16">
        <v>12</v>
      </c>
      <c r="Q133" s="16" t="s">
        <v>803</v>
      </c>
      <c r="R133" s="16" t="s">
        <v>806</v>
      </c>
    </row>
    <row r="134" spans="1:18" ht="12.75">
      <c r="A134" s="271" t="s">
        <v>745</v>
      </c>
      <c r="B134" s="271"/>
      <c r="C134" s="271"/>
      <c r="D134" s="271"/>
      <c r="E134" s="271"/>
      <c r="F134" s="16" t="s">
        <v>797</v>
      </c>
      <c r="O134" s="16">
        <v>5</v>
      </c>
      <c r="P134" s="16">
        <v>12</v>
      </c>
      <c r="Q134" s="16" t="s">
        <v>803</v>
      </c>
      <c r="R134" s="16" t="s">
        <v>806</v>
      </c>
    </row>
    <row r="135" spans="1:18" ht="15">
      <c r="A135" s="271" t="s">
        <v>746</v>
      </c>
      <c r="B135" s="271"/>
      <c r="C135" s="271"/>
      <c r="D135" s="271"/>
      <c r="E135" s="271"/>
      <c r="F135" s="422" t="s">
        <v>798</v>
      </c>
      <c r="O135" s="16" t="s">
        <v>799</v>
      </c>
      <c r="P135" s="16">
        <v>8</v>
      </c>
      <c r="Q135" s="16" t="s">
        <v>802</v>
      </c>
      <c r="R135" s="16" t="s">
        <v>806</v>
      </c>
    </row>
    <row r="136" spans="1:18" ht="12.75">
      <c r="A136" s="425" t="s">
        <v>747</v>
      </c>
      <c r="B136" s="425"/>
      <c r="C136" s="425"/>
      <c r="D136" s="425"/>
      <c r="E136" s="425"/>
      <c r="F136" s="425"/>
      <c r="G136" s="425"/>
      <c r="H136" s="425"/>
      <c r="I136" s="425"/>
      <c r="J136" s="425"/>
      <c r="K136" s="425"/>
      <c r="L136" s="425"/>
      <c r="M136" s="425"/>
      <c r="N136" s="425"/>
      <c r="O136" s="425"/>
      <c r="P136" s="425"/>
      <c r="Q136" s="425"/>
      <c r="R136" s="425"/>
    </row>
    <row r="137" spans="1:18" ht="15">
      <c r="A137" s="271" t="s">
        <v>748</v>
      </c>
      <c r="B137" s="271"/>
      <c r="C137" s="271"/>
      <c r="D137" s="271"/>
      <c r="E137" s="271"/>
      <c r="F137" s="422" t="s">
        <v>798</v>
      </c>
      <c r="G137" s="16"/>
      <c r="H137" s="16"/>
      <c r="I137" s="16"/>
      <c r="J137" s="16"/>
      <c r="K137" s="16"/>
      <c r="L137" s="16"/>
      <c r="M137" s="16"/>
      <c r="N137" s="16"/>
      <c r="O137" s="16">
        <v>2</v>
      </c>
      <c r="P137" s="16">
        <v>4</v>
      </c>
      <c r="Q137" s="16" t="s">
        <v>803</v>
      </c>
      <c r="R137" s="16" t="s">
        <v>803</v>
      </c>
    </row>
    <row r="138" spans="1:18" ht="12.75">
      <c r="A138" s="271" t="s">
        <v>749</v>
      </c>
      <c r="B138" s="271"/>
      <c r="C138" s="271"/>
      <c r="D138" s="271"/>
      <c r="E138" s="271"/>
      <c r="F138" s="16" t="s">
        <v>40</v>
      </c>
      <c r="G138" s="16"/>
      <c r="H138" s="16"/>
      <c r="I138" s="16"/>
      <c r="J138" s="16"/>
      <c r="K138" s="16"/>
      <c r="L138" s="16"/>
      <c r="M138" s="16"/>
      <c r="N138" s="16"/>
      <c r="O138" s="16" t="s">
        <v>799</v>
      </c>
      <c r="P138" s="16">
        <v>10</v>
      </c>
      <c r="Q138" s="16" t="s">
        <v>802</v>
      </c>
      <c r="R138" s="16" t="s">
        <v>806</v>
      </c>
    </row>
    <row r="139" spans="1:18" ht="12.75">
      <c r="A139" s="271" t="s">
        <v>720</v>
      </c>
      <c r="B139" s="271"/>
      <c r="C139" s="271"/>
      <c r="D139" s="271"/>
      <c r="E139" s="271"/>
      <c r="F139" s="16" t="s">
        <v>797</v>
      </c>
      <c r="G139" s="16"/>
      <c r="H139" s="16"/>
      <c r="I139" s="16"/>
      <c r="J139" s="16"/>
      <c r="K139" s="16"/>
      <c r="L139" s="16"/>
      <c r="M139" s="16"/>
      <c r="N139" s="16"/>
      <c r="O139" s="16">
        <v>2</v>
      </c>
      <c r="P139" s="16">
        <v>6</v>
      </c>
      <c r="Q139" s="16" t="s">
        <v>803</v>
      </c>
      <c r="R139" s="16" t="s">
        <v>806</v>
      </c>
    </row>
    <row r="140" spans="1:18" ht="12.75">
      <c r="A140" s="271" t="s">
        <v>811</v>
      </c>
      <c r="B140" s="271"/>
      <c r="C140" s="271"/>
      <c r="D140" s="271"/>
      <c r="E140" s="271"/>
      <c r="F140" s="16" t="s">
        <v>797</v>
      </c>
      <c r="G140" s="16"/>
      <c r="H140" s="16"/>
      <c r="I140" s="16"/>
      <c r="J140" s="16"/>
      <c r="K140" s="16"/>
      <c r="L140" s="16"/>
      <c r="M140" s="16"/>
      <c r="N140" s="16"/>
      <c r="O140" s="16">
        <v>2</v>
      </c>
      <c r="P140" s="16">
        <v>15</v>
      </c>
      <c r="Q140" s="16" t="s">
        <v>802</v>
      </c>
      <c r="R140" s="16" t="s">
        <v>803</v>
      </c>
    </row>
    <row r="141" spans="1:18" ht="15">
      <c r="A141" s="271" t="s">
        <v>812</v>
      </c>
      <c r="B141" s="271"/>
      <c r="C141" s="271"/>
      <c r="D141" s="271"/>
      <c r="E141" s="271"/>
      <c r="F141" s="422" t="s">
        <v>798</v>
      </c>
      <c r="G141" s="16"/>
      <c r="H141" s="16"/>
      <c r="I141" s="16"/>
      <c r="J141" s="16"/>
      <c r="K141" s="16"/>
      <c r="L141" s="16"/>
      <c r="M141" s="16"/>
      <c r="N141" s="16"/>
      <c r="O141" s="16">
        <v>2</v>
      </c>
      <c r="P141" s="16">
        <v>6</v>
      </c>
      <c r="Q141" s="16" t="s">
        <v>802</v>
      </c>
      <c r="R141" s="16" t="s">
        <v>806</v>
      </c>
    </row>
    <row r="142" spans="1:18" ht="15">
      <c r="A142" s="271" t="s">
        <v>813</v>
      </c>
      <c r="B142" s="271"/>
      <c r="C142" s="271"/>
      <c r="D142" s="271"/>
      <c r="E142" s="271"/>
      <c r="F142" s="422" t="s">
        <v>798</v>
      </c>
      <c r="G142" s="16"/>
      <c r="H142" s="16"/>
      <c r="I142" s="16"/>
      <c r="J142" s="16"/>
      <c r="K142" s="16"/>
      <c r="L142" s="16"/>
      <c r="M142" s="16"/>
      <c r="N142" s="16"/>
      <c r="O142" s="16">
        <v>2</v>
      </c>
      <c r="P142" s="16">
        <v>10</v>
      </c>
      <c r="Q142" s="16" t="s">
        <v>802</v>
      </c>
      <c r="R142" s="16" t="s">
        <v>806</v>
      </c>
    </row>
    <row r="143" spans="1:18" ht="12.75">
      <c r="A143" s="271" t="s">
        <v>750</v>
      </c>
      <c r="B143" s="271"/>
      <c r="C143" s="271"/>
      <c r="D143" s="271"/>
      <c r="E143" s="271"/>
      <c r="F143" s="16" t="s">
        <v>42</v>
      </c>
      <c r="G143" s="16"/>
      <c r="H143" s="16"/>
      <c r="I143" s="16"/>
      <c r="J143" s="16"/>
      <c r="K143" s="16"/>
      <c r="L143" s="16"/>
      <c r="M143" s="16"/>
      <c r="N143" s="16"/>
      <c r="O143" s="16">
        <v>2</v>
      </c>
      <c r="P143" s="16">
        <v>4</v>
      </c>
      <c r="Q143" s="16" t="s">
        <v>803</v>
      </c>
      <c r="R143" s="16" t="s">
        <v>803</v>
      </c>
    </row>
    <row r="144" spans="1:18" ht="12.75">
      <c r="A144" s="271" t="s">
        <v>751</v>
      </c>
      <c r="B144" s="271"/>
      <c r="C144" s="271"/>
      <c r="D144" s="271"/>
      <c r="E144" s="271"/>
      <c r="F144" s="16" t="s">
        <v>42</v>
      </c>
      <c r="G144" s="16"/>
      <c r="H144" s="16"/>
      <c r="I144" s="16"/>
      <c r="J144" s="16"/>
      <c r="K144" s="16"/>
      <c r="L144" s="16"/>
      <c r="M144" s="16"/>
      <c r="N144" s="16"/>
      <c r="O144" s="16">
        <v>2</v>
      </c>
      <c r="P144" s="16">
        <v>4</v>
      </c>
      <c r="Q144" s="16" t="s">
        <v>803</v>
      </c>
      <c r="R144" s="16" t="s">
        <v>803</v>
      </c>
    </row>
    <row r="145" spans="1:18" ht="12.75">
      <c r="A145" s="428" t="s">
        <v>752</v>
      </c>
      <c r="B145" s="428"/>
      <c r="C145" s="428"/>
      <c r="D145" s="428"/>
      <c r="E145" s="428"/>
      <c r="F145" s="428"/>
      <c r="G145" s="428"/>
      <c r="H145" s="428"/>
      <c r="I145" s="428"/>
      <c r="J145" s="428"/>
      <c r="K145" s="428"/>
      <c r="L145" s="428"/>
      <c r="M145" s="428"/>
      <c r="N145" s="428"/>
      <c r="O145" s="428"/>
      <c r="P145" s="428"/>
      <c r="Q145" s="428"/>
      <c r="R145" s="432"/>
    </row>
    <row r="146" spans="1:18" ht="12.75">
      <c r="A146" s="424" t="s">
        <v>753</v>
      </c>
      <c r="B146" s="424"/>
      <c r="C146" s="269" t="s">
        <v>754</v>
      </c>
      <c r="D146" s="269"/>
      <c r="E146" s="269"/>
      <c r="F146" s="16" t="s">
        <v>797</v>
      </c>
      <c r="G146" s="16"/>
      <c r="H146" s="16"/>
      <c r="I146" s="16"/>
      <c r="J146" s="16"/>
      <c r="K146" s="16"/>
      <c r="L146" s="16"/>
      <c r="M146" s="16"/>
      <c r="N146" s="16"/>
      <c r="O146" s="16">
        <v>3</v>
      </c>
      <c r="P146" s="16">
        <v>15</v>
      </c>
      <c r="Q146" s="16" t="s">
        <v>803</v>
      </c>
      <c r="R146" s="16" t="s">
        <v>806</v>
      </c>
    </row>
    <row r="147" spans="1:18" ht="15">
      <c r="A147" s="424"/>
      <c r="B147" s="424"/>
      <c r="C147" s="269" t="s">
        <v>755</v>
      </c>
      <c r="D147" s="269"/>
      <c r="E147" s="269"/>
      <c r="F147" s="422" t="s">
        <v>798</v>
      </c>
      <c r="G147" s="16"/>
      <c r="H147" s="16"/>
      <c r="I147" s="16"/>
      <c r="J147" s="16"/>
      <c r="K147" s="16"/>
      <c r="L147" s="16"/>
      <c r="M147" s="16"/>
      <c r="N147" s="16"/>
      <c r="O147" s="16">
        <v>2</v>
      </c>
      <c r="P147" s="16">
        <v>6</v>
      </c>
      <c r="Q147" s="16" t="s">
        <v>803</v>
      </c>
      <c r="R147" s="16" t="s">
        <v>803</v>
      </c>
    </row>
    <row r="148" spans="1:18" ht="12.75">
      <c r="A148" s="424"/>
      <c r="B148" s="424"/>
      <c r="C148" s="269" t="s">
        <v>756</v>
      </c>
      <c r="D148" s="269"/>
      <c r="E148" s="269"/>
      <c r="F148" s="16" t="s">
        <v>40</v>
      </c>
      <c r="G148" s="16"/>
      <c r="H148" s="16"/>
      <c r="I148" s="16"/>
      <c r="J148" s="16"/>
      <c r="K148" s="16"/>
      <c r="L148" s="16"/>
      <c r="M148" s="16"/>
      <c r="N148" s="16"/>
      <c r="O148" s="16">
        <v>2</v>
      </c>
      <c r="P148" s="16">
        <v>10</v>
      </c>
      <c r="Q148" s="16" t="s">
        <v>802</v>
      </c>
      <c r="R148" s="16" t="s">
        <v>806</v>
      </c>
    </row>
    <row r="149" spans="1:18" ht="14.25">
      <c r="A149" s="269" t="s">
        <v>757</v>
      </c>
      <c r="B149" s="269"/>
      <c r="C149" s="269"/>
      <c r="D149" s="269"/>
      <c r="E149" s="269"/>
      <c r="F149" s="16" t="s">
        <v>40</v>
      </c>
      <c r="G149" s="16"/>
      <c r="H149" s="16"/>
      <c r="I149" s="16"/>
      <c r="J149" s="16"/>
      <c r="K149" s="16"/>
      <c r="L149" s="16"/>
      <c r="M149" s="16"/>
      <c r="N149" s="16"/>
      <c r="O149" s="16">
        <v>2</v>
      </c>
      <c r="P149" s="16">
        <v>6</v>
      </c>
      <c r="Q149" s="16" t="s">
        <v>805</v>
      </c>
      <c r="R149" s="16" t="s">
        <v>806</v>
      </c>
    </row>
    <row r="150" spans="1:18" ht="12.75">
      <c r="A150" s="269" t="s">
        <v>758</v>
      </c>
      <c r="B150" s="269"/>
      <c r="C150" s="269"/>
      <c r="D150" s="269"/>
      <c r="E150" s="269"/>
      <c r="F150" s="16" t="s">
        <v>40</v>
      </c>
      <c r="G150" s="16"/>
      <c r="H150" s="16"/>
      <c r="I150" s="16"/>
      <c r="J150" s="16"/>
      <c r="K150" s="16"/>
      <c r="L150" s="16"/>
      <c r="M150" s="16"/>
      <c r="N150" s="16"/>
      <c r="O150" s="16">
        <v>2</v>
      </c>
      <c r="P150" s="16">
        <v>6</v>
      </c>
      <c r="Q150" s="16" t="s">
        <v>802</v>
      </c>
      <c r="R150" s="16" t="s">
        <v>806</v>
      </c>
    </row>
    <row r="151" spans="1:18" ht="12.75">
      <c r="A151" s="269" t="s">
        <v>759</v>
      </c>
      <c r="B151" s="269"/>
      <c r="C151" s="269"/>
      <c r="D151" s="269"/>
      <c r="E151" s="269"/>
      <c r="F151" s="16" t="s">
        <v>797</v>
      </c>
      <c r="G151" s="16"/>
      <c r="H151" s="16"/>
      <c r="I151" s="16"/>
      <c r="J151" s="16"/>
      <c r="K151" s="16"/>
      <c r="L151" s="16"/>
      <c r="M151" s="16"/>
      <c r="N151" s="16"/>
      <c r="O151" s="16">
        <v>2</v>
      </c>
      <c r="P151" s="16">
        <v>6</v>
      </c>
      <c r="Q151" s="16" t="s">
        <v>803</v>
      </c>
      <c r="R151" s="16" t="s">
        <v>806</v>
      </c>
    </row>
    <row r="152" spans="1:18" ht="12.75">
      <c r="A152" s="268" t="s">
        <v>760</v>
      </c>
      <c r="B152" s="268"/>
      <c r="C152" s="268"/>
      <c r="D152" s="268"/>
      <c r="E152" s="268"/>
      <c r="F152" s="16" t="s">
        <v>40</v>
      </c>
      <c r="G152" s="16"/>
      <c r="H152" s="16"/>
      <c r="I152" s="16"/>
      <c r="J152" s="16"/>
      <c r="K152" s="16"/>
      <c r="L152" s="16"/>
      <c r="M152" s="16"/>
      <c r="N152" s="16"/>
      <c r="O152" s="16">
        <v>2</v>
      </c>
      <c r="P152" s="16">
        <v>6</v>
      </c>
      <c r="Q152" s="16" t="s">
        <v>802</v>
      </c>
      <c r="R152" s="16" t="s">
        <v>806</v>
      </c>
    </row>
    <row r="153" spans="1:18" ht="12.75">
      <c r="A153" s="268" t="s">
        <v>761</v>
      </c>
      <c r="B153" s="268"/>
      <c r="C153" s="268"/>
      <c r="D153" s="268"/>
      <c r="E153" s="268"/>
      <c r="F153" s="16" t="s">
        <v>40</v>
      </c>
      <c r="G153" s="16"/>
      <c r="H153" s="16"/>
      <c r="I153" s="16"/>
      <c r="J153" s="16"/>
      <c r="K153" s="16"/>
      <c r="L153" s="16"/>
      <c r="M153" s="16"/>
      <c r="N153" s="16"/>
      <c r="O153" s="16" t="s">
        <v>800</v>
      </c>
      <c r="P153" s="16">
        <v>10</v>
      </c>
      <c r="Q153" s="16" t="s">
        <v>802</v>
      </c>
      <c r="R153" s="16" t="s">
        <v>803</v>
      </c>
    </row>
    <row r="154" spans="1:18" ht="12.75">
      <c r="A154" s="268" t="s">
        <v>762</v>
      </c>
      <c r="B154" s="268"/>
      <c r="C154" s="268"/>
      <c r="D154" s="268"/>
      <c r="E154" s="268"/>
      <c r="F154" s="16" t="s">
        <v>40</v>
      </c>
      <c r="G154" s="16"/>
      <c r="H154" s="16"/>
      <c r="I154" s="16"/>
      <c r="J154" s="16"/>
      <c r="K154" s="16"/>
      <c r="L154" s="16"/>
      <c r="M154" s="16"/>
      <c r="N154" s="16"/>
      <c r="O154" s="16">
        <v>2</v>
      </c>
      <c r="P154" s="16">
        <v>6</v>
      </c>
      <c r="Q154" s="16" t="s">
        <v>802</v>
      </c>
      <c r="R154" s="16" t="s">
        <v>806</v>
      </c>
    </row>
    <row r="155" spans="1:18" ht="12.75">
      <c r="A155" s="268" t="s">
        <v>763</v>
      </c>
      <c r="B155" s="268"/>
      <c r="C155" s="268"/>
      <c r="D155" s="268"/>
      <c r="E155" s="268"/>
      <c r="F155" s="16" t="s">
        <v>40</v>
      </c>
      <c r="G155" s="16"/>
      <c r="H155" s="16"/>
      <c r="I155" s="16"/>
      <c r="J155" s="16"/>
      <c r="K155" s="16"/>
      <c r="L155" s="16"/>
      <c r="M155" s="16"/>
      <c r="N155" s="16"/>
      <c r="O155" s="16">
        <v>2</v>
      </c>
      <c r="P155" s="16">
        <v>6</v>
      </c>
      <c r="Q155" s="16" t="s">
        <v>802</v>
      </c>
      <c r="R155" s="16" t="s">
        <v>806</v>
      </c>
    </row>
    <row r="156" spans="1:18" ht="12.75">
      <c r="A156" s="268" t="s">
        <v>764</v>
      </c>
      <c r="B156" s="268"/>
      <c r="C156" s="268"/>
      <c r="D156" s="268"/>
      <c r="E156" s="268"/>
      <c r="F156" s="16" t="s">
        <v>40</v>
      </c>
      <c r="G156" s="16"/>
      <c r="H156" s="16"/>
      <c r="I156" s="16"/>
      <c r="J156" s="16"/>
      <c r="K156" s="16"/>
      <c r="L156" s="16"/>
      <c r="M156" s="16"/>
      <c r="N156" s="16"/>
      <c r="O156" s="16">
        <v>2</v>
      </c>
      <c r="P156" s="16">
        <v>6</v>
      </c>
      <c r="Q156" s="16" t="s">
        <v>802</v>
      </c>
      <c r="R156" s="16" t="s">
        <v>806</v>
      </c>
    </row>
    <row r="157" spans="1:18" ht="12.75">
      <c r="A157" s="268" t="s">
        <v>765</v>
      </c>
      <c r="B157" s="268"/>
      <c r="C157" s="268"/>
      <c r="D157" s="268"/>
      <c r="E157" s="268"/>
      <c r="F157" s="16" t="s">
        <v>797</v>
      </c>
      <c r="G157" s="16"/>
      <c r="H157" s="16"/>
      <c r="I157" s="16"/>
      <c r="J157" s="16"/>
      <c r="K157" s="16"/>
      <c r="L157" s="16"/>
      <c r="M157" s="16"/>
      <c r="N157" s="16"/>
      <c r="O157" s="16">
        <v>2</v>
      </c>
      <c r="P157" s="16">
        <v>6</v>
      </c>
      <c r="Q157" s="16" t="s">
        <v>803</v>
      </c>
      <c r="R157" s="16" t="s">
        <v>806</v>
      </c>
    </row>
    <row r="158" spans="1:18" ht="12.75">
      <c r="A158" s="268" t="s">
        <v>766</v>
      </c>
      <c r="B158" s="268"/>
      <c r="C158" s="268"/>
      <c r="D158" s="268"/>
      <c r="E158" s="268"/>
      <c r="F158" s="16" t="s">
        <v>40</v>
      </c>
      <c r="G158" s="16"/>
      <c r="H158" s="16"/>
      <c r="I158" s="16"/>
      <c r="J158" s="16"/>
      <c r="K158" s="16"/>
      <c r="L158" s="16"/>
      <c r="M158" s="16"/>
      <c r="N158" s="16"/>
      <c r="O158" s="16" t="s">
        <v>800</v>
      </c>
      <c r="P158" s="16">
        <v>10</v>
      </c>
      <c r="Q158" s="16" t="s">
        <v>802</v>
      </c>
      <c r="R158" s="16" t="s">
        <v>806</v>
      </c>
    </row>
    <row r="159" spans="1:18" ht="12.75">
      <c r="A159" s="268" t="s">
        <v>767</v>
      </c>
      <c r="B159" s="268"/>
      <c r="C159" s="268"/>
      <c r="D159" s="268"/>
      <c r="E159" s="268"/>
      <c r="F159" s="16" t="s">
        <v>797</v>
      </c>
      <c r="G159" s="16"/>
      <c r="H159" s="16"/>
      <c r="I159" s="16"/>
      <c r="J159" s="16"/>
      <c r="K159" s="16"/>
      <c r="L159" s="16"/>
      <c r="M159" s="16"/>
      <c r="N159" s="16"/>
      <c r="O159" s="16">
        <v>2</v>
      </c>
      <c r="P159" s="16">
        <v>4</v>
      </c>
      <c r="Q159" s="16" t="s">
        <v>803</v>
      </c>
      <c r="R159" s="16" t="s">
        <v>806</v>
      </c>
    </row>
    <row r="160" spans="1:18" ht="12.75">
      <c r="A160" s="268" t="s">
        <v>768</v>
      </c>
      <c r="B160" s="268"/>
      <c r="C160" s="268"/>
      <c r="D160" s="268"/>
      <c r="E160" s="268"/>
      <c r="F160" s="16" t="s">
        <v>40</v>
      </c>
      <c r="G160" s="16"/>
      <c r="H160" s="16"/>
      <c r="I160" s="16"/>
      <c r="J160" s="16"/>
      <c r="K160" s="16"/>
      <c r="L160" s="16"/>
      <c r="M160" s="16"/>
      <c r="N160" s="16"/>
      <c r="O160" s="16">
        <v>2</v>
      </c>
      <c r="P160" s="16">
        <v>12</v>
      </c>
      <c r="Q160" s="16" t="s">
        <v>802</v>
      </c>
      <c r="R160" s="16" t="s">
        <v>806</v>
      </c>
    </row>
    <row r="161" spans="1:18" ht="12.75">
      <c r="A161" s="268" t="s">
        <v>769</v>
      </c>
      <c r="B161" s="268"/>
      <c r="C161" s="268"/>
      <c r="D161" s="268"/>
      <c r="E161" s="268"/>
      <c r="F161" s="16" t="s">
        <v>40</v>
      </c>
      <c r="G161" s="16"/>
      <c r="H161" s="16"/>
      <c r="I161" s="16"/>
      <c r="J161" s="16"/>
      <c r="K161" s="16"/>
      <c r="L161" s="16"/>
      <c r="M161" s="16"/>
      <c r="N161" s="16"/>
      <c r="O161" s="16" t="s">
        <v>800</v>
      </c>
      <c r="P161" s="16">
        <v>10</v>
      </c>
      <c r="Q161" s="16" t="s">
        <v>802</v>
      </c>
      <c r="R161" s="16" t="s">
        <v>806</v>
      </c>
    </row>
    <row r="162" spans="1:18" ht="12.75">
      <c r="A162" s="268" t="s">
        <v>770</v>
      </c>
      <c r="B162" s="268"/>
      <c r="C162" s="268"/>
      <c r="D162" s="268"/>
      <c r="E162" s="268"/>
      <c r="F162" s="16" t="s">
        <v>797</v>
      </c>
      <c r="G162" s="16"/>
      <c r="H162" s="16"/>
      <c r="I162" s="16"/>
      <c r="J162" s="16"/>
      <c r="K162" s="16"/>
      <c r="L162" s="16"/>
      <c r="M162" s="16"/>
      <c r="N162" s="16"/>
      <c r="O162" s="16">
        <v>2</v>
      </c>
      <c r="P162" s="16">
        <v>4</v>
      </c>
      <c r="Q162" s="16" t="s">
        <v>803</v>
      </c>
      <c r="R162" s="16" t="s">
        <v>803</v>
      </c>
    </row>
    <row r="163" spans="1:18" ht="12.75">
      <c r="A163" s="429" t="s">
        <v>771</v>
      </c>
      <c r="B163" s="429"/>
      <c r="C163" s="429"/>
      <c r="D163" s="429"/>
      <c r="E163" s="429"/>
      <c r="F163" s="429"/>
      <c r="G163" s="429"/>
      <c r="H163" s="429"/>
      <c r="I163" s="429"/>
      <c r="J163" s="429"/>
      <c r="K163" s="429"/>
      <c r="L163" s="429"/>
      <c r="M163" s="429"/>
      <c r="N163" s="429"/>
      <c r="O163" s="429"/>
      <c r="P163" s="429"/>
      <c r="Q163" s="429"/>
      <c r="R163" s="432"/>
    </row>
    <row r="164" spans="1:18" ht="12.75">
      <c r="A164" s="268" t="s">
        <v>772</v>
      </c>
      <c r="B164" s="268"/>
      <c r="C164" s="268"/>
      <c r="D164" s="268"/>
      <c r="E164" s="268"/>
      <c r="F164" s="16" t="s">
        <v>40</v>
      </c>
      <c r="G164" s="16"/>
      <c r="H164" s="16"/>
      <c r="I164" s="16"/>
      <c r="J164" s="16"/>
      <c r="K164" s="16"/>
      <c r="L164" s="16"/>
      <c r="M164" s="16"/>
      <c r="N164" s="16"/>
      <c r="O164" s="16">
        <v>2</v>
      </c>
      <c r="P164" s="16">
        <v>6</v>
      </c>
      <c r="Q164" s="16" t="s">
        <v>802</v>
      </c>
      <c r="R164" s="16" t="s">
        <v>803</v>
      </c>
    </row>
    <row r="165" spans="1:18" ht="12.75">
      <c r="A165" s="429" t="s">
        <v>773</v>
      </c>
      <c r="B165" s="429"/>
      <c r="C165" s="429"/>
      <c r="D165" s="429"/>
      <c r="E165" s="429"/>
      <c r="F165" s="429"/>
      <c r="G165" s="429"/>
      <c r="H165" s="429"/>
      <c r="I165" s="429"/>
      <c r="J165" s="429"/>
      <c r="K165" s="429"/>
      <c r="L165" s="429"/>
      <c r="M165" s="429"/>
      <c r="N165" s="429"/>
      <c r="O165" s="429"/>
      <c r="P165" s="429"/>
      <c r="Q165" s="429"/>
      <c r="R165" s="432"/>
    </row>
    <row r="166" spans="1:18" ht="12.75">
      <c r="A166" s="270" t="s">
        <v>774</v>
      </c>
      <c r="B166" s="268"/>
      <c r="C166" s="268"/>
      <c r="D166" s="268"/>
      <c r="E166" s="268"/>
      <c r="F166" s="16" t="s">
        <v>40</v>
      </c>
      <c r="G166" s="16"/>
      <c r="H166" s="16"/>
      <c r="I166" s="16"/>
      <c r="J166" s="16"/>
      <c r="K166" s="16"/>
      <c r="L166" s="16"/>
      <c r="M166" s="16"/>
      <c r="N166" s="16"/>
      <c r="O166" s="16">
        <v>2</v>
      </c>
      <c r="P166" s="16">
        <v>10</v>
      </c>
      <c r="Q166" s="16" t="s">
        <v>802</v>
      </c>
      <c r="R166" s="16" t="s">
        <v>803</v>
      </c>
    </row>
    <row r="167" spans="1:18" ht="15">
      <c r="A167" s="268" t="s">
        <v>775</v>
      </c>
      <c r="B167" s="268"/>
      <c r="C167" s="268"/>
      <c r="D167" s="268"/>
      <c r="E167" s="268"/>
      <c r="F167" s="422" t="s">
        <v>798</v>
      </c>
      <c r="G167" s="16"/>
      <c r="H167" s="16"/>
      <c r="I167" s="16"/>
      <c r="J167" s="16"/>
      <c r="K167" s="16"/>
      <c r="L167" s="16"/>
      <c r="M167" s="16"/>
      <c r="N167" s="16"/>
      <c r="O167" s="16">
        <v>2</v>
      </c>
      <c r="P167" s="16">
        <v>6</v>
      </c>
      <c r="Q167" s="16" t="s">
        <v>803</v>
      </c>
      <c r="R167" s="16" t="s">
        <v>803</v>
      </c>
    </row>
    <row r="168" spans="1:18" ht="12.75">
      <c r="A168" s="268" t="s">
        <v>776</v>
      </c>
      <c r="B168" s="268"/>
      <c r="C168" s="268"/>
      <c r="D168" s="268"/>
      <c r="E168" s="268"/>
      <c r="F168" s="16" t="s">
        <v>797</v>
      </c>
      <c r="G168" s="16"/>
      <c r="H168" s="16"/>
      <c r="I168" s="16"/>
      <c r="J168" s="16"/>
      <c r="K168" s="16"/>
      <c r="L168" s="16"/>
      <c r="M168" s="16"/>
      <c r="N168" s="16"/>
      <c r="O168" s="16">
        <v>2</v>
      </c>
      <c r="P168" s="16">
        <v>4</v>
      </c>
      <c r="Q168" s="16" t="s">
        <v>803</v>
      </c>
      <c r="R168" s="16" t="s">
        <v>803</v>
      </c>
    </row>
    <row r="169" spans="1:18" ht="15">
      <c r="A169" s="268" t="s">
        <v>777</v>
      </c>
      <c r="B169" s="268"/>
      <c r="C169" s="268"/>
      <c r="D169" s="268"/>
      <c r="E169" s="268"/>
      <c r="F169" s="422" t="s">
        <v>798</v>
      </c>
      <c r="G169" s="16"/>
      <c r="H169" s="16"/>
      <c r="I169" s="16"/>
      <c r="J169" s="16"/>
      <c r="K169" s="16"/>
      <c r="L169" s="16"/>
      <c r="M169" s="16"/>
      <c r="N169" s="16"/>
      <c r="O169" s="16">
        <v>2</v>
      </c>
      <c r="P169" s="16">
        <v>6</v>
      </c>
      <c r="Q169" s="16" t="s">
        <v>803</v>
      </c>
      <c r="R169" s="16" t="s">
        <v>803</v>
      </c>
    </row>
    <row r="170" spans="1:18" ht="12.75">
      <c r="A170" s="268" t="s">
        <v>778</v>
      </c>
      <c r="B170" s="268"/>
      <c r="C170" s="268"/>
      <c r="D170" s="268"/>
      <c r="E170" s="268"/>
      <c r="F170" s="16" t="s">
        <v>40</v>
      </c>
      <c r="G170" s="16"/>
      <c r="H170" s="16"/>
      <c r="I170" s="16"/>
      <c r="J170" s="16"/>
      <c r="K170" s="16"/>
      <c r="L170" s="16"/>
      <c r="M170" s="16"/>
      <c r="N170" s="16"/>
      <c r="O170" s="16">
        <v>2</v>
      </c>
      <c r="P170" s="16">
        <v>6</v>
      </c>
      <c r="Q170" s="16" t="s">
        <v>803</v>
      </c>
      <c r="R170" s="16" t="s">
        <v>803</v>
      </c>
    </row>
    <row r="171" spans="1:18" ht="15">
      <c r="A171" s="268" t="s">
        <v>779</v>
      </c>
      <c r="B171" s="268"/>
      <c r="C171" s="268"/>
      <c r="D171" s="268"/>
      <c r="E171" s="268"/>
      <c r="F171" s="422" t="s">
        <v>40</v>
      </c>
      <c r="G171" s="16"/>
      <c r="H171" s="16"/>
      <c r="I171" s="16"/>
      <c r="J171" s="16"/>
      <c r="K171" s="16"/>
      <c r="L171" s="16"/>
      <c r="M171" s="16"/>
      <c r="N171" s="16"/>
      <c r="O171" s="16">
        <v>2</v>
      </c>
      <c r="P171" s="16">
        <v>10</v>
      </c>
      <c r="Q171" s="16" t="s">
        <v>802</v>
      </c>
      <c r="R171" s="16" t="s">
        <v>806</v>
      </c>
    </row>
    <row r="172" spans="1:18" ht="12.75">
      <c r="A172" s="268" t="s">
        <v>780</v>
      </c>
      <c r="B172" s="268"/>
      <c r="C172" s="268"/>
      <c r="D172" s="268"/>
      <c r="E172" s="268"/>
      <c r="F172" s="16" t="s">
        <v>797</v>
      </c>
      <c r="G172" s="16"/>
      <c r="H172" s="16"/>
      <c r="I172" s="16"/>
      <c r="J172" s="16"/>
      <c r="K172" s="16"/>
      <c r="L172" s="16"/>
      <c r="M172" s="16"/>
      <c r="N172" s="16"/>
      <c r="O172" s="16">
        <v>2</v>
      </c>
      <c r="P172" s="16">
        <v>4</v>
      </c>
      <c r="Q172" s="16" t="s">
        <v>803</v>
      </c>
      <c r="R172" s="16" t="s">
        <v>803</v>
      </c>
    </row>
    <row r="173" spans="1:18" ht="12.75">
      <c r="A173" s="429" t="s">
        <v>781</v>
      </c>
      <c r="B173" s="429"/>
      <c r="C173" s="429"/>
      <c r="D173" s="429"/>
      <c r="E173" s="429"/>
      <c r="F173" s="429"/>
      <c r="G173" s="429"/>
      <c r="H173" s="429"/>
      <c r="I173" s="429"/>
      <c r="J173" s="429"/>
      <c r="K173" s="429"/>
      <c r="L173" s="429"/>
      <c r="M173" s="429"/>
      <c r="N173" s="429"/>
      <c r="O173" s="429"/>
      <c r="P173" s="429"/>
      <c r="Q173" s="429"/>
      <c r="R173" s="432"/>
    </row>
    <row r="174" spans="1:18" ht="12.75">
      <c r="A174" s="268" t="s">
        <v>782</v>
      </c>
      <c r="B174" s="268"/>
      <c r="C174" s="268"/>
      <c r="D174" s="268"/>
      <c r="E174" s="268"/>
      <c r="F174" s="16" t="s">
        <v>40</v>
      </c>
      <c r="G174" s="16"/>
      <c r="H174" s="16"/>
      <c r="I174" s="16"/>
      <c r="J174" s="16"/>
      <c r="K174" s="16"/>
      <c r="L174" s="16"/>
      <c r="M174" s="16"/>
      <c r="N174" s="16"/>
      <c r="O174" s="16" t="s">
        <v>800</v>
      </c>
      <c r="P174" s="16">
        <v>10</v>
      </c>
      <c r="Q174" s="16" t="s">
        <v>802</v>
      </c>
      <c r="R174" s="16" t="s">
        <v>806</v>
      </c>
    </row>
    <row r="175" spans="1:18" ht="12.75">
      <c r="A175" s="268" t="s">
        <v>783</v>
      </c>
      <c r="B175" s="268"/>
      <c r="C175" s="268"/>
      <c r="D175" s="268"/>
      <c r="E175" s="268"/>
      <c r="F175" s="16" t="s">
        <v>40</v>
      </c>
      <c r="G175" s="16"/>
      <c r="H175" s="16"/>
      <c r="I175" s="16"/>
      <c r="J175" s="16"/>
      <c r="K175" s="16"/>
      <c r="L175" s="16"/>
      <c r="M175" s="16"/>
      <c r="N175" s="16"/>
      <c r="O175" s="16">
        <v>2</v>
      </c>
      <c r="P175" s="16">
        <v>6</v>
      </c>
      <c r="Q175" s="16" t="s">
        <v>802</v>
      </c>
      <c r="R175" s="16" t="s">
        <v>806</v>
      </c>
    </row>
    <row r="176" spans="1:18" ht="12.75">
      <c r="A176" s="268" t="s">
        <v>784</v>
      </c>
      <c r="B176" s="268"/>
      <c r="C176" s="268"/>
      <c r="D176" s="268"/>
      <c r="E176" s="268"/>
      <c r="F176" s="16" t="s">
        <v>797</v>
      </c>
      <c r="G176" s="16"/>
      <c r="H176" s="16"/>
      <c r="I176" s="16"/>
      <c r="J176" s="16"/>
      <c r="K176" s="16"/>
      <c r="L176" s="16"/>
      <c r="M176" s="16"/>
      <c r="N176" s="16"/>
      <c r="O176" s="16">
        <v>2</v>
      </c>
      <c r="P176" s="16">
        <v>4</v>
      </c>
      <c r="Q176" s="16" t="s">
        <v>803</v>
      </c>
      <c r="R176" s="16" t="s">
        <v>803</v>
      </c>
    </row>
    <row r="177" spans="1:18" ht="15">
      <c r="A177" s="268" t="s">
        <v>785</v>
      </c>
      <c r="B177" s="268"/>
      <c r="C177" s="268"/>
      <c r="D177" s="268"/>
      <c r="E177" s="268"/>
      <c r="F177" s="422" t="s">
        <v>798</v>
      </c>
      <c r="G177" s="16"/>
      <c r="H177" s="16"/>
      <c r="I177" s="16"/>
      <c r="J177" s="16"/>
      <c r="K177" s="16"/>
      <c r="L177" s="16"/>
      <c r="M177" s="16"/>
      <c r="N177" s="16"/>
      <c r="O177" s="16" t="s">
        <v>801</v>
      </c>
      <c r="P177" s="16">
        <v>2</v>
      </c>
      <c r="Q177" s="16" t="s">
        <v>803</v>
      </c>
      <c r="R177" s="16" t="s">
        <v>803</v>
      </c>
    </row>
    <row r="178" spans="1:18" ht="12.75">
      <c r="A178" s="428" t="s">
        <v>786</v>
      </c>
      <c r="B178" s="428"/>
      <c r="C178" s="428"/>
      <c r="D178" s="428"/>
      <c r="E178" s="428"/>
      <c r="F178" s="428"/>
      <c r="G178" s="428"/>
      <c r="H178" s="428"/>
      <c r="I178" s="428"/>
      <c r="J178" s="428"/>
      <c r="K178" s="428"/>
      <c r="L178" s="428"/>
      <c r="M178" s="428"/>
      <c r="N178" s="428"/>
      <c r="O178" s="428"/>
      <c r="P178" s="428"/>
      <c r="Q178" s="428"/>
      <c r="R178" s="432"/>
    </row>
    <row r="179" spans="1:18" ht="15.75">
      <c r="A179" s="268" t="s">
        <v>787</v>
      </c>
      <c r="B179" s="268"/>
      <c r="C179" s="268"/>
      <c r="D179" s="268"/>
      <c r="E179" s="268"/>
      <c r="F179" s="422" t="s">
        <v>798</v>
      </c>
      <c r="G179" s="16"/>
      <c r="H179" s="16"/>
      <c r="I179" s="16"/>
      <c r="J179" s="16"/>
      <c r="K179" s="16"/>
      <c r="L179" s="16"/>
      <c r="M179" s="16"/>
      <c r="N179" s="16"/>
      <c r="O179" s="16">
        <v>2</v>
      </c>
      <c r="P179" s="16">
        <v>10</v>
      </c>
      <c r="Q179" s="16" t="s">
        <v>802</v>
      </c>
      <c r="R179" s="16" t="s">
        <v>806</v>
      </c>
    </row>
    <row r="180" spans="1:18" ht="12.75">
      <c r="A180" s="268" t="s">
        <v>788</v>
      </c>
      <c r="B180" s="268"/>
      <c r="C180" s="268"/>
      <c r="D180" s="268"/>
      <c r="E180" s="268"/>
      <c r="F180" s="16" t="s">
        <v>40</v>
      </c>
      <c r="G180" s="16"/>
      <c r="H180" s="16"/>
      <c r="I180" s="16"/>
      <c r="J180" s="16"/>
      <c r="K180" s="16"/>
      <c r="L180" s="16"/>
      <c r="M180" s="16"/>
      <c r="N180" s="16"/>
      <c r="O180" s="16" t="s">
        <v>799</v>
      </c>
      <c r="P180" s="16">
        <v>10</v>
      </c>
      <c r="Q180" s="16" t="s">
        <v>802</v>
      </c>
      <c r="R180" s="16" t="s">
        <v>806</v>
      </c>
    </row>
    <row r="181" spans="1:18" ht="15">
      <c r="A181" s="268" t="s">
        <v>789</v>
      </c>
      <c r="B181" s="268"/>
      <c r="C181" s="268"/>
      <c r="D181" s="268"/>
      <c r="E181" s="268"/>
      <c r="F181" s="422" t="s">
        <v>798</v>
      </c>
      <c r="G181" s="16"/>
      <c r="H181" s="16"/>
      <c r="I181" s="16"/>
      <c r="J181" s="16"/>
      <c r="K181" s="16"/>
      <c r="L181" s="16"/>
      <c r="M181" s="16"/>
      <c r="N181" s="16"/>
      <c r="O181" s="16" t="s">
        <v>799</v>
      </c>
      <c r="P181" s="16">
        <v>2</v>
      </c>
      <c r="Q181" s="16" t="s">
        <v>803</v>
      </c>
      <c r="R181" s="16" t="s">
        <v>806</v>
      </c>
    </row>
    <row r="182" spans="1:18" ht="15">
      <c r="A182" s="268" t="s">
        <v>790</v>
      </c>
      <c r="B182" s="268"/>
      <c r="C182" s="268"/>
      <c r="D182" s="268"/>
      <c r="E182" s="268"/>
      <c r="F182" s="422" t="s">
        <v>40</v>
      </c>
      <c r="G182" s="16"/>
      <c r="H182" s="16"/>
      <c r="I182" s="16"/>
      <c r="J182" s="16"/>
      <c r="K182" s="16"/>
      <c r="L182" s="16"/>
      <c r="M182" s="16"/>
      <c r="N182" s="16"/>
      <c r="O182" s="16">
        <v>2</v>
      </c>
      <c r="P182" s="16">
        <v>10</v>
      </c>
      <c r="Q182" s="16" t="s">
        <v>802</v>
      </c>
      <c r="R182" s="16" t="s">
        <v>806</v>
      </c>
    </row>
    <row r="183" spans="1:18" ht="15">
      <c r="A183" s="268" t="s">
        <v>792</v>
      </c>
      <c r="B183" s="268"/>
      <c r="C183" s="268"/>
      <c r="D183" s="268"/>
      <c r="E183" s="268"/>
      <c r="F183" s="422" t="s">
        <v>40</v>
      </c>
      <c r="G183" s="16"/>
      <c r="H183" s="16"/>
      <c r="I183" s="16"/>
      <c r="J183" s="16"/>
      <c r="K183" s="16"/>
      <c r="L183" s="16"/>
      <c r="M183" s="16"/>
      <c r="N183" s="16"/>
      <c r="O183" s="16" t="s">
        <v>801</v>
      </c>
      <c r="P183" s="16">
        <v>10</v>
      </c>
      <c r="Q183" s="16" t="s">
        <v>802</v>
      </c>
      <c r="R183" s="16" t="s">
        <v>806</v>
      </c>
    </row>
    <row r="184" spans="1:18" ht="15">
      <c r="A184" s="268" t="s">
        <v>791</v>
      </c>
      <c r="B184" s="268"/>
      <c r="C184" s="268"/>
      <c r="D184" s="268"/>
      <c r="E184" s="268"/>
      <c r="F184" s="422" t="s">
        <v>797</v>
      </c>
      <c r="G184" s="16"/>
      <c r="H184" s="16"/>
      <c r="I184" s="16"/>
      <c r="J184" s="16"/>
      <c r="K184" s="16"/>
      <c r="L184" s="16"/>
      <c r="M184" s="16"/>
      <c r="N184" s="16"/>
      <c r="O184" s="16" t="s">
        <v>799</v>
      </c>
      <c r="P184" s="16">
        <v>2</v>
      </c>
      <c r="Q184" s="16" t="s">
        <v>803</v>
      </c>
      <c r="R184" s="16" t="s">
        <v>803</v>
      </c>
    </row>
    <row r="185" spans="1:18" ht="15">
      <c r="A185" s="268" t="s">
        <v>793</v>
      </c>
      <c r="B185" s="268"/>
      <c r="C185" s="268"/>
      <c r="D185" s="268"/>
      <c r="E185" s="268"/>
      <c r="F185" s="422" t="s">
        <v>40</v>
      </c>
      <c r="G185" s="16"/>
      <c r="H185" s="16"/>
      <c r="I185" s="16"/>
      <c r="J185" s="16"/>
      <c r="K185" s="16"/>
      <c r="L185" s="16"/>
      <c r="M185" s="16"/>
      <c r="N185" s="16"/>
      <c r="O185" s="16" t="s">
        <v>799</v>
      </c>
      <c r="P185" s="16">
        <v>10</v>
      </c>
      <c r="Q185" s="16" t="s">
        <v>802</v>
      </c>
      <c r="R185" s="16" t="s">
        <v>806</v>
      </c>
    </row>
    <row r="186" spans="1:18" ht="15">
      <c r="A186" s="268" t="s">
        <v>794</v>
      </c>
      <c r="B186" s="268"/>
      <c r="C186" s="268"/>
      <c r="D186" s="268"/>
      <c r="E186" s="268"/>
      <c r="F186" s="422" t="s">
        <v>40</v>
      </c>
      <c r="G186" s="16"/>
      <c r="H186" s="16"/>
      <c r="I186" s="16"/>
      <c r="J186" s="16"/>
      <c r="K186" s="16"/>
      <c r="L186" s="16"/>
      <c r="M186" s="16"/>
      <c r="N186" s="16"/>
      <c r="O186" s="16" t="s">
        <v>799</v>
      </c>
      <c r="P186" s="16">
        <v>10</v>
      </c>
      <c r="Q186" s="16" t="s">
        <v>802</v>
      </c>
      <c r="R186" s="16" t="s">
        <v>806</v>
      </c>
    </row>
    <row r="187" spans="1:18" ht="15.75">
      <c r="A187" s="268" t="s">
        <v>795</v>
      </c>
      <c r="B187" s="268"/>
      <c r="C187" s="268"/>
      <c r="D187" s="268"/>
      <c r="E187" s="268"/>
      <c r="F187" s="422" t="s">
        <v>40</v>
      </c>
      <c r="G187" s="16"/>
      <c r="H187" s="16"/>
      <c r="I187" s="16"/>
      <c r="J187" s="16"/>
      <c r="K187" s="16"/>
      <c r="L187" s="16"/>
      <c r="M187" s="16"/>
      <c r="N187" s="16"/>
      <c r="O187" s="16" t="s">
        <v>799</v>
      </c>
      <c r="P187" s="16">
        <v>10</v>
      </c>
      <c r="Q187" s="16" t="s">
        <v>804</v>
      </c>
      <c r="R187" s="16" t="s">
        <v>806</v>
      </c>
    </row>
    <row r="188" spans="1:18" ht="15">
      <c r="A188" s="430" t="s">
        <v>796</v>
      </c>
      <c r="B188" s="430"/>
      <c r="C188" s="430"/>
      <c r="D188" s="430"/>
      <c r="E188" s="430"/>
      <c r="F188" s="431" t="s">
        <v>40</v>
      </c>
      <c r="G188" s="235"/>
      <c r="H188" s="235"/>
      <c r="I188" s="235"/>
      <c r="J188" s="235"/>
      <c r="K188" s="235"/>
      <c r="L188" s="235"/>
      <c r="M188" s="235"/>
      <c r="N188" s="235"/>
      <c r="O188" s="235" t="s">
        <v>799</v>
      </c>
      <c r="P188" s="235">
        <v>10</v>
      </c>
      <c r="Q188" s="235" t="s">
        <v>803</v>
      </c>
      <c r="R188" s="235" t="s">
        <v>806</v>
      </c>
    </row>
    <row r="189" spans="1:18" ht="12.75">
      <c r="A189" s="433" t="s">
        <v>807</v>
      </c>
      <c r="B189" s="433" t="s">
        <v>808</v>
      </c>
      <c r="C189" s="433" t="s">
        <v>809</v>
      </c>
      <c r="D189" s="433" t="s">
        <v>810</v>
      </c>
      <c r="E189" s="433"/>
      <c r="F189" s="433"/>
      <c r="G189" s="433"/>
      <c r="H189" s="433"/>
      <c r="I189" s="433"/>
      <c r="J189" s="433"/>
      <c r="K189" s="433"/>
      <c r="L189" s="433"/>
      <c r="M189" s="433"/>
      <c r="N189" s="433"/>
      <c r="O189" s="433"/>
      <c r="P189" s="433"/>
      <c r="Q189" s="433"/>
      <c r="R189" s="433"/>
    </row>
    <row r="190" spans="1:18" ht="39.75" customHeight="1">
      <c r="A190" s="434" t="s">
        <v>818</v>
      </c>
      <c r="B190" s="434"/>
      <c r="C190" s="434"/>
      <c r="D190" s="434"/>
      <c r="E190" s="434"/>
      <c r="F190" s="434"/>
      <c r="G190" s="434"/>
      <c r="H190" s="434"/>
      <c r="I190" s="434"/>
      <c r="J190" s="434"/>
      <c r="K190" s="434"/>
      <c r="L190" s="434"/>
      <c r="M190" s="434"/>
      <c r="N190" s="434"/>
      <c r="O190" s="434"/>
      <c r="P190" s="434"/>
      <c r="Q190" s="434"/>
      <c r="R190" s="434"/>
    </row>
    <row r="191" spans="1:18" ht="29.25" customHeight="1">
      <c r="A191" s="434" t="s">
        <v>819</v>
      </c>
      <c r="B191" s="434"/>
      <c r="C191" s="434"/>
      <c r="D191" s="434"/>
      <c r="E191" s="434"/>
      <c r="F191" s="434"/>
      <c r="G191" s="434"/>
      <c r="H191" s="434"/>
      <c r="I191" s="434"/>
      <c r="J191" s="434"/>
      <c r="K191" s="434"/>
      <c r="L191" s="434"/>
      <c r="M191" s="434"/>
      <c r="N191" s="434"/>
      <c r="O191" s="434"/>
      <c r="P191" s="434"/>
      <c r="Q191" s="434"/>
      <c r="R191" s="434"/>
    </row>
    <row r="192" spans="1:18" ht="16.5" customHeight="1">
      <c r="A192" s="434" t="s">
        <v>820</v>
      </c>
      <c r="B192" s="434"/>
      <c r="C192" s="434"/>
      <c r="D192" s="434"/>
      <c r="E192" s="434"/>
      <c r="F192" s="434"/>
      <c r="G192" s="434"/>
      <c r="H192" s="434"/>
      <c r="I192" s="434"/>
      <c r="J192" s="434"/>
      <c r="K192" s="434"/>
      <c r="L192" s="434"/>
      <c r="M192" s="434"/>
      <c r="N192" s="434"/>
      <c r="O192" s="434"/>
      <c r="P192" s="434"/>
      <c r="Q192" s="434"/>
      <c r="R192" s="434"/>
    </row>
    <row r="193" spans="1:18" ht="13.5">
      <c r="A193" s="434" t="s">
        <v>821</v>
      </c>
      <c r="B193" s="434"/>
      <c r="C193" s="434"/>
      <c r="D193" s="434"/>
      <c r="E193" s="434"/>
      <c r="F193" s="434"/>
      <c r="G193" s="434"/>
      <c r="H193" s="434"/>
      <c r="I193" s="434"/>
      <c r="J193" s="434"/>
      <c r="K193" s="434"/>
      <c r="L193" s="434"/>
      <c r="M193" s="434"/>
      <c r="N193" s="434"/>
      <c r="O193" s="434"/>
      <c r="P193" s="434"/>
      <c r="Q193" s="434"/>
      <c r="R193" s="434"/>
    </row>
    <row r="194" spans="1:18" ht="13.5">
      <c r="A194" s="434" t="s">
        <v>822</v>
      </c>
      <c r="B194" s="434"/>
      <c r="C194" s="434"/>
      <c r="D194" s="434"/>
      <c r="E194" s="434"/>
      <c r="F194" s="434"/>
      <c r="G194" s="434"/>
      <c r="H194" s="434"/>
      <c r="I194" s="434"/>
      <c r="J194" s="434"/>
      <c r="K194" s="434"/>
      <c r="L194" s="434"/>
      <c r="M194" s="434"/>
      <c r="N194" s="434"/>
      <c r="O194" s="434"/>
      <c r="P194" s="434"/>
      <c r="Q194" s="434"/>
      <c r="R194" s="434"/>
    </row>
    <row r="195" spans="1:18" ht="29.25" customHeight="1">
      <c r="A195" s="434" t="s">
        <v>823</v>
      </c>
      <c r="B195" s="434"/>
      <c r="C195" s="434"/>
      <c r="D195" s="434"/>
      <c r="E195" s="434"/>
      <c r="F195" s="434"/>
      <c r="G195" s="434"/>
      <c r="H195" s="434"/>
      <c r="I195" s="434"/>
      <c r="J195" s="434"/>
      <c r="K195" s="434"/>
      <c r="L195" s="434"/>
      <c r="M195" s="434"/>
      <c r="N195" s="434"/>
      <c r="O195" s="434"/>
      <c r="P195" s="434"/>
      <c r="Q195" s="434"/>
      <c r="R195" s="434"/>
    </row>
    <row r="196" spans="1:18" ht="13.5">
      <c r="A196" s="434" t="s">
        <v>824</v>
      </c>
      <c r="B196" s="434"/>
      <c r="C196" s="434"/>
      <c r="D196" s="434"/>
      <c r="E196" s="434"/>
      <c r="F196" s="434"/>
      <c r="G196" s="434"/>
      <c r="H196" s="434"/>
      <c r="I196" s="434"/>
      <c r="J196" s="434"/>
      <c r="K196" s="434"/>
      <c r="L196" s="434"/>
      <c r="M196" s="434"/>
      <c r="N196" s="434"/>
      <c r="O196" s="434"/>
      <c r="P196" s="434"/>
      <c r="Q196" s="434"/>
      <c r="R196" s="434"/>
    </row>
    <row r="197" spans="1:18" ht="39" customHeight="1">
      <c r="A197" s="434" t="s">
        <v>825</v>
      </c>
      <c r="B197" s="434"/>
      <c r="C197" s="434"/>
      <c r="D197" s="434"/>
      <c r="E197" s="434"/>
      <c r="F197" s="434"/>
      <c r="G197" s="434"/>
      <c r="H197" s="434"/>
      <c r="I197" s="434"/>
      <c r="J197" s="434"/>
      <c r="K197" s="434"/>
      <c r="L197" s="434"/>
      <c r="M197" s="434"/>
      <c r="N197" s="434"/>
      <c r="O197" s="434"/>
      <c r="P197" s="434"/>
      <c r="Q197" s="434"/>
      <c r="R197" s="434"/>
    </row>
    <row r="198" spans="1:18" ht="27.75" customHeight="1">
      <c r="A198" s="434" t="s">
        <v>0</v>
      </c>
      <c r="B198" s="434"/>
      <c r="C198" s="434"/>
      <c r="D198" s="434"/>
      <c r="E198" s="434"/>
      <c r="F198" s="434"/>
      <c r="G198" s="434"/>
      <c r="H198" s="434"/>
      <c r="I198" s="434"/>
      <c r="J198" s="434"/>
      <c r="K198" s="434"/>
      <c r="L198" s="434"/>
      <c r="M198" s="434"/>
      <c r="N198" s="434"/>
      <c r="O198" s="434"/>
      <c r="P198" s="434"/>
      <c r="Q198" s="434"/>
      <c r="R198" s="434"/>
    </row>
    <row r="199" spans="1:18" ht="28.5" customHeight="1">
      <c r="A199" s="434" t="s">
        <v>1</v>
      </c>
      <c r="B199" s="434"/>
      <c r="C199" s="434"/>
      <c r="D199" s="434"/>
      <c r="E199" s="434"/>
      <c r="F199" s="434"/>
      <c r="G199" s="434"/>
      <c r="H199" s="434"/>
      <c r="I199" s="434"/>
      <c r="J199" s="434"/>
      <c r="K199" s="434"/>
      <c r="L199" s="434"/>
      <c r="M199" s="434"/>
      <c r="N199" s="434"/>
      <c r="O199" s="434"/>
      <c r="P199" s="434"/>
      <c r="Q199" s="434"/>
      <c r="R199" s="434"/>
    </row>
    <row r="200" spans="1:18" ht="41.25" customHeight="1">
      <c r="A200" s="434" t="s">
        <v>2</v>
      </c>
      <c r="B200" s="434"/>
      <c r="C200" s="434"/>
      <c r="D200" s="434"/>
      <c r="E200" s="434"/>
      <c r="F200" s="434"/>
      <c r="G200" s="434"/>
      <c r="H200" s="434"/>
      <c r="I200" s="434"/>
      <c r="J200" s="434"/>
      <c r="K200" s="434"/>
      <c r="L200" s="434"/>
      <c r="M200" s="434"/>
      <c r="N200" s="434"/>
      <c r="O200" s="434"/>
      <c r="P200" s="434"/>
      <c r="Q200" s="434"/>
      <c r="R200" s="434"/>
    </row>
  </sheetData>
  <mergeCells count="426">
    <mergeCell ref="C115:E116"/>
    <mergeCell ref="A198:R198"/>
    <mergeCell ref="A199:R199"/>
    <mergeCell ref="A200:R200"/>
    <mergeCell ref="C117:E117"/>
    <mergeCell ref="A194:R194"/>
    <mergeCell ref="A195:R195"/>
    <mergeCell ref="A196:R196"/>
    <mergeCell ref="A197:R197"/>
    <mergeCell ref="A190:R190"/>
    <mergeCell ref="A191:R191"/>
    <mergeCell ref="A192:R192"/>
    <mergeCell ref="A193:R193"/>
    <mergeCell ref="A185:E185"/>
    <mergeCell ref="A186:E186"/>
    <mergeCell ref="A187:E187"/>
    <mergeCell ref="A188:E188"/>
    <mergeCell ref="AW88:AW92"/>
    <mergeCell ref="AX76:AX78"/>
    <mergeCell ref="AS74:AS75"/>
    <mergeCell ref="AV74:AX74"/>
    <mergeCell ref="AW76:AW78"/>
    <mergeCell ref="AW79:AW85"/>
    <mergeCell ref="AW86:AW87"/>
    <mergeCell ref="AT92:AU92"/>
    <mergeCell ref="AV76:AV78"/>
    <mergeCell ref="AS79:AS85"/>
    <mergeCell ref="AS88:AS92"/>
    <mergeCell ref="AV79:AV85"/>
    <mergeCell ref="AV86:AV87"/>
    <mergeCell ref="AV88:AV92"/>
    <mergeCell ref="AT88:AU88"/>
    <mergeCell ref="AT89:AU89"/>
    <mergeCell ref="AT90:AU90"/>
    <mergeCell ref="AT91:AU91"/>
    <mergeCell ref="AT84:AU84"/>
    <mergeCell ref="AT87:AU87"/>
    <mergeCell ref="AT79:AU79"/>
    <mergeCell ref="AT80:AU80"/>
    <mergeCell ref="AT81:AU81"/>
    <mergeCell ref="AT82:AU82"/>
    <mergeCell ref="AS76:AS78"/>
    <mergeCell ref="AY71:AY72"/>
    <mergeCell ref="AT85:AU85"/>
    <mergeCell ref="AT86:AU86"/>
    <mergeCell ref="AS86:AS87"/>
    <mergeCell ref="AZ67:AZ68"/>
    <mergeCell ref="AZ69:AZ70"/>
    <mergeCell ref="AT75:AU75"/>
    <mergeCell ref="AT76:AU78"/>
    <mergeCell ref="AZ71:AZ72"/>
    <mergeCell ref="AW62:AX62"/>
    <mergeCell ref="AV71:AV72"/>
    <mergeCell ref="AW65:AW66"/>
    <mergeCell ref="AW71:AW72"/>
    <mergeCell ref="AX65:AX66"/>
    <mergeCell ref="AX67:AX68"/>
    <mergeCell ref="AX71:AX72"/>
    <mergeCell ref="AZ65:AZ66"/>
    <mergeCell ref="AY65:AY66"/>
    <mergeCell ref="AS69:AS70"/>
    <mergeCell ref="AS71:AS72"/>
    <mergeCell ref="AT71:AT72"/>
    <mergeCell ref="AU62:AV62"/>
    <mergeCell ref="AU65:AU66"/>
    <mergeCell ref="AV65:AV66"/>
    <mergeCell ref="AU71:AU72"/>
    <mergeCell ref="AS63:AS64"/>
    <mergeCell ref="AS65:AS66"/>
    <mergeCell ref="AT65:AT66"/>
    <mergeCell ref="AS67:AS68"/>
    <mergeCell ref="Q53:S53"/>
    <mergeCell ref="Q49:S49"/>
    <mergeCell ref="Q35:S35"/>
    <mergeCell ref="S45:T45"/>
    <mergeCell ref="R37:S37"/>
    <mergeCell ref="R36:S36"/>
    <mergeCell ref="S38:T38"/>
    <mergeCell ref="S39:T39"/>
    <mergeCell ref="S67:W67"/>
    <mergeCell ref="R52:S52"/>
    <mergeCell ref="R34:T34"/>
    <mergeCell ref="R44:S44"/>
    <mergeCell ref="S46:T46"/>
    <mergeCell ref="S48:T48"/>
    <mergeCell ref="R47:S47"/>
    <mergeCell ref="S40:T40"/>
    <mergeCell ref="S41:T41"/>
    <mergeCell ref="S42:T42"/>
    <mergeCell ref="R7:S7"/>
    <mergeCell ref="R8:S8"/>
    <mergeCell ref="W32:X32"/>
    <mergeCell ref="Q29:Z30"/>
    <mergeCell ref="R9:S9"/>
    <mergeCell ref="R10:S10"/>
    <mergeCell ref="R11:S11"/>
    <mergeCell ref="R12:S12"/>
    <mergeCell ref="R13:S13"/>
    <mergeCell ref="R14:S14"/>
    <mergeCell ref="F2:N2"/>
    <mergeCell ref="F1:N1"/>
    <mergeCell ref="C1:D1"/>
    <mergeCell ref="R6:S6"/>
    <mergeCell ref="R1:AA1"/>
    <mergeCell ref="W2:AA2"/>
    <mergeCell ref="T4:U4"/>
    <mergeCell ref="R21:S21"/>
    <mergeCell ref="R22:S22"/>
    <mergeCell ref="R15:S15"/>
    <mergeCell ref="R16:S16"/>
    <mergeCell ref="R17:S17"/>
    <mergeCell ref="R18:S18"/>
    <mergeCell ref="R26:S26"/>
    <mergeCell ref="Y3:AA3"/>
    <mergeCell ref="W3:X4"/>
    <mergeCell ref="Y4:Z4"/>
    <mergeCell ref="R23:S23"/>
    <mergeCell ref="R24:S24"/>
    <mergeCell ref="R25:S25"/>
    <mergeCell ref="R5:S5"/>
    <mergeCell ref="R19:S19"/>
    <mergeCell ref="R20:S20"/>
    <mergeCell ref="AC1:AO1"/>
    <mergeCell ref="AD2:AD3"/>
    <mergeCell ref="AC2:AC4"/>
    <mergeCell ref="U31:X31"/>
    <mergeCell ref="AE3:AI3"/>
    <mergeCell ref="AK3:AO3"/>
    <mergeCell ref="AE2:AO2"/>
    <mergeCell ref="Y31:Z32"/>
    <mergeCell ref="AQ2:AT2"/>
    <mergeCell ref="AQ14:AT14"/>
    <mergeCell ref="AQ15:AT15"/>
    <mergeCell ref="AQ16:AT16"/>
    <mergeCell ref="U32:V32"/>
    <mergeCell ref="S43:T43"/>
    <mergeCell ref="R50:T50"/>
    <mergeCell ref="R51:T51"/>
    <mergeCell ref="S71:AF71"/>
    <mergeCell ref="W72:AF72"/>
    <mergeCell ref="V63:X63"/>
    <mergeCell ref="V64:X64"/>
    <mergeCell ref="V65:X65"/>
    <mergeCell ref="S64:T64"/>
    <mergeCell ref="S65:T65"/>
    <mergeCell ref="S63:T63"/>
    <mergeCell ref="S68:X68"/>
    <mergeCell ref="X95:Z95"/>
    <mergeCell ref="W73:X73"/>
    <mergeCell ref="W74:X74"/>
    <mergeCell ref="Y73:Z73"/>
    <mergeCell ref="Y74:Z74"/>
    <mergeCell ref="X78:X79"/>
    <mergeCell ref="Y78:Y79"/>
    <mergeCell ref="Z78:Z79"/>
    <mergeCell ref="Y87:AF87"/>
    <mergeCell ref="Y88:AF89"/>
    <mergeCell ref="AE74:AF74"/>
    <mergeCell ref="AE73:AF73"/>
    <mergeCell ref="S72:S75"/>
    <mergeCell ref="T72:T75"/>
    <mergeCell ref="U72:U75"/>
    <mergeCell ref="V72:V75"/>
    <mergeCell ref="AA74:AB74"/>
    <mergeCell ref="AA73:AB73"/>
    <mergeCell ref="AC73:AD73"/>
    <mergeCell ref="AC74:AD74"/>
    <mergeCell ref="V80:V81"/>
    <mergeCell ref="V78:V79"/>
    <mergeCell ref="W80:W81"/>
    <mergeCell ref="W78:W79"/>
    <mergeCell ref="AA78:AA79"/>
    <mergeCell ref="AE80:AE81"/>
    <mergeCell ref="AF80:AF81"/>
    <mergeCell ref="AB78:AB79"/>
    <mergeCell ref="AC78:AC79"/>
    <mergeCell ref="AD78:AD79"/>
    <mergeCell ref="AE78:AE79"/>
    <mergeCell ref="AF78:AF79"/>
    <mergeCell ref="AB80:AB81"/>
    <mergeCell ref="AC80:AC81"/>
    <mergeCell ref="X80:X81"/>
    <mergeCell ref="Y80:Y81"/>
    <mergeCell ref="Z80:Z81"/>
    <mergeCell ref="AA80:AA81"/>
    <mergeCell ref="AC104:AE104"/>
    <mergeCell ref="AD96:AE96"/>
    <mergeCell ref="AD100:AE100"/>
    <mergeCell ref="AD102:AE102"/>
    <mergeCell ref="AC99:AE99"/>
    <mergeCell ref="U105:V105"/>
    <mergeCell ref="S87:W87"/>
    <mergeCell ref="S88:W88"/>
    <mergeCell ref="S89:W89"/>
    <mergeCell ref="S95:S96"/>
    <mergeCell ref="T95:T96"/>
    <mergeCell ref="U95:V96"/>
    <mergeCell ref="W95:W96"/>
    <mergeCell ref="U101:V101"/>
    <mergeCell ref="U102:V102"/>
    <mergeCell ref="U103:V103"/>
    <mergeCell ref="U104:V104"/>
    <mergeCell ref="S94:Z94"/>
    <mergeCell ref="U106:V106"/>
    <mergeCell ref="U107:V107"/>
    <mergeCell ref="S122:Z122"/>
    <mergeCell ref="U110:V110"/>
    <mergeCell ref="U111:V111"/>
    <mergeCell ref="U112:V112"/>
    <mergeCell ref="U116:V116"/>
    <mergeCell ref="U108:V108"/>
    <mergeCell ref="U109:V109"/>
    <mergeCell ref="U115:V115"/>
    <mergeCell ref="U119:V121"/>
    <mergeCell ref="W119:W121"/>
    <mergeCell ref="S97:Z97"/>
    <mergeCell ref="U117:V117"/>
    <mergeCell ref="U118:V118"/>
    <mergeCell ref="S113:Z114"/>
    <mergeCell ref="U98:V98"/>
    <mergeCell ref="U99:V99"/>
    <mergeCell ref="U100:V100"/>
    <mergeCell ref="AH51:AQ51"/>
    <mergeCell ref="AJ68:AL68"/>
    <mergeCell ref="AJ69:AL69"/>
    <mergeCell ref="AJ70:AL70"/>
    <mergeCell ref="AM53:AN53"/>
    <mergeCell ref="AM54:AN55"/>
    <mergeCell ref="AJ58:AL58"/>
    <mergeCell ref="AJ59:AL59"/>
    <mergeCell ref="AM64:AN64"/>
    <mergeCell ref="AM65:AN65"/>
    <mergeCell ref="AO53:AQ53"/>
    <mergeCell ref="AJ63:AL63"/>
    <mergeCell ref="AJ64:AL64"/>
    <mergeCell ref="AJ65:AL65"/>
    <mergeCell ref="AJ75:AL75"/>
    <mergeCell ref="AJ76:AL76"/>
    <mergeCell ref="AJ77:AL77"/>
    <mergeCell ref="AI94:AI95"/>
    <mergeCell ref="AC92:AI93"/>
    <mergeCell ref="AD80:AD81"/>
    <mergeCell ref="AJ60:AL60"/>
    <mergeCell ref="AJ61:AL61"/>
    <mergeCell ref="AJ62:AL62"/>
    <mergeCell ref="AJ74:AL74"/>
    <mergeCell ref="AJ66:AL66"/>
    <mergeCell ref="AJ67:AL67"/>
    <mergeCell ref="AJ71:AL71"/>
    <mergeCell ref="AJ72:AL72"/>
    <mergeCell ref="AJ73:AL73"/>
    <mergeCell ref="AC107:AE107"/>
    <mergeCell ref="AD105:AE105"/>
    <mergeCell ref="AD106:AE106"/>
    <mergeCell ref="AG94:AH94"/>
    <mergeCell ref="AC94:AE95"/>
    <mergeCell ref="AF94:AF95"/>
    <mergeCell ref="AC103:AE103"/>
    <mergeCell ref="AC101:AE101"/>
    <mergeCell ref="AC97:AE97"/>
    <mergeCell ref="AC98:AE98"/>
    <mergeCell ref="AC110:AE110"/>
    <mergeCell ref="AF109:AI110"/>
    <mergeCell ref="AJ53:AL53"/>
    <mergeCell ref="AH52:AH55"/>
    <mergeCell ref="AI52:AI55"/>
    <mergeCell ref="AJ56:AQ56"/>
    <mergeCell ref="AJ57:AL57"/>
    <mergeCell ref="AC108:AE108"/>
    <mergeCell ref="AF108:AI108"/>
    <mergeCell ref="AC109:AE109"/>
    <mergeCell ref="AJ78:AL78"/>
    <mergeCell ref="AJ79:AL79"/>
    <mergeCell ref="AJ80:AL80"/>
    <mergeCell ref="AJ81:AL81"/>
    <mergeCell ref="AJ82:AL82"/>
    <mergeCell ref="AJ83:AL83"/>
    <mergeCell ref="AJ84:AL84"/>
    <mergeCell ref="AM57:AN57"/>
    <mergeCell ref="AM58:AN58"/>
    <mergeCell ref="AM59:AN59"/>
    <mergeCell ref="AM60:AN60"/>
    <mergeCell ref="AM61:AN61"/>
    <mergeCell ref="AM62:AN62"/>
    <mergeCell ref="AM63:AN63"/>
    <mergeCell ref="AM66:AN66"/>
    <mergeCell ref="AM67:AN67"/>
    <mergeCell ref="AM68:AN68"/>
    <mergeCell ref="AM69:AN69"/>
    <mergeCell ref="AM70:AN70"/>
    <mergeCell ref="AM71:AN71"/>
    <mergeCell ref="AM72:AN72"/>
    <mergeCell ref="AM73:AN73"/>
    <mergeCell ref="AM74:AN74"/>
    <mergeCell ref="AM75:AN75"/>
    <mergeCell ref="AM76:AN76"/>
    <mergeCell ref="AM77:AN77"/>
    <mergeCell ref="AM78:AN78"/>
    <mergeCell ref="AM79:AN79"/>
    <mergeCell ref="AM80:AN80"/>
    <mergeCell ref="AM81:AN81"/>
    <mergeCell ref="AM82:AN82"/>
    <mergeCell ref="AM83:AN83"/>
    <mergeCell ref="AM84:AN84"/>
    <mergeCell ref="AO57:AQ57"/>
    <mergeCell ref="AO58:AQ58"/>
    <mergeCell ref="AO59:AQ59"/>
    <mergeCell ref="AO60:AQ60"/>
    <mergeCell ref="AO61:AQ61"/>
    <mergeCell ref="AO62:AQ62"/>
    <mergeCell ref="AO63:AQ63"/>
    <mergeCell ref="AO64:AQ64"/>
    <mergeCell ref="AO65:AQ65"/>
    <mergeCell ref="AO66:AQ66"/>
    <mergeCell ref="AO67:AQ67"/>
    <mergeCell ref="AO68:AQ68"/>
    <mergeCell ref="AO69:AQ69"/>
    <mergeCell ref="AO76:AQ76"/>
    <mergeCell ref="AO77:AQ77"/>
    <mergeCell ref="AO70:AQ70"/>
    <mergeCell ref="AO71:AQ71"/>
    <mergeCell ref="AO72:AQ72"/>
    <mergeCell ref="AO73:AQ73"/>
    <mergeCell ref="AO82:AQ82"/>
    <mergeCell ref="AO83:AQ83"/>
    <mergeCell ref="AO84:AQ84"/>
    <mergeCell ref="AJ52:AQ52"/>
    <mergeCell ref="AO78:AQ78"/>
    <mergeCell ref="AO79:AQ79"/>
    <mergeCell ref="AO80:AQ80"/>
    <mergeCell ref="AO81:AQ81"/>
    <mergeCell ref="AO74:AQ74"/>
    <mergeCell ref="AO75:AQ75"/>
    <mergeCell ref="AH85:AQ85"/>
    <mergeCell ref="AI87:AJ87"/>
    <mergeCell ref="AI88:AJ88"/>
    <mergeCell ref="AI89:AJ89"/>
    <mergeCell ref="AK87:AL87"/>
    <mergeCell ref="AK88:AL88"/>
    <mergeCell ref="AK89:AL89"/>
    <mergeCell ref="AI86:AP86"/>
    <mergeCell ref="AR20:AR23"/>
    <mergeCell ref="AS20:AT20"/>
    <mergeCell ref="AS21:AS23"/>
    <mergeCell ref="AT21:AT23"/>
    <mergeCell ref="AY21:AZ23"/>
    <mergeCell ref="AW28:AX31"/>
    <mergeCell ref="AW32:AX35"/>
    <mergeCell ref="AU24:AV27"/>
    <mergeCell ref="AU28:AV31"/>
    <mergeCell ref="AU32:AV35"/>
    <mergeCell ref="AW36:AX39"/>
    <mergeCell ref="AW24:AX27"/>
    <mergeCell ref="AU36:AV39"/>
    <mergeCell ref="AU21:AV23"/>
    <mergeCell ref="AW21:AX23"/>
    <mergeCell ref="A164:E164"/>
    <mergeCell ref="A171:E171"/>
    <mergeCell ref="AY40:AZ43"/>
    <mergeCell ref="AU20:AZ20"/>
    <mergeCell ref="AY24:AZ27"/>
    <mergeCell ref="AY28:AZ31"/>
    <mergeCell ref="AY32:AZ35"/>
    <mergeCell ref="AY36:AZ39"/>
    <mergeCell ref="AU40:AV43"/>
    <mergeCell ref="AW40:AX43"/>
    <mergeCell ref="A160:E160"/>
    <mergeCell ref="A161:E161"/>
    <mergeCell ref="A126:E126"/>
    <mergeCell ref="A162:E162"/>
    <mergeCell ref="A144:E144"/>
    <mergeCell ref="A134:E134"/>
    <mergeCell ref="A135:E135"/>
    <mergeCell ref="A127:R127"/>
    <mergeCell ref="A136:R136"/>
    <mergeCell ref="A132:E132"/>
    <mergeCell ref="A133:E133"/>
    <mergeCell ref="A137:E137"/>
    <mergeCell ref="A138:E138"/>
    <mergeCell ref="A139:E139"/>
    <mergeCell ref="A140:E140"/>
    <mergeCell ref="A141:E141"/>
    <mergeCell ref="A142:E142"/>
    <mergeCell ref="A143:E143"/>
    <mergeCell ref="A159:E159"/>
    <mergeCell ref="A128:B129"/>
    <mergeCell ref="C128:E128"/>
    <mergeCell ref="C129:E129"/>
    <mergeCell ref="A130:B131"/>
    <mergeCell ref="C130:E130"/>
    <mergeCell ref="C131:E131"/>
    <mergeCell ref="A153:E153"/>
    <mergeCell ref="A154:E154"/>
    <mergeCell ref="C148:E148"/>
    <mergeCell ref="A146:B148"/>
    <mergeCell ref="A149:E149"/>
    <mergeCell ref="A150:E150"/>
    <mergeCell ref="C146:E146"/>
    <mergeCell ref="C147:E147"/>
    <mergeCell ref="A145:Q145"/>
    <mergeCell ref="A163:Q163"/>
    <mergeCell ref="A165:Q165"/>
    <mergeCell ref="A170:E170"/>
    <mergeCell ref="A155:E155"/>
    <mergeCell ref="A156:E156"/>
    <mergeCell ref="A157:E157"/>
    <mergeCell ref="A158:E158"/>
    <mergeCell ref="A151:E151"/>
    <mergeCell ref="A152:E152"/>
    <mergeCell ref="A166:E166"/>
    <mergeCell ref="A167:E167"/>
    <mergeCell ref="A168:E168"/>
    <mergeCell ref="A169:E169"/>
    <mergeCell ref="A172:E172"/>
    <mergeCell ref="A174:E174"/>
    <mergeCell ref="A175:E175"/>
    <mergeCell ref="A183:E183"/>
    <mergeCell ref="A176:E176"/>
    <mergeCell ref="A173:Q173"/>
    <mergeCell ref="A178:Q178"/>
    <mergeCell ref="A177:E177"/>
    <mergeCell ref="A184:E184"/>
    <mergeCell ref="A179:E179"/>
    <mergeCell ref="A180:E180"/>
    <mergeCell ref="A181:E181"/>
    <mergeCell ref="A182:E182"/>
  </mergeCells>
  <printOptions/>
  <pageMargins left="0.75" right="0.75" top="1" bottom="1" header="0" footer="0"/>
  <pageSetup horizontalDpi="600" verticalDpi="600" orientation="portrait" paperSize="9" r:id="rId2"/>
  <rowBreaks count="1" manualBreakCount="1">
    <brk id="128" max="255"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dimension ref="A1:P102"/>
  <sheetViews>
    <sheetView workbookViewId="0" topLeftCell="A1">
      <selection activeCell="F8" sqref="F8"/>
    </sheetView>
  </sheetViews>
  <sheetFormatPr defaultColWidth="11.421875" defaultRowHeight="12.75"/>
  <cols>
    <col min="1" max="1" width="18.57421875" style="0" customWidth="1"/>
    <col min="8" max="8" width="12.28125" style="0" customWidth="1"/>
  </cols>
  <sheetData>
    <row r="1" spans="1:16" ht="25.5">
      <c r="A1" s="1" t="s">
        <v>23</v>
      </c>
      <c r="B1" s="358" t="s">
        <v>329</v>
      </c>
      <c r="C1" s="358"/>
      <c r="D1" s="1" t="s">
        <v>28</v>
      </c>
      <c r="E1" s="1" t="s">
        <v>29</v>
      </c>
      <c r="F1" s="1"/>
      <c r="G1" s="1" t="s">
        <v>138</v>
      </c>
      <c r="H1" s="1" t="s">
        <v>139</v>
      </c>
      <c r="I1" s="1"/>
      <c r="J1" s="1"/>
      <c r="K1" s="1"/>
      <c r="L1" s="1"/>
      <c r="M1" s="1" t="s">
        <v>186</v>
      </c>
      <c r="N1" s="1" t="s">
        <v>103</v>
      </c>
      <c r="O1" s="1" t="s">
        <v>187</v>
      </c>
      <c r="P1" s="1" t="s">
        <v>29</v>
      </c>
    </row>
    <row r="2" spans="1:16" ht="12.75">
      <c r="A2" t="s">
        <v>22</v>
      </c>
      <c r="B2" t="s">
        <v>24</v>
      </c>
      <c r="C2">
        <f>2.4+0.7+0.4</f>
        <v>3.4999999999999996</v>
      </c>
      <c r="D2">
        <f>+C2*C3</f>
        <v>23.45</v>
      </c>
      <c r="E2" s="4">
        <f>+D2*(POWER(100/(12*2.54),2))</f>
        <v>252.413699271843</v>
      </c>
      <c r="K2" t="s">
        <v>180</v>
      </c>
      <c r="M2" s="4">
        <v>1.1</v>
      </c>
      <c r="N2" s="4">
        <v>6</v>
      </c>
      <c r="O2" s="4">
        <f>+N2*M2</f>
        <v>6.6000000000000005</v>
      </c>
      <c r="P2" s="4">
        <f>+O2*(POWER(100/(12*2.54),2))</f>
        <v>71.04180875028418</v>
      </c>
    </row>
    <row r="3" spans="2:16" ht="12.75">
      <c r="B3" t="s">
        <v>25</v>
      </c>
      <c r="C3">
        <v>6.7</v>
      </c>
      <c r="E3" s="4"/>
      <c r="K3" t="s">
        <v>180</v>
      </c>
      <c r="M3" s="4">
        <v>3.5</v>
      </c>
      <c r="N3" s="4">
        <v>0.7</v>
      </c>
      <c r="O3" s="4">
        <f>+N3*M3</f>
        <v>2.4499999999999997</v>
      </c>
      <c r="P3" s="4">
        <f aca="true" t="shared" si="0" ref="P3:P9">+O3*(POWER(100/(12*2.54),2))</f>
        <v>26.37158052093882</v>
      </c>
    </row>
    <row r="4" spans="2:16" ht="12.75">
      <c r="B4" s="358" t="s">
        <v>26</v>
      </c>
      <c r="C4" s="358"/>
      <c r="E4" s="4"/>
      <c r="K4" t="s">
        <v>181</v>
      </c>
      <c r="M4" s="4">
        <v>2.4</v>
      </c>
      <c r="N4" s="4">
        <v>6</v>
      </c>
      <c r="O4" s="4">
        <f>+N4*M4</f>
        <v>14.399999999999999</v>
      </c>
      <c r="P4" s="4">
        <f t="shared" si="0"/>
        <v>155.00031000062</v>
      </c>
    </row>
    <row r="5" spans="2:16" ht="12.75">
      <c r="B5" t="s">
        <v>24</v>
      </c>
      <c r="C5">
        <f>0.4+0.7</f>
        <v>1.1</v>
      </c>
      <c r="D5">
        <f>+C5*C6</f>
        <v>6.6000000000000005</v>
      </c>
      <c r="E5" s="4">
        <f>+D5*(POWER(100/(12*2.54),2))</f>
        <v>71.04180875028418</v>
      </c>
      <c r="K5" t="s">
        <v>182</v>
      </c>
      <c r="M5" s="4">
        <v>3.5</v>
      </c>
      <c r="N5" s="4">
        <v>9.1</v>
      </c>
      <c r="O5" s="4">
        <f>+N5*M5</f>
        <v>31.849999999999998</v>
      </c>
      <c r="P5" s="4">
        <f t="shared" si="0"/>
        <v>342.8305467722047</v>
      </c>
    </row>
    <row r="6" spans="2:16" ht="12.75">
      <c r="B6" t="s">
        <v>25</v>
      </c>
      <c r="C6">
        <v>6</v>
      </c>
      <c r="E6" s="4"/>
      <c r="K6" t="s">
        <v>183</v>
      </c>
      <c r="M6" s="4">
        <v>3.5</v>
      </c>
      <c r="N6" s="4">
        <v>3.9</v>
      </c>
      <c r="O6" s="4">
        <f>+N6*M6</f>
        <v>13.65</v>
      </c>
      <c r="P6" s="4">
        <f t="shared" si="0"/>
        <v>146.92737718808775</v>
      </c>
    </row>
    <row r="7" spans="2:16" ht="12.75">
      <c r="B7" t="s">
        <v>24</v>
      </c>
      <c r="C7">
        <v>0.7</v>
      </c>
      <c r="D7">
        <f>+C7*C8</f>
        <v>2.4499999999999997</v>
      </c>
      <c r="E7" s="4">
        <f>+D7*(POWER(100/(12*2.54),2))</f>
        <v>26.37158052093882</v>
      </c>
      <c r="G7" s="14">
        <f>+SANOS!H39</f>
        <v>155.44689777322816</v>
      </c>
      <c r="K7" t="s">
        <v>190</v>
      </c>
      <c r="M7" s="4">
        <v>2</v>
      </c>
      <c r="N7" s="4">
        <v>0.65</v>
      </c>
      <c r="O7" s="4">
        <f>+N7*M7*2</f>
        <v>2.6</v>
      </c>
      <c r="P7" s="4">
        <f t="shared" si="0"/>
        <v>27.98616708344528</v>
      </c>
    </row>
    <row r="8" spans="2:16" ht="12.75">
      <c r="B8" t="s">
        <v>25</v>
      </c>
      <c r="C8">
        <v>3.5</v>
      </c>
      <c r="E8" s="4"/>
      <c r="F8" s="4"/>
      <c r="K8" t="s">
        <v>188</v>
      </c>
      <c r="M8" s="4"/>
      <c r="N8" s="4"/>
      <c r="O8" s="4">
        <v>19.4</v>
      </c>
      <c r="P8" s="4">
        <f t="shared" si="0"/>
        <v>208.81986208416862</v>
      </c>
    </row>
    <row r="9" spans="2:16" ht="12.75">
      <c r="B9" s="358" t="s">
        <v>27</v>
      </c>
      <c r="C9" s="358"/>
      <c r="E9" s="4"/>
      <c r="K9" t="s">
        <v>189</v>
      </c>
      <c r="M9" s="4"/>
      <c r="N9" s="4"/>
      <c r="O9" s="4">
        <v>19.4</v>
      </c>
      <c r="P9" s="4">
        <f t="shared" si="0"/>
        <v>208.81986208416862</v>
      </c>
    </row>
    <row r="10" spans="2:16" ht="12.75">
      <c r="B10" t="s">
        <v>24</v>
      </c>
      <c r="C10">
        <f>+C2-C5</f>
        <v>2.3999999999999995</v>
      </c>
      <c r="D10">
        <f>+C10*C11</f>
        <v>14.399999999999997</v>
      </c>
      <c r="E10" s="4">
        <f>+D10*(POWER(100/(12*2.54),2))</f>
        <v>155.00031000061998</v>
      </c>
      <c r="G10" s="4"/>
      <c r="M10" s="4"/>
      <c r="N10" s="4"/>
      <c r="O10" s="4"/>
      <c r="P10" s="4"/>
    </row>
    <row r="11" spans="2:14" ht="12.75">
      <c r="B11" t="s">
        <v>25</v>
      </c>
      <c r="C11">
        <v>6</v>
      </c>
      <c r="E11" s="4"/>
      <c r="G11" s="14">
        <f>+SANOS!E116</f>
        <v>11083.56</v>
      </c>
      <c r="K11" t="s">
        <v>191</v>
      </c>
      <c r="N11">
        <v>3</v>
      </c>
    </row>
    <row r="12" spans="1:14" ht="12.75">
      <c r="A12" t="s">
        <v>91</v>
      </c>
      <c r="D12">
        <f>+D5+D7+D10</f>
        <v>23.449999999999996</v>
      </c>
      <c r="E12" s="4">
        <f>+D12*(POWER(100/(12*2.54),2))</f>
        <v>252.41369927184297</v>
      </c>
      <c r="G12" s="10"/>
      <c r="K12" t="s">
        <v>59</v>
      </c>
      <c r="N12" t="s">
        <v>193</v>
      </c>
    </row>
    <row r="13" spans="5:14" ht="12.75">
      <c r="E13" s="4"/>
      <c r="K13" t="s">
        <v>192</v>
      </c>
      <c r="N13" t="s">
        <v>194</v>
      </c>
    </row>
    <row r="14" spans="1:5" ht="12.75">
      <c r="A14" t="s">
        <v>184</v>
      </c>
      <c r="B14" t="s">
        <v>24</v>
      </c>
      <c r="C14">
        <v>3.5</v>
      </c>
      <c r="D14">
        <f>+C14*C15</f>
        <v>31.849999999999998</v>
      </c>
      <c r="E14" s="4">
        <f>+D14*(POWER(100/(12*2.54),2))</f>
        <v>342.8305467722047</v>
      </c>
    </row>
    <row r="15" spans="2:12" ht="25.5">
      <c r="B15" t="s">
        <v>25</v>
      </c>
      <c r="C15">
        <f>2.55+1.35+2.15+1.35+0.1+1.6</f>
        <v>9.1</v>
      </c>
      <c r="E15" s="4"/>
      <c r="G15" s="14">
        <f>+SANOS!J31</f>
        <v>2614.809255042239</v>
      </c>
      <c r="K15" s="1" t="s">
        <v>255</v>
      </c>
      <c r="L15">
        <v>0.1</v>
      </c>
    </row>
    <row r="16" spans="1:7" ht="12.75">
      <c r="A16" t="s">
        <v>185</v>
      </c>
      <c r="B16" t="s">
        <v>24</v>
      </c>
      <c r="C16">
        <v>3.5</v>
      </c>
      <c r="D16">
        <f>+C16*C17</f>
        <v>13.65</v>
      </c>
      <c r="E16" s="4">
        <f>+D16*(POWER(100/(12*2.54),2))</f>
        <v>146.92737718808775</v>
      </c>
      <c r="G16" s="14"/>
    </row>
    <row r="17" spans="2:9" ht="12.75">
      <c r="B17" t="s">
        <v>25</v>
      </c>
      <c r="C17">
        <v>3.9</v>
      </c>
      <c r="E17" s="4"/>
      <c r="G17" s="14">
        <f>+SANOS!J46</f>
        <v>1120.6325378752454</v>
      </c>
      <c r="H17" s="4"/>
      <c r="I17" s="4">
        <f>+G17+G15</f>
        <v>3735.4417929174842</v>
      </c>
    </row>
    <row r="18" ht="12.75">
      <c r="E18" s="4"/>
    </row>
    <row r="19" spans="1:5" ht="12.75">
      <c r="A19" t="s">
        <v>54</v>
      </c>
      <c r="B19" t="s">
        <v>24</v>
      </c>
      <c r="C19">
        <v>2</v>
      </c>
      <c r="E19" s="4"/>
    </row>
    <row r="20" spans="2:5" ht="12.75">
      <c r="B20" t="s">
        <v>103</v>
      </c>
      <c r="C20">
        <v>0.65</v>
      </c>
      <c r="E20" s="4"/>
    </row>
    <row r="21" spans="2:7" ht="12.75">
      <c r="B21" t="s">
        <v>104</v>
      </c>
      <c r="D21">
        <f>+C20*C19*2</f>
        <v>2.6</v>
      </c>
      <c r="E21" s="4">
        <f>+D21*(POWER(100/(12*2.54),2))</f>
        <v>27.98616708344528</v>
      </c>
      <c r="G21" s="14">
        <f>+SANOS!J35</f>
        <v>241.80048360096725</v>
      </c>
    </row>
    <row r="22" ht="12.75" customHeight="1"/>
    <row r="23" spans="1:7" ht="24" customHeight="1">
      <c r="A23" s="1" t="s">
        <v>123</v>
      </c>
      <c r="D23">
        <v>19.4</v>
      </c>
      <c r="E23" s="4">
        <f>+D23*(POWER(100/(12*2.54),2))</f>
        <v>208.81986208416862</v>
      </c>
      <c r="G23" s="14">
        <f>+SANOS!J42+SANOS!J39</f>
        <v>2010.2607057780965</v>
      </c>
    </row>
    <row r="24" spans="1:8" ht="12.75">
      <c r="A24" t="s">
        <v>134</v>
      </c>
      <c r="G24">
        <f>+SANOS!B9</f>
        <v>735</v>
      </c>
      <c r="H24">
        <f>+SANOS!D9</f>
        <v>615</v>
      </c>
    </row>
    <row r="25" spans="1:7" ht="12.75">
      <c r="A25" t="s">
        <v>137</v>
      </c>
      <c r="G25" s="4">
        <f>0.6*3413*1.25</f>
        <v>2559.75</v>
      </c>
    </row>
    <row r="26" spans="1:8" ht="12.75">
      <c r="A26" t="s">
        <v>135</v>
      </c>
      <c r="G26" s="4">
        <f>+SANOS!B11</f>
        <v>2700</v>
      </c>
      <c r="H26">
        <f>+SANOS!D11</f>
        <v>2400</v>
      </c>
    </row>
    <row r="27" spans="1:6" ht="12.75">
      <c r="A27" t="s">
        <v>136</v>
      </c>
      <c r="F27">
        <v>144</v>
      </c>
    </row>
    <row r="28" spans="1:8" ht="12.75">
      <c r="A28" t="s">
        <v>94</v>
      </c>
      <c r="G28" s="9">
        <f>+G7+G11+G15+G17+G21+G23+G24+G25+G26</f>
        <v>23221.259880069774</v>
      </c>
      <c r="H28" s="6">
        <f>+H24+H26</f>
        <v>3015</v>
      </c>
    </row>
    <row r="29" spans="1:8" ht="12.75">
      <c r="A29" t="s">
        <v>253</v>
      </c>
      <c r="H29" s="4">
        <f>+H28+G28</f>
        <v>26236.259880069774</v>
      </c>
    </row>
    <row r="30" spans="1:8" ht="12.75">
      <c r="A30" s="60" t="s">
        <v>254</v>
      </c>
      <c r="H30" s="4">
        <f>+$F$27*1.08*(SANOS!G4-SANOS!G3)*$L$15</f>
        <v>279.93600000000004</v>
      </c>
    </row>
    <row r="31" spans="1:11" ht="12.75">
      <c r="A31" s="60" t="s">
        <v>286</v>
      </c>
      <c r="H31" s="4">
        <f>0.685*($F$27)*(SANOS!G8-SANOS!G9)*$L$15</f>
        <v>720.0720000000001</v>
      </c>
      <c r="K31" t="s">
        <v>260</v>
      </c>
    </row>
    <row r="32" spans="1:11" ht="12.75">
      <c r="A32" t="s">
        <v>258</v>
      </c>
      <c r="H32" s="4">
        <f>+(G28+H30)/(H29+H30+H31)</f>
        <v>0.8628640305475498</v>
      </c>
      <c r="J32" t="s">
        <v>259</v>
      </c>
      <c r="K32">
        <v>53</v>
      </c>
    </row>
    <row r="33" spans="1:11" ht="12.75">
      <c r="A33" t="s">
        <v>261</v>
      </c>
      <c r="H33" s="4">
        <f>+$L$15*(SANOS!G3-calculos!K32)+calculos!K32</f>
        <v>55.1</v>
      </c>
      <c r="J33" t="s">
        <v>293</v>
      </c>
      <c r="K33">
        <f>0.244*(65-74)/H32+27.5</f>
        <v>24.954987202785034</v>
      </c>
    </row>
    <row r="34" spans="1:8" ht="12.75">
      <c r="A34" s="60" t="s">
        <v>287</v>
      </c>
      <c r="H34" s="4">
        <f>+F27*1.08*(SANOS!G4-SANOS!G3)*(1-calculos!L15)</f>
        <v>2519.424</v>
      </c>
    </row>
    <row r="35" spans="1:8" ht="12.75">
      <c r="A35" s="60" t="s">
        <v>288</v>
      </c>
      <c r="H35" s="4">
        <f>0.685*F27*(SANOS!G8-SANOS!G9)*(1-calculos!L15)</f>
        <v>6480.648000000001</v>
      </c>
    </row>
    <row r="37" spans="1:8" ht="12.75">
      <c r="A37" t="s">
        <v>262</v>
      </c>
      <c r="H37" s="4">
        <f>+H28+H31+H35</f>
        <v>10215.720000000001</v>
      </c>
    </row>
    <row r="38" spans="1:8" ht="12.75">
      <c r="A38" t="s">
        <v>263</v>
      </c>
      <c r="H38" s="4">
        <f>+G28+H30+H34</f>
        <v>26020.619880069775</v>
      </c>
    </row>
    <row r="39" spans="1:8" ht="12.75">
      <c r="A39" t="s">
        <v>264</v>
      </c>
      <c r="H39" s="5">
        <f>+H37+H38</f>
        <v>36236.339880069776</v>
      </c>
    </row>
    <row r="40" spans="1:8" ht="12.75">
      <c r="A40" t="s">
        <v>269</v>
      </c>
      <c r="H40">
        <f>+H38/(1.08*(SANOS!$G$3-calculos!$K$32))</f>
        <v>1147.293645505722</v>
      </c>
    </row>
    <row r="101" spans="1:2" ht="12.75">
      <c r="A101" s="2"/>
      <c r="B101" s="3"/>
    </row>
    <row r="102" spans="1:2" ht="12.75">
      <c r="A102" s="2"/>
      <c r="B102" s="3"/>
    </row>
  </sheetData>
  <mergeCells count="3">
    <mergeCell ref="B1:C1"/>
    <mergeCell ref="B4:C4"/>
    <mergeCell ref="B9:C9"/>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120"/>
  <sheetViews>
    <sheetView workbookViewId="0" topLeftCell="A1">
      <selection activeCell="B10" sqref="B10"/>
    </sheetView>
  </sheetViews>
  <sheetFormatPr defaultColWidth="11.421875" defaultRowHeight="12.75"/>
  <cols>
    <col min="1" max="1" width="24.7109375" style="0" customWidth="1"/>
    <col min="2" max="2" width="20.57421875" style="0" customWidth="1"/>
    <col min="7" max="7" width="13.140625" style="0" customWidth="1"/>
    <col min="8" max="8" width="13.57421875" style="0" customWidth="1"/>
    <col min="9" max="9" width="19.7109375" style="0" customWidth="1"/>
    <col min="11" max="11" width="16.00390625" style="0" customWidth="1"/>
  </cols>
  <sheetData>
    <row r="1" spans="1:11" ht="12.75">
      <c r="A1" s="6" t="s">
        <v>62</v>
      </c>
      <c r="G1" t="s">
        <v>69</v>
      </c>
      <c r="H1" t="s">
        <v>70</v>
      </c>
      <c r="I1" s="6" t="s">
        <v>82</v>
      </c>
      <c r="K1" s="6" t="s">
        <v>100</v>
      </c>
    </row>
    <row r="2" spans="2:4" ht="12.75">
      <c r="B2" s="6" t="s">
        <v>60</v>
      </c>
      <c r="D2" s="6" t="s">
        <v>61</v>
      </c>
    </row>
    <row r="3" spans="1:12" ht="12.75">
      <c r="A3" t="s">
        <v>51</v>
      </c>
      <c r="B3" t="s">
        <v>57</v>
      </c>
      <c r="D3">
        <v>0</v>
      </c>
      <c r="F3" t="s">
        <v>119</v>
      </c>
      <c r="G3">
        <v>74</v>
      </c>
      <c r="H3">
        <f>+(G3-32)*5/9</f>
        <v>23.333333333333332</v>
      </c>
      <c r="I3" t="s">
        <v>83</v>
      </c>
      <c r="J3">
        <v>0.17</v>
      </c>
      <c r="K3" t="s">
        <v>97</v>
      </c>
      <c r="L3">
        <v>0.68</v>
      </c>
    </row>
    <row r="4" spans="1:12" ht="12.75">
      <c r="A4" t="s">
        <v>52</v>
      </c>
      <c r="B4" t="s">
        <v>64</v>
      </c>
      <c r="D4">
        <v>0</v>
      </c>
      <c r="F4" t="s">
        <v>120</v>
      </c>
      <c r="G4">
        <v>92</v>
      </c>
      <c r="H4">
        <f>+(G4-32)*5/9</f>
        <v>33.333333333333336</v>
      </c>
      <c r="I4" t="s">
        <v>87</v>
      </c>
      <c r="J4">
        <v>0.44</v>
      </c>
      <c r="K4" t="s">
        <v>84</v>
      </c>
      <c r="L4">
        <v>0.1</v>
      </c>
    </row>
    <row r="5" spans="1:10" ht="12.75">
      <c r="A5" t="s">
        <v>53</v>
      </c>
      <c r="B5" t="s">
        <v>58</v>
      </c>
      <c r="D5">
        <v>0</v>
      </c>
      <c r="F5" s="1" t="s">
        <v>121</v>
      </c>
      <c r="G5">
        <v>92</v>
      </c>
      <c r="H5">
        <f>+(G5-32)*5/9</f>
        <v>33.333333333333336</v>
      </c>
      <c r="I5" t="s">
        <v>289</v>
      </c>
      <c r="J5">
        <f>0.1*2</f>
        <v>0.2</v>
      </c>
    </row>
    <row r="6" spans="1:12" ht="12.75">
      <c r="A6" t="s">
        <v>54</v>
      </c>
      <c r="B6" t="s">
        <v>58</v>
      </c>
      <c r="D6">
        <v>0</v>
      </c>
      <c r="F6" t="s">
        <v>175</v>
      </c>
      <c r="G6">
        <v>92</v>
      </c>
      <c r="H6">
        <f>+(G6-32)*5/9</f>
        <v>33.333333333333336</v>
      </c>
      <c r="I6" t="s">
        <v>85</v>
      </c>
      <c r="J6">
        <v>1.72</v>
      </c>
      <c r="K6" t="s">
        <v>98</v>
      </c>
      <c r="L6">
        <v>0.8</v>
      </c>
    </row>
    <row r="7" spans="1:12" ht="12.75">
      <c r="A7" t="s">
        <v>55</v>
      </c>
      <c r="B7" t="s">
        <v>65</v>
      </c>
      <c r="D7">
        <v>0</v>
      </c>
      <c r="F7" t="s">
        <v>285</v>
      </c>
      <c r="G7">
        <f>+calculos!H33</f>
        <v>55.1</v>
      </c>
      <c r="H7">
        <f>+(G7-32)*5/9</f>
        <v>12.833333333333334</v>
      </c>
      <c r="I7" t="s">
        <v>84</v>
      </c>
      <c r="J7">
        <v>0.1</v>
      </c>
      <c r="K7" t="s">
        <v>99</v>
      </c>
      <c r="L7">
        <v>0.1</v>
      </c>
    </row>
    <row r="8" spans="1:10" ht="38.25">
      <c r="A8" t="s">
        <v>56</v>
      </c>
      <c r="B8" t="s">
        <v>66</v>
      </c>
      <c r="D8">
        <v>0</v>
      </c>
      <c r="F8" s="1" t="s">
        <v>256</v>
      </c>
      <c r="G8">
        <v>136</v>
      </c>
      <c r="I8" t="s">
        <v>86</v>
      </c>
      <c r="J8">
        <v>0.45</v>
      </c>
    </row>
    <row r="9" spans="1:12" ht="38.25">
      <c r="A9" t="s">
        <v>141</v>
      </c>
      <c r="B9">
        <f>245*3</f>
        <v>735</v>
      </c>
      <c r="D9">
        <f>205*3</f>
        <v>615</v>
      </c>
      <c r="F9" s="1" t="s">
        <v>257</v>
      </c>
      <c r="G9">
        <v>63</v>
      </c>
      <c r="I9" t="s">
        <v>88</v>
      </c>
      <c r="J9">
        <v>0.68</v>
      </c>
      <c r="K9" t="s">
        <v>97</v>
      </c>
      <c r="L9">
        <v>0.68</v>
      </c>
    </row>
    <row r="10" spans="1:12" ht="12.75">
      <c r="A10" t="s">
        <v>59</v>
      </c>
      <c r="B10" t="s">
        <v>158</v>
      </c>
      <c r="D10">
        <v>0</v>
      </c>
      <c r="I10" t="s">
        <v>89</v>
      </c>
      <c r="J10">
        <f>SUM(J3:J9)</f>
        <v>3.7600000000000007</v>
      </c>
      <c r="K10" t="s">
        <v>89</v>
      </c>
      <c r="L10">
        <f>+L3+L4+L5+L6+L7+L8*2+L9</f>
        <v>2.3600000000000003</v>
      </c>
    </row>
    <row r="11" spans="1:12" ht="27" customHeight="1">
      <c r="A11" s="1" t="s">
        <v>140</v>
      </c>
      <c r="B11">
        <v>2700</v>
      </c>
      <c r="D11">
        <v>2400</v>
      </c>
      <c r="I11" s="6" t="s">
        <v>90</v>
      </c>
      <c r="J11" s="4">
        <f>1/J10</f>
        <v>0.2659574468085106</v>
      </c>
      <c r="K11" s="6" t="s">
        <v>96</v>
      </c>
      <c r="L11" s="4">
        <f>1/L10</f>
        <v>0.42372881355932196</v>
      </c>
    </row>
    <row r="12" spans="1:10" ht="21" customHeight="1">
      <c r="A12" s="1" t="s">
        <v>156</v>
      </c>
      <c r="B12" t="s">
        <v>155</v>
      </c>
      <c r="D12" t="s">
        <v>154</v>
      </c>
      <c r="I12" t="s">
        <v>88</v>
      </c>
      <c r="J12">
        <v>0.68</v>
      </c>
    </row>
    <row r="13" spans="8:10" ht="12.75">
      <c r="H13" t="s">
        <v>114</v>
      </c>
      <c r="I13" t="s">
        <v>109</v>
      </c>
      <c r="J13">
        <v>0.45</v>
      </c>
    </row>
    <row r="14" spans="1:10" ht="12.75">
      <c r="A14" s="6" t="s">
        <v>68</v>
      </c>
      <c r="H14" t="s">
        <v>115</v>
      </c>
      <c r="I14" t="s">
        <v>111</v>
      </c>
      <c r="J14">
        <v>0.85</v>
      </c>
    </row>
    <row r="15" spans="1:10" ht="12.75">
      <c r="A15" t="s">
        <v>79</v>
      </c>
      <c r="B15" s="4">
        <f>+calculos!E10</f>
        <v>155.00031000061998</v>
      </c>
      <c r="I15" t="s">
        <v>85</v>
      </c>
      <c r="J15">
        <v>1.72</v>
      </c>
    </row>
    <row r="16" spans="1:10" ht="12.75">
      <c r="A16" t="s">
        <v>80</v>
      </c>
      <c r="B16" s="4">
        <f>+calculos!E5+calculos!E7</f>
        <v>97.413389271223</v>
      </c>
      <c r="I16" t="s">
        <v>112</v>
      </c>
      <c r="J16">
        <f>SUM(J12:J15)</f>
        <v>3.7</v>
      </c>
    </row>
    <row r="17" spans="1:10" ht="12.75">
      <c r="A17" t="s">
        <v>49</v>
      </c>
      <c r="B17">
        <v>0.64</v>
      </c>
      <c r="I17" s="6" t="s">
        <v>110</v>
      </c>
      <c r="J17" s="4">
        <f>1/J16</f>
        <v>0.27027027027027023</v>
      </c>
    </row>
    <row r="18" spans="1:13" ht="12.75">
      <c r="A18" t="s">
        <v>78</v>
      </c>
      <c r="M18" t="s">
        <v>142</v>
      </c>
    </row>
    <row r="19" spans="1:14" ht="12.75">
      <c r="A19" t="s">
        <v>77</v>
      </c>
      <c r="B19">
        <v>1.06</v>
      </c>
      <c r="C19" t="s">
        <v>71</v>
      </c>
      <c r="I19" t="s">
        <v>88</v>
      </c>
      <c r="J19">
        <v>0.61</v>
      </c>
      <c r="M19" t="s">
        <v>143</v>
      </c>
      <c r="N19">
        <v>75</v>
      </c>
    </row>
    <row r="20" spans="1:14" ht="12.75">
      <c r="A20" t="s">
        <v>75</v>
      </c>
      <c r="B20">
        <f>+G4</f>
        <v>92</v>
      </c>
      <c r="I20" t="s">
        <v>84</v>
      </c>
      <c r="J20">
        <v>0.1</v>
      </c>
      <c r="M20" t="s">
        <v>144</v>
      </c>
      <c r="N20">
        <v>76</v>
      </c>
    </row>
    <row r="21" spans="1:14" ht="12.75">
      <c r="A21" t="s">
        <v>76</v>
      </c>
      <c r="B21">
        <f>+G3</f>
        <v>74</v>
      </c>
      <c r="I21" t="s">
        <v>240</v>
      </c>
      <c r="J21">
        <v>2.22</v>
      </c>
      <c r="M21" t="s">
        <v>145</v>
      </c>
      <c r="N21">
        <v>72</v>
      </c>
    </row>
    <row r="22" spans="1:14" ht="12.75">
      <c r="A22" t="s">
        <v>121</v>
      </c>
      <c r="B22">
        <f>+G5</f>
        <v>92</v>
      </c>
      <c r="D22" t="s">
        <v>122</v>
      </c>
      <c r="I22" t="s">
        <v>292</v>
      </c>
      <c r="J22">
        <v>0.85</v>
      </c>
      <c r="M22" t="s">
        <v>146</v>
      </c>
      <c r="N22">
        <v>80.5</v>
      </c>
    </row>
    <row r="23" spans="1:14" ht="12.75">
      <c r="A23" t="s">
        <v>50</v>
      </c>
      <c r="B23" s="4">
        <f>+J11</f>
        <v>0.2659574468085106</v>
      </c>
      <c r="I23" t="s">
        <v>112</v>
      </c>
      <c r="J23" s="4">
        <f>+J19+J20+J21+J22</f>
        <v>3.7800000000000002</v>
      </c>
      <c r="M23" t="s">
        <v>147</v>
      </c>
      <c r="N23">
        <v>74</v>
      </c>
    </row>
    <row r="24" spans="1:14" ht="12.75">
      <c r="A24" t="s">
        <v>63</v>
      </c>
      <c r="B24" s="4">
        <f>+L11</f>
        <v>0.42372881355932196</v>
      </c>
      <c r="I24" s="6" t="s">
        <v>239</v>
      </c>
      <c r="J24" s="4">
        <f>1/J23</f>
        <v>0.26455026455026454</v>
      </c>
      <c r="M24" t="s">
        <v>148</v>
      </c>
      <c r="N24">
        <v>87</v>
      </c>
    </row>
    <row r="25" spans="1:14" ht="12.75">
      <c r="A25" t="s">
        <v>105</v>
      </c>
      <c r="B25" s="4">
        <v>0.48</v>
      </c>
      <c r="M25" t="s">
        <v>149</v>
      </c>
      <c r="N25">
        <v>90</v>
      </c>
    </row>
    <row r="26" spans="1:14" ht="12.75">
      <c r="A26" t="s">
        <v>107</v>
      </c>
      <c r="B26" s="4">
        <f>+calculos!E23</f>
        <v>208.81986208416862</v>
      </c>
      <c r="M26" t="s">
        <v>150</v>
      </c>
      <c r="N26">
        <v>91.5</v>
      </c>
    </row>
    <row r="27" spans="1:14" ht="12.75">
      <c r="A27" t="s">
        <v>113</v>
      </c>
      <c r="B27" s="4">
        <f>+J17</f>
        <v>0.27027027027027023</v>
      </c>
      <c r="M27" t="s">
        <v>151</v>
      </c>
      <c r="N27">
        <v>92</v>
      </c>
    </row>
    <row r="28" spans="1:14" ht="12.75">
      <c r="A28" t="s">
        <v>175</v>
      </c>
      <c r="B28">
        <f>+G6</f>
        <v>92</v>
      </c>
      <c r="M28" t="s">
        <v>152</v>
      </c>
      <c r="N28">
        <v>91.5</v>
      </c>
    </row>
    <row r="29" spans="1:14" ht="15.75">
      <c r="A29" s="394" t="s">
        <v>92</v>
      </c>
      <c r="B29" s="394"/>
      <c r="C29" s="394"/>
      <c r="D29" s="7"/>
      <c r="E29" s="7"/>
      <c r="F29" s="394" t="s">
        <v>118</v>
      </c>
      <c r="G29" s="394"/>
      <c r="H29" s="394"/>
      <c r="I29" s="6" t="s">
        <v>101</v>
      </c>
      <c r="M29" t="s">
        <v>153</v>
      </c>
      <c r="N29">
        <v>90</v>
      </c>
    </row>
    <row r="30" spans="2:10" ht="12.75">
      <c r="B30" t="s">
        <v>116</v>
      </c>
      <c r="C30" t="s">
        <v>48</v>
      </c>
      <c r="D30" t="s">
        <v>117</v>
      </c>
      <c r="E30" t="s">
        <v>48</v>
      </c>
      <c r="F30" t="s">
        <v>67</v>
      </c>
      <c r="G30" s="8" t="s">
        <v>93</v>
      </c>
      <c r="H30" t="s">
        <v>48</v>
      </c>
      <c r="I30" t="s">
        <v>102</v>
      </c>
      <c r="J30" t="s">
        <v>48</v>
      </c>
    </row>
    <row r="31" spans="1:10" ht="12.75">
      <c r="A31" s="2">
        <f>+'Posición Solar'!A4</f>
        <v>44197</v>
      </c>
      <c r="B31" s="3">
        <f>+'Posición Solar'!B4</f>
        <v>7</v>
      </c>
      <c r="C31" s="4">
        <f>+$B$15*(($B$17*('Posición Solar'!F4))+(SANOS!$B$19*(N19-SANOS!$B$21)))</f>
        <v>610.7012214024427</v>
      </c>
      <c r="D31" s="3">
        <v>1</v>
      </c>
      <c r="E31" s="4">
        <f>+$B$15*(($B$17*('Posición Solar'!F8)+SANOS!$B$19*(N25-SANOS!$B$21)))</f>
        <v>4216.0084320168635</v>
      </c>
      <c r="F31">
        <v>7</v>
      </c>
      <c r="G31">
        <v>0</v>
      </c>
      <c r="H31" s="4">
        <f aca="true" t="shared" si="0" ref="H31:H46">+$J$11*$B$16*G31</f>
        <v>0</v>
      </c>
      <c r="I31">
        <f>+B22-B21</f>
        <v>18</v>
      </c>
      <c r="J31" s="5">
        <f>+$B$24*calculos!E14*SANOS!I31</f>
        <v>2614.809255042239</v>
      </c>
    </row>
    <row r="32" spans="2:8" ht="12.75">
      <c r="B32" s="3">
        <f>+'Posición Solar'!B5</f>
        <v>8</v>
      </c>
      <c r="C32" s="4">
        <f>+$B$15*(($B$17*('Posición Solar'!F5))+(SANOS!$B$19*(N20-SANOS!$B$21)))</f>
        <v>1419.802839605679</v>
      </c>
      <c r="D32" s="3">
        <v>2</v>
      </c>
      <c r="E32" s="4">
        <f>+$B$15*(($B$17*('Posición Solar'!F7)+SANOS!$B$19*(N26-SANOS!$B$21)))</f>
        <v>4363.2587265174525</v>
      </c>
      <c r="F32">
        <v>8</v>
      </c>
      <c r="G32">
        <v>1</v>
      </c>
      <c r="H32" s="4">
        <f t="shared" si="0"/>
        <v>25.907816295538026</v>
      </c>
    </row>
    <row r="33" spans="2:9" ht="12.75">
      <c r="B33" s="3">
        <f>+'Posición Solar'!B6</f>
        <v>9</v>
      </c>
      <c r="C33" s="4">
        <f>+$B$15*(($B$17*('Posición Solar'!F6))+(SANOS!$B$19*(N21-SANOS!$B$21)))</f>
        <v>1060.2021204042408</v>
      </c>
      <c r="D33" s="3">
        <v>3</v>
      </c>
      <c r="E33" s="76">
        <f>+$B$15*(($B$17*('Posición Solar'!F6)+SANOS!$B$19*($B$20-SANOS!$B$21)))</f>
        <v>4346.208692417385</v>
      </c>
      <c r="F33">
        <v>9</v>
      </c>
      <c r="G33">
        <v>2</v>
      </c>
      <c r="H33" s="4">
        <f t="shared" si="0"/>
        <v>51.81563259107605</v>
      </c>
      <c r="I33" s="6" t="s">
        <v>106</v>
      </c>
    </row>
    <row r="34" spans="2:10" ht="12.75">
      <c r="B34" s="3">
        <f>+'Posición Solar'!B7</f>
        <v>10</v>
      </c>
      <c r="C34" s="4">
        <f>+$B$15*(($B$17*('Posición Solar'!F7))+(SANOS!$B$19*(N22-SANOS!$B$21)))</f>
        <v>2555.955111910224</v>
      </c>
      <c r="D34" s="3">
        <v>4</v>
      </c>
      <c r="E34" s="4">
        <f>+$B$15*(($B$17*('Posición Solar'!F5)+SANOS!$B$19*(N28-SANOS!$B$21)))</f>
        <v>3966.457932915865</v>
      </c>
      <c r="F34">
        <v>10</v>
      </c>
      <c r="G34">
        <v>3</v>
      </c>
      <c r="H34" s="4">
        <f t="shared" si="0"/>
        <v>77.72344888661408</v>
      </c>
      <c r="I34" t="s">
        <v>102</v>
      </c>
      <c r="J34" t="s">
        <v>48</v>
      </c>
    </row>
    <row r="35" spans="2:10" ht="12.75">
      <c r="B35" s="3">
        <f>+'Posición Solar'!B8</f>
        <v>11</v>
      </c>
      <c r="C35" s="4">
        <f>+$B$15*(($B$17*('Posición Solar'!F8))+(SANOS!$B$19*(N23-SANOS!$B$21)))</f>
        <v>1587.2031744063486</v>
      </c>
      <c r="D35" s="3">
        <v>5</v>
      </c>
      <c r="E35" s="4">
        <f>+$B$15*(($B$17*('Posición Solar'!F4)+SANOS!$B$19*(N29-SANOS!$B$21)))</f>
        <v>3075.2061504123003</v>
      </c>
      <c r="F35">
        <v>11</v>
      </c>
      <c r="G35">
        <v>4</v>
      </c>
      <c r="H35" s="4">
        <f t="shared" si="0"/>
        <v>103.6312651821521</v>
      </c>
      <c r="I35">
        <f>+B22-B21</f>
        <v>18</v>
      </c>
      <c r="J35" s="5">
        <f>+I35*B25*calculos!E21</f>
        <v>241.80048360096725</v>
      </c>
    </row>
    <row r="36" spans="2:8" ht="12" customHeight="1">
      <c r="B36" s="3">
        <f>+'Posición Solar'!B9</f>
        <v>12</v>
      </c>
      <c r="C36" s="4">
        <f>+$B$15*(($B$17*('Posición Solar'!F9))+(SANOS!$B$19*(N24-SANOS!$B$21)))</f>
        <v>3723.107446214892</v>
      </c>
      <c r="D36" s="4"/>
      <c r="E36" s="4"/>
      <c r="F36">
        <v>12</v>
      </c>
      <c r="G36">
        <v>4</v>
      </c>
      <c r="H36" s="4">
        <f t="shared" si="0"/>
        <v>103.6312651821521</v>
      </c>
    </row>
    <row r="37" spans="2:9" ht="12.75">
      <c r="B37" s="3"/>
      <c r="C37" s="4"/>
      <c r="D37" s="4"/>
      <c r="E37" s="4"/>
      <c r="F37">
        <v>13</v>
      </c>
      <c r="G37">
        <v>5</v>
      </c>
      <c r="H37" s="4">
        <f t="shared" si="0"/>
        <v>129.53908147769013</v>
      </c>
      <c r="I37" s="6" t="s">
        <v>108</v>
      </c>
    </row>
    <row r="38" spans="1:10" ht="12.75">
      <c r="A38" s="2">
        <f>+'Posición Solar'!A11</f>
        <v>44228</v>
      </c>
      <c r="B38" s="3">
        <f>+'Posición Solar'!B11</f>
        <v>7</v>
      </c>
      <c r="C38" s="4">
        <f>+$B$15*($B$17*('Posición Solar'!F11)+SANOS!$B$19*(N19-SANOS!$B$21))</f>
        <v>571.0211420422839</v>
      </c>
      <c r="D38" s="3">
        <v>1</v>
      </c>
      <c r="E38" s="4">
        <f>+$B$15*(($B$17*('Posición Solar'!F15)+SANOS!$B$19*(N25-SANOS!$B$21)))</f>
        <v>4216.0084320168635</v>
      </c>
      <c r="F38">
        <v>14</v>
      </c>
      <c r="G38">
        <v>5</v>
      </c>
      <c r="H38" s="4">
        <f t="shared" si="0"/>
        <v>129.53908147769013</v>
      </c>
      <c r="I38" t="s">
        <v>102</v>
      </c>
      <c r="J38" t="s">
        <v>48</v>
      </c>
    </row>
    <row r="39" spans="2:11" ht="12.75">
      <c r="B39" s="3">
        <f>+'Posición Solar'!B12</f>
        <v>8</v>
      </c>
      <c r="C39" s="4">
        <f>+$B$15*($B$17*('Posición Solar'!F12)+SANOS!$B$19*(N20-SANOS!$B$21))</f>
        <v>1419.802839605679</v>
      </c>
      <c r="D39" s="3">
        <v>2</v>
      </c>
      <c r="E39" s="4">
        <f>+$B$15*(($B$17*('Posición Solar'!F14)+SANOS!$B$19*(N26-SANOS!$B$21)))</f>
        <v>4363.2587265174525</v>
      </c>
      <c r="F39">
        <v>15</v>
      </c>
      <c r="G39">
        <v>6</v>
      </c>
      <c r="H39" s="75">
        <f t="shared" si="0"/>
        <v>155.44689777322816</v>
      </c>
      <c r="I39">
        <f>+B22-B21</f>
        <v>18</v>
      </c>
      <c r="J39" s="5">
        <f>+B27*I39*B26</f>
        <v>1015.8804101391985</v>
      </c>
      <c r="K39" s="4">
        <f>+J31+J46</f>
        <v>3735.4417929174842</v>
      </c>
    </row>
    <row r="40" spans="1:10" ht="12.75">
      <c r="A40" s="2"/>
      <c r="B40" s="3">
        <f>+'Posición Solar'!B13</f>
        <v>9</v>
      </c>
      <c r="C40" s="4">
        <f>+$B$15*($B$17*('Posición Solar'!F13)+SANOS!$B$19*(N21-SANOS!$B$21))</f>
        <v>1060.2021204042408</v>
      </c>
      <c r="D40" s="3">
        <v>3</v>
      </c>
      <c r="E40" s="76">
        <f>+$B$15*(($B$17*('Posición Solar'!F13)+SANOS!$B$19*($B$20-SANOS!$B$21)))</f>
        <v>4346.208692417385</v>
      </c>
      <c r="F40">
        <v>16</v>
      </c>
      <c r="G40">
        <v>5</v>
      </c>
      <c r="H40" s="4">
        <f t="shared" si="0"/>
        <v>129.53908147769013</v>
      </c>
      <c r="I40" s="6" t="s">
        <v>177</v>
      </c>
      <c r="J40" s="11"/>
    </row>
    <row r="41" spans="2:10" ht="12.75">
      <c r="B41" s="3">
        <f>+'Posición Solar'!B14</f>
        <v>10</v>
      </c>
      <c r="C41" s="4">
        <f>+$B$15*($B$17*('Posición Solar'!F14)+SANOS!$B$19*(N22-SANOS!$B$21))</f>
        <v>2555.955111910224</v>
      </c>
      <c r="D41" s="3">
        <v>4</v>
      </c>
      <c r="E41" s="4">
        <f>+$B$15*(($B$17*('Posición Solar'!F12)+SANOS!$B$19*(N28-SANOS!$B$21)))</f>
        <v>3966.457932915865</v>
      </c>
      <c r="F41">
        <v>17</v>
      </c>
      <c r="G41">
        <v>5</v>
      </c>
      <c r="H41" s="4">
        <f t="shared" si="0"/>
        <v>129.53908147769013</v>
      </c>
      <c r="I41" t="s">
        <v>102</v>
      </c>
      <c r="J41" t="s">
        <v>48</v>
      </c>
    </row>
    <row r="42" spans="2:10" ht="12.75">
      <c r="B42" s="3">
        <f>+'Posición Solar'!B15</f>
        <v>11</v>
      </c>
      <c r="C42" s="4">
        <f>+$B$15*($B$17*('Posición Solar'!F15)+SANOS!$B$19*(N23-SANOS!$B$21))</f>
        <v>1587.2031744063486</v>
      </c>
      <c r="D42" s="3">
        <v>5</v>
      </c>
      <c r="E42" s="4">
        <f>+$B$15*(($B$17*('Posición Solar'!F11)+SANOS!$B$19*(N29-SANOS!$B$21)))</f>
        <v>3035.5260710521416</v>
      </c>
      <c r="F42">
        <v>18</v>
      </c>
      <c r="G42">
        <v>3</v>
      </c>
      <c r="H42" s="4">
        <f t="shared" si="0"/>
        <v>77.72344888661408</v>
      </c>
      <c r="I42">
        <f>+B22-B21</f>
        <v>18</v>
      </c>
      <c r="J42" s="5">
        <f>+B26*I42*J24</f>
        <v>994.3802956388981</v>
      </c>
    </row>
    <row r="43" spans="2:8" ht="12.75">
      <c r="B43" s="3">
        <f>+'Posición Solar'!B16</f>
        <v>12</v>
      </c>
      <c r="C43" s="4">
        <f>+$B$15*($B$17*('Posición Solar'!F16)+SANOS!$B$19*(N24-SANOS!$B$21))</f>
        <v>3723.107446214892</v>
      </c>
      <c r="D43" s="4"/>
      <c r="E43" s="4"/>
      <c r="F43">
        <v>19</v>
      </c>
      <c r="G43">
        <v>11</v>
      </c>
      <c r="H43" s="4">
        <f t="shared" si="0"/>
        <v>284.98597925091826</v>
      </c>
    </row>
    <row r="44" spans="2:9" ht="12.75">
      <c r="B44" s="3"/>
      <c r="C44" s="4"/>
      <c r="D44" s="4"/>
      <c r="E44" s="4"/>
      <c r="F44">
        <v>20</v>
      </c>
      <c r="G44">
        <v>6</v>
      </c>
      <c r="H44" s="4">
        <f t="shared" si="0"/>
        <v>155.44689777322816</v>
      </c>
      <c r="I44" s="6" t="s">
        <v>238</v>
      </c>
    </row>
    <row r="45" spans="1:9" ht="12.75">
      <c r="A45" s="2">
        <f>+'Posición Solar'!A18</f>
        <v>44256</v>
      </c>
      <c r="B45" s="3">
        <f>+'Posición Solar'!B18</f>
        <v>7</v>
      </c>
      <c r="C45" s="4">
        <f>+$B$15*($B$17*('Posición Solar'!F18)+SANOS!$B$19*(N19-SANOS!$B$21))</f>
        <v>759.501519003038</v>
      </c>
      <c r="D45" s="3">
        <v>1</v>
      </c>
      <c r="E45" s="4">
        <f>+$B$15*(($B$17*('Posición Solar'!F22)+SANOS!$B$19*(N25-SANOS!$B$21)))</f>
        <v>4216.0084320168635</v>
      </c>
      <c r="F45">
        <v>21</v>
      </c>
      <c r="G45">
        <v>5</v>
      </c>
      <c r="H45" s="4">
        <f t="shared" si="0"/>
        <v>129.53908147769013</v>
      </c>
      <c r="I45" t="s">
        <v>102</v>
      </c>
    </row>
    <row r="46" spans="1:10" ht="12.75">
      <c r="A46" s="2"/>
      <c r="B46" s="3">
        <f>+'Posición Solar'!B19</f>
        <v>8</v>
      </c>
      <c r="C46" s="4">
        <f>+$B$15*($B$17*('Posición Solar'!F19)+SANOS!$B$19*(N20-SANOS!$B$21))</f>
        <v>1519.003038006076</v>
      </c>
      <c r="D46" s="3">
        <v>2</v>
      </c>
      <c r="E46" s="4">
        <f>+$B$15*(($B$17*('Posición Solar'!F21)+SANOS!$B$19*(N26-SANOS!$B$21)))</f>
        <v>4363.2587265174525</v>
      </c>
      <c r="F46">
        <v>22</v>
      </c>
      <c r="G46">
        <v>4</v>
      </c>
      <c r="H46" s="4">
        <f t="shared" si="0"/>
        <v>103.6312651821521</v>
      </c>
      <c r="I46">
        <f>+B28-B21</f>
        <v>18</v>
      </c>
      <c r="J46" s="5">
        <f>+I46*B24*calculos!E16</f>
        <v>1120.6325378752454</v>
      </c>
    </row>
    <row r="47" spans="1:9" ht="12.75">
      <c r="A47" s="2"/>
      <c r="B47" s="3">
        <f>+'Posición Solar'!B20</f>
        <v>9</v>
      </c>
      <c r="C47" s="4">
        <f>+$B$15*($B$17*('Posición Solar'!F20)+SANOS!$B$19*(N21-SANOS!$B$21))</f>
        <v>1060.2021204042408</v>
      </c>
      <c r="D47" s="3">
        <v>3</v>
      </c>
      <c r="E47" s="76">
        <f>+$B$15*(($B$17*('Posición Solar'!F20)+SANOS!$B$19*($B$20-SANOS!$B$21)))</f>
        <v>4346.208692417385</v>
      </c>
      <c r="G47" t="s">
        <v>94</v>
      </c>
      <c r="H47" s="9">
        <f>SUM(H31:H46)</f>
        <v>1787.6393243921239</v>
      </c>
      <c r="I47" s="6"/>
    </row>
    <row r="48" spans="1:8" ht="12.75">
      <c r="A48" s="2"/>
      <c r="B48" s="3">
        <f>+'Posición Solar'!B21</f>
        <v>10</v>
      </c>
      <c r="C48" s="4">
        <f>+$B$15*($B$17*('Posición Solar'!F21)+SANOS!$B$19*(N22-SANOS!$B$21))</f>
        <v>2555.955111910224</v>
      </c>
      <c r="D48" s="3">
        <v>4</v>
      </c>
      <c r="E48" s="4">
        <f>+$B$15*(($B$17*('Posición Solar'!F19)+SANOS!$B$19*(N28-SANOS!$B$21)))</f>
        <v>4065.658131316262</v>
      </c>
      <c r="G48" t="s">
        <v>95</v>
      </c>
      <c r="H48" s="5">
        <f>+H47/15</f>
        <v>119.17595495947492</v>
      </c>
    </row>
    <row r="49" spans="1:5" ht="12.75">
      <c r="A49" s="2"/>
      <c r="B49" s="3">
        <f>+'Posición Solar'!B22</f>
        <v>11</v>
      </c>
      <c r="C49" s="4">
        <f>+$B$15*($B$17*('Posición Solar'!F22)+SANOS!$B$19*(N23-SANOS!$B$21))</f>
        <v>1587.2031744063486</v>
      </c>
      <c r="D49" s="3">
        <v>5</v>
      </c>
      <c r="E49" s="4">
        <f>+$B$15*(($B$17*('Posición Solar'!F18)+SANOS!$B$19*(N29-SANOS!$B$21)))</f>
        <v>3224.006448012896</v>
      </c>
    </row>
    <row r="50" spans="1:5" ht="12.75">
      <c r="A50" s="2"/>
      <c r="B50" s="3">
        <f>+'Posición Solar'!B23</f>
        <v>12</v>
      </c>
      <c r="C50" s="4">
        <f>+$B$15*($B$17*('Posición Solar'!F23)+SANOS!$B$19*(N24-SANOS!$B$21))</f>
        <v>4516.709033418067</v>
      </c>
      <c r="D50" s="4"/>
      <c r="E50" s="4"/>
    </row>
    <row r="51" spans="1:5" ht="12.75">
      <c r="A51" s="2"/>
      <c r="B51" s="3"/>
      <c r="C51" s="4"/>
      <c r="D51" s="4"/>
      <c r="E51" s="4"/>
    </row>
    <row r="52" spans="1:5" ht="12.75">
      <c r="A52" s="2">
        <f>+'Posición Solar'!A25</f>
        <v>44287</v>
      </c>
      <c r="B52" s="3">
        <f>+'Posición Solar'!B25</f>
        <v>7</v>
      </c>
      <c r="C52" s="4">
        <f>+$B$15*($B$17*('Posición Solar'!F25)+SANOS!$B$19*(N19-SANOS!$B$21))</f>
        <v>10481.120962241923</v>
      </c>
      <c r="D52" s="3">
        <v>1</v>
      </c>
      <c r="E52" s="4">
        <f>+$B$15*(($B$17*('Posición Solar'!F29)+SANOS!$B$19*(N25-SANOS!$B$21)))</f>
        <v>9275.2185504371</v>
      </c>
    </row>
    <row r="53" spans="1:5" ht="12.75">
      <c r="A53" s="2"/>
      <c r="B53" s="3">
        <f>+'Posición Solar'!B26</f>
        <v>8</v>
      </c>
      <c r="C53" s="4">
        <f>+$B$15*($B$17*('Posición Solar'!F26)+SANOS!$B$19*(N20-SANOS!$B$21))</f>
        <v>19672.639345278687</v>
      </c>
      <c r="D53" s="3">
        <v>2</v>
      </c>
      <c r="E53" s="4">
        <f>+$B$15*(($B$17*('Posición Solar'!F28)+SANOS!$B$19*(N26-SANOS!$B$21)))</f>
        <v>16068.882137764273</v>
      </c>
    </row>
    <row r="54" spans="1:5" ht="12.75">
      <c r="A54" s="2"/>
      <c r="B54" s="3">
        <f>+'Posición Solar'!B27</f>
        <v>9</v>
      </c>
      <c r="C54" s="4">
        <f>+$B$15*($B$17*('Posición Solar'!F27)+SANOS!$B$19*(N21-SANOS!$B$21))</f>
        <v>18122.636245272486</v>
      </c>
      <c r="D54" s="3">
        <v>3</v>
      </c>
      <c r="E54" s="76">
        <f>+$B$15*(($B$17*('Posición Solar'!F27)+SANOS!$B$19*($B$20-SANOS!$B$21)))</f>
        <v>21408.642817285632</v>
      </c>
    </row>
    <row r="55" spans="1:5" ht="12.75">
      <c r="A55" s="2"/>
      <c r="B55" s="3">
        <f>+'Posición Solar'!B28</f>
        <v>10</v>
      </c>
      <c r="C55" s="4">
        <f>+$B$15*($B$17*('Posición Solar'!F28)+SANOS!$B$19*(N22-SANOS!$B$21))</f>
        <v>14261.578523157044</v>
      </c>
      <c r="D55" s="3">
        <v>4</v>
      </c>
      <c r="E55" s="14">
        <f>+$B$15*(($B$17*('Posición Solar'!F26)+SANOS!$B$19*(N28-SANOS!$B$21)))</f>
        <v>22219.294438588873</v>
      </c>
    </row>
    <row r="56" spans="1:5" ht="12.75">
      <c r="A56" s="2"/>
      <c r="B56" s="3">
        <f>+'Posición Solar'!B29</f>
        <v>11</v>
      </c>
      <c r="C56" s="4">
        <f>+$B$15*($B$17*('Posición Solar'!F29)+SANOS!$B$19*(N23-SANOS!$B$21))</f>
        <v>6646.413292826585</v>
      </c>
      <c r="D56" s="3">
        <v>5</v>
      </c>
      <c r="E56" s="4">
        <f>+$B$15*(($B$17*('Posición Solar'!F25)+SANOS!$B$19*(N29-SANOS!$B$21)))</f>
        <v>12945.625891251782</v>
      </c>
    </row>
    <row r="57" spans="1:5" ht="12.75">
      <c r="A57" s="2"/>
      <c r="B57" s="3">
        <f>+'Posición Solar'!B30</f>
        <v>12</v>
      </c>
      <c r="C57" s="4">
        <f>+$B$15*($B$17*('Posición Solar'!F30)+SANOS!$B$19*(N24-SANOS!$B$21))</f>
        <v>6897.513795027589</v>
      </c>
      <c r="D57" s="4"/>
      <c r="E57" s="4"/>
    </row>
    <row r="58" spans="1:5" ht="12.75">
      <c r="A58" s="2"/>
      <c r="B58" s="3"/>
      <c r="C58" s="4"/>
      <c r="D58" s="4"/>
      <c r="E58" s="4"/>
    </row>
    <row r="59" spans="1:5" ht="12.75">
      <c r="A59" s="2">
        <f>+'Posición Solar'!A32</f>
        <v>44317</v>
      </c>
      <c r="B59" s="3">
        <f>+'Posición Solar'!B32</f>
        <v>7</v>
      </c>
      <c r="C59" s="4">
        <f>+$B$15*($B$17*('Posición Solar'!F32)+SANOS!$B$19*(N19-SANOS!$B$21))</f>
        <v>11770.723541447082</v>
      </c>
      <c r="D59" s="3">
        <v>1</v>
      </c>
      <c r="E59" s="4">
        <f>+$B$15*(($B$17*('Posición Solar'!F36)+SANOS!$B$19*(N25-SANOS!$B$21)))</f>
        <v>8382.416764833528</v>
      </c>
    </row>
    <row r="60" spans="1:5" ht="12.75">
      <c r="A60" s="2"/>
      <c r="B60" s="3">
        <f>+'Posición Solar'!B33</f>
        <v>8</v>
      </c>
      <c r="C60" s="4">
        <f>+$B$15*($B$17*('Posición Solar'!F33)+SANOS!$B$19*(N20-SANOS!$B$21))</f>
        <v>18680.63736127472</v>
      </c>
      <c r="D60" s="3">
        <v>2</v>
      </c>
      <c r="E60" s="4">
        <f>+$B$15*(($B$17*('Posición Solar'!F35)+SANOS!$B$19*(N26-SANOS!$B$21)))</f>
        <v>14779.279558559114</v>
      </c>
    </row>
    <row r="61" spans="1:5" ht="12.75">
      <c r="A61" s="2"/>
      <c r="B61" s="3">
        <f>+'Posición Solar'!B34</f>
        <v>9</v>
      </c>
      <c r="C61" s="4">
        <f>+$B$15*($B$17*('Posición Solar'!F34)+SANOS!$B$19*(N21-SANOS!$B$21))</f>
        <v>16535.433070866136</v>
      </c>
      <c r="D61" s="3">
        <v>3</v>
      </c>
      <c r="E61" s="76">
        <f>+$B$15*(($B$17*('Posición Solar'!F34)+SANOS!$B$19*($B$20-SANOS!$B$21)))</f>
        <v>19821.439642879282</v>
      </c>
    </row>
    <row r="62" spans="1:5" ht="12.75">
      <c r="A62" s="2"/>
      <c r="B62" s="3">
        <f>+'Posición Solar'!B35</f>
        <v>10</v>
      </c>
      <c r="C62" s="4">
        <f>+$B$15*($B$17*('Posición Solar'!F35)+SANOS!$B$19*(N22-SANOS!$B$21))</f>
        <v>12971.975943951886</v>
      </c>
      <c r="D62" s="3">
        <v>4</v>
      </c>
      <c r="E62" s="4">
        <f>+$B$15*(($B$17*('Posición Solar'!F33)+SANOS!$B$19*(N28-SANOS!$B$21)))</f>
        <v>21227.29245458491</v>
      </c>
    </row>
    <row r="63" spans="1:5" ht="12.75">
      <c r="A63" s="2"/>
      <c r="B63" s="3">
        <f>+'Posición Solar'!B36</f>
        <v>11</v>
      </c>
      <c r="C63" s="4">
        <f>+$B$15*($B$17*('Posición Solar'!F36)+SANOS!$B$19*(N23-SANOS!$B$21))</f>
        <v>5753.611507223013</v>
      </c>
      <c r="D63" s="3">
        <v>5</v>
      </c>
      <c r="E63" s="4">
        <f>+$B$15*(($B$17*('Posición Solar'!F32)+SANOS!$B$19*(N29-SANOS!$B$21)))</f>
        <v>14235.22847045694</v>
      </c>
    </row>
    <row r="64" spans="1:5" ht="12.75">
      <c r="A64" s="2"/>
      <c r="B64" s="3">
        <f>+'Posición Solar'!B37</f>
        <v>12</v>
      </c>
      <c r="C64" s="4">
        <f>+$B$15*($B$17*('Posición Solar'!F37)+SANOS!$B$19*(N24-SANOS!$B$21))</f>
        <v>10171.120342240683</v>
      </c>
      <c r="D64" s="4"/>
      <c r="E64" s="4"/>
    </row>
    <row r="65" spans="1:5" ht="12.75">
      <c r="A65" s="2"/>
      <c r="B65" s="3"/>
      <c r="C65" s="4"/>
      <c r="D65" s="4"/>
      <c r="E65" s="4"/>
    </row>
    <row r="66" spans="1:5" ht="12.75">
      <c r="A66" s="2">
        <f>+'Posición Solar'!A39</f>
        <v>44348</v>
      </c>
      <c r="B66" s="3">
        <f>+'Posición Solar'!B39</f>
        <v>7</v>
      </c>
      <c r="C66" s="4">
        <f>+$B$15*($B$17*('Posición Solar'!F39)+SANOS!$B$19*(N19-SANOS!$B$21))</f>
        <v>10381.920763841526</v>
      </c>
      <c r="D66" s="3">
        <v>1</v>
      </c>
      <c r="E66" s="4">
        <f>+$B$15*(($B$17*('Posición Solar'!F43)+SANOS!$B$19*(N25-SANOS!$B$21)))</f>
        <v>8580.817161634322</v>
      </c>
    </row>
    <row r="67" spans="1:5" ht="12.75">
      <c r="A67" s="2"/>
      <c r="B67" s="3">
        <f>+'Posición Solar'!B40</f>
        <v>8</v>
      </c>
      <c r="C67" s="4">
        <f>+$B$15*($B$17*('Posición Solar'!F40)+SANOS!$B$19*(N20-SANOS!$B$21))</f>
        <v>17986.235972471943</v>
      </c>
      <c r="D67" s="3">
        <v>2</v>
      </c>
      <c r="E67" s="4">
        <f>+$B$15*(($B$17*('Posición Solar'!F42)+SANOS!$B$19*(N26-SANOS!$B$21)))</f>
        <v>14680.079360158717</v>
      </c>
    </row>
    <row r="68" spans="1:5" ht="12.75">
      <c r="A68" s="2"/>
      <c r="B68" s="3">
        <f>+'Posición Solar'!B41</f>
        <v>9</v>
      </c>
      <c r="C68" s="4">
        <f>+$B$15*($B$17*('Posición Solar'!F41)+SANOS!$B$19*(N21-SANOS!$B$21))</f>
        <v>16138.632277264553</v>
      </c>
      <c r="D68" s="3">
        <v>3</v>
      </c>
      <c r="E68" s="76">
        <f>+$B$15*(($B$17*('Posición Solar'!F41)+SANOS!$B$19*($B$20-SANOS!$B$21)))</f>
        <v>19424.638849277697</v>
      </c>
    </row>
    <row r="69" spans="1:5" ht="12.75">
      <c r="A69" s="2"/>
      <c r="B69" s="3">
        <f>+'Posición Solar'!B42</f>
        <v>10</v>
      </c>
      <c r="C69" s="4">
        <f>+$B$15*($B$17*('Posición Solar'!F42)+SANOS!$B$19*(N22-SANOS!$B$21))</f>
        <v>12872.77574555149</v>
      </c>
      <c r="D69" s="3">
        <v>4</v>
      </c>
      <c r="E69" s="4">
        <f>+$B$15*(($B$17*('Posición Solar'!F40)+SANOS!$B$19*(N28-SANOS!$B$21)))</f>
        <v>20532.89106578213</v>
      </c>
    </row>
    <row r="70" spans="1:5" ht="12.75">
      <c r="A70" s="2"/>
      <c r="B70" s="3">
        <f>+'Posición Solar'!B43</f>
        <v>11</v>
      </c>
      <c r="C70" s="4">
        <f>+$B$15*($B$17*('Posición Solar'!F43)+SANOS!$B$19*(N23-SANOS!$B$21))</f>
        <v>5952.011904023807</v>
      </c>
      <c r="D70" s="3">
        <v>5</v>
      </c>
      <c r="E70" s="4">
        <f>+$B$15*(($B$17*('Posición Solar'!F39)+SANOS!$B$19*(N29-SANOS!$B$21)))</f>
        <v>12846.425692851382</v>
      </c>
    </row>
    <row r="71" spans="1:5" ht="12.75">
      <c r="A71" s="2"/>
      <c r="B71" s="3">
        <f>+'Posición Solar'!B44</f>
        <v>12</v>
      </c>
      <c r="C71" s="4">
        <f>+$B$15*($B$17*('Posición Solar'!F44)+SANOS!$B$19*(N24-SANOS!$B$21))</f>
        <v>11659.123318246635</v>
      </c>
      <c r="D71" s="4"/>
      <c r="E71" s="4"/>
    </row>
    <row r="72" spans="1:5" ht="12.75">
      <c r="A72" s="2"/>
      <c r="B72" s="3"/>
      <c r="C72" s="4"/>
      <c r="D72" s="4"/>
      <c r="E72" s="4"/>
    </row>
    <row r="73" spans="1:5" ht="12.75">
      <c r="A73" s="2">
        <f>+'Posición Solar'!A46</f>
        <v>44378</v>
      </c>
      <c r="B73" s="3">
        <f>+'Posición Solar'!B46</f>
        <v>7</v>
      </c>
      <c r="C73" s="4">
        <f>+$B$15*($B$17*('Posición Solar'!F46)+SANOS!$B$19*(N19-SANOS!$B$21))</f>
        <v>9290.718581437162</v>
      </c>
      <c r="D73" s="3">
        <v>1</v>
      </c>
      <c r="E73" s="4">
        <f>+$B$15*(($B$17*('Posición Solar'!F50)+SANOS!$B$19*(N25-SANOS!$B$21)))</f>
        <v>9275.2185504371</v>
      </c>
    </row>
    <row r="74" spans="1:5" ht="12.75">
      <c r="A74" s="2"/>
      <c r="B74" s="3">
        <f>+'Posición Solar'!B47</f>
        <v>8</v>
      </c>
      <c r="C74" s="4">
        <f>+$B$15*($B$17*('Posición Solar'!F47)+SANOS!$B$19*(N20-SANOS!$B$21))</f>
        <v>18283.836567673134</v>
      </c>
      <c r="D74" s="3">
        <v>2</v>
      </c>
      <c r="E74" s="4">
        <f>+$B$15*(($B$17*('Posición Solar'!F49)+SANOS!$B$19*(N26-SANOS!$B$21)))</f>
        <v>15473.680947361892</v>
      </c>
    </row>
    <row r="75" spans="1:5" ht="12.75">
      <c r="A75" s="2"/>
      <c r="B75" s="3">
        <f>+'Posición Solar'!B48</f>
        <v>9</v>
      </c>
      <c r="C75" s="4">
        <f>+$B$15*($B$17*('Posición Solar'!F48)+SANOS!$B$19*(N21-SANOS!$B$21))</f>
        <v>16833.033666067327</v>
      </c>
      <c r="D75" s="3">
        <v>3</v>
      </c>
      <c r="E75" s="76">
        <f>+$B$15*(($B$17*('Posición Solar'!F48)+SANOS!$B$19*($B$20-SANOS!$B$21)))</f>
        <v>20119.040238080474</v>
      </c>
    </row>
    <row r="76" spans="1:5" ht="12.75">
      <c r="A76" s="2"/>
      <c r="B76" s="3">
        <f>+'Posición Solar'!B49</f>
        <v>10</v>
      </c>
      <c r="C76" s="4">
        <f>+$B$15*($B$17*('Posición Solar'!F49)+SANOS!$B$19*(N22-SANOS!$B$21))</f>
        <v>13666.377332754664</v>
      </c>
      <c r="D76" s="3">
        <v>4</v>
      </c>
      <c r="E76" s="4">
        <f>+$B$15*(($B$17*('Posición Solar'!F47)+SANOS!$B$19*(N28-SANOS!$B$21)))</f>
        <v>20830.49166098332</v>
      </c>
    </row>
    <row r="77" spans="1:5" ht="12.75">
      <c r="A77" s="2"/>
      <c r="B77" s="3">
        <f>+'Posición Solar'!B50</f>
        <v>11</v>
      </c>
      <c r="C77" s="4">
        <f>+$B$15*($B$17*('Posición Solar'!F50)+SANOS!$B$19*(N23-SANOS!$B$21))</f>
        <v>6646.413292826585</v>
      </c>
      <c r="D77" s="3">
        <v>5</v>
      </c>
      <c r="E77" s="4">
        <f>+$B$15*(($B$17*('Posición Solar'!F46)+SANOS!$B$19*(N29-SANOS!$B$21)))</f>
        <v>11755.22351044702</v>
      </c>
    </row>
    <row r="78" spans="1:5" ht="12.75">
      <c r="A78" s="2"/>
      <c r="B78" s="3">
        <f>+'Posición Solar'!B51</f>
        <v>12</v>
      </c>
      <c r="C78" s="4">
        <f>+$B$15*($B$17*('Posición Solar'!F51)+SANOS!$B$19*(N24-SANOS!$B$21))</f>
        <v>10567.92113584227</v>
      </c>
      <c r="D78" s="4"/>
      <c r="E78" s="4"/>
    </row>
    <row r="79" spans="1:5" ht="12.75">
      <c r="A79" s="2"/>
      <c r="B79" s="3"/>
      <c r="C79" s="4"/>
      <c r="D79" s="4"/>
      <c r="E79" s="4"/>
    </row>
    <row r="80" spans="1:5" ht="12.75">
      <c r="A80" s="2">
        <f>+'Posición Solar'!A53</f>
        <v>44409</v>
      </c>
      <c r="B80" s="3">
        <f>+'Posición Solar'!B53</f>
        <v>7</v>
      </c>
      <c r="C80" s="4">
        <f>+$B$15*($B$17*('Posición Solar'!F53)+SANOS!$B$19*(N19-SANOS!$B$21))</f>
        <v>9985.119970239939</v>
      </c>
      <c r="D80" s="3">
        <v>1</v>
      </c>
      <c r="E80" s="4">
        <f>+$B$15*(($B$17*('Posición Solar'!F57)+SANOS!$B$19*(N25-SANOS!$B$21)))</f>
        <v>9473.618947237894</v>
      </c>
    </row>
    <row r="81" spans="1:5" ht="12.75">
      <c r="A81" s="2"/>
      <c r="B81" s="3">
        <f>+'Posición Solar'!B54</f>
        <v>8</v>
      </c>
      <c r="C81" s="4">
        <f>+$B$15*($B$17*('Posición Solar'!F54)+SANOS!$B$19*(N20-SANOS!$B$21))</f>
        <v>19573.439146878292</v>
      </c>
      <c r="D81" s="3">
        <v>2</v>
      </c>
      <c r="E81" s="4">
        <f>+$B$15*(($B$17*('Posición Solar'!F56)+SANOS!$B$19*(N26-SANOS!$B$21)))</f>
        <v>16267.282534565067</v>
      </c>
    </row>
    <row r="82" spans="1:5" ht="12.75">
      <c r="A82" s="2"/>
      <c r="B82" s="3">
        <f>+'Posición Solar'!B55</f>
        <v>9</v>
      </c>
      <c r="C82" s="4">
        <f>+$B$15*($B$17*('Posición Solar'!F55)+SANOS!$B$19*(N21-SANOS!$B$21))</f>
        <v>18221.836443672884</v>
      </c>
      <c r="D82" s="3">
        <v>3</v>
      </c>
      <c r="E82" s="76">
        <f>+$B$15*(($B$17*('Posición Solar'!F55)+SANOS!$B$19*($B$20-SANOS!$B$21)))</f>
        <v>21507.84301568603</v>
      </c>
    </row>
    <row r="83" spans="1:5" ht="12.75">
      <c r="A83" s="2"/>
      <c r="B83" s="3">
        <f>+'Posición Solar'!B56</f>
        <v>10</v>
      </c>
      <c r="C83" s="4">
        <f>+$B$15*($B$17*('Posición Solar'!F56)+SANOS!$B$19*(N22-SANOS!$B$21))</f>
        <v>14459.978919957839</v>
      </c>
      <c r="D83" s="3">
        <v>4</v>
      </c>
      <c r="E83" s="4">
        <f>+$B$15*(($B$17*('Posición Solar'!F54)+SANOS!$B$19*(N28-SANOS!$B$21)))</f>
        <v>22120.09424018848</v>
      </c>
    </row>
    <row r="84" spans="1:5" ht="12.75">
      <c r="A84" s="2"/>
      <c r="B84" s="3">
        <f>+'Posición Solar'!B57</f>
        <v>11</v>
      </c>
      <c r="C84" s="4">
        <f>+$B$15*($B$17*('Posición Solar'!F57)+SANOS!$B$19*(N23-SANOS!$B$21))</f>
        <v>6844.813689627379</v>
      </c>
      <c r="D84" s="3">
        <v>5</v>
      </c>
      <c r="E84" s="4">
        <f>+$B$15*(($B$17*('Posición Solar'!F53)+SANOS!$B$19*(N29-SANOS!$B$21)))</f>
        <v>12449.624899249795</v>
      </c>
    </row>
    <row r="85" spans="1:5" ht="12.75">
      <c r="A85" s="2"/>
      <c r="B85" s="3">
        <f>+'Posición Solar'!B58</f>
        <v>12</v>
      </c>
      <c r="C85" s="4">
        <f>+$B$15*($B$17*('Posición Solar'!F58)+SANOS!$B$19*(N24-SANOS!$B$21))</f>
        <v>7095.914191828383</v>
      </c>
      <c r="D85" s="4"/>
      <c r="E85" s="4"/>
    </row>
    <row r="86" spans="1:5" ht="12.75">
      <c r="A86" s="2"/>
      <c r="B86" s="3"/>
      <c r="C86" s="4"/>
      <c r="D86" s="4"/>
      <c r="E86" s="4"/>
    </row>
    <row r="87" spans="1:5" ht="12.75">
      <c r="A87" s="2">
        <f>+'Posición Solar'!A60</f>
        <v>44440</v>
      </c>
      <c r="B87" s="3">
        <f>+'Posición Solar'!B60</f>
        <v>7</v>
      </c>
      <c r="C87" s="4">
        <f>+$B$15*($B$17*('Posición Solar'!F60)+SANOS!$B$19*(N19-SANOS!$B$21))</f>
        <v>1067.022134044268</v>
      </c>
      <c r="D87" s="3">
        <v>1</v>
      </c>
      <c r="E87" s="4">
        <f>+$B$15*(($B$17*('Posición Solar'!F64)+SANOS!$B$19*(N25-SANOS!$B$21)))</f>
        <v>4216.0084320168635</v>
      </c>
    </row>
    <row r="88" spans="1:5" ht="12.75">
      <c r="A88" s="2"/>
      <c r="B88" s="3">
        <f>+'Posición Solar'!B61</f>
        <v>8</v>
      </c>
      <c r="C88" s="4">
        <f>+$B$15*($B$17*('Posición Solar'!F61)+SANOS!$B$19*(N20-SANOS!$B$21))</f>
        <v>1618.2032364064728</v>
      </c>
      <c r="D88" s="3">
        <v>2</v>
      </c>
      <c r="E88" s="4">
        <f>+$B$15*(($B$17*('Posición Solar'!F63)+SANOS!$B$19*(N26-SANOS!$B$21)))</f>
        <v>4363.2587265174525</v>
      </c>
    </row>
    <row r="89" spans="1:5" ht="12.75">
      <c r="A89" s="2"/>
      <c r="B89" s="3">
        <f>+'Posición Solar'!B62</f>
        <v>9</v>
      </c>
      <c r="C89" s="4">
        <f>+$B$15*($B$17*('Posición Solar'!F62)+SANOS!$B$19*(N21-SANOS!$B$21))</f>
        <v>1159.4023188046374</v>
      </c>
      <c r="D89" s="3">
        <v>3</v>
      </c>
      <c r="E89" s="76">
        <f>+$B$15*(($B$17*('Posición Solar'!F62)+SANOS!$B$19*($B$20-SANOS!$B$21)))</f>
        <v>4445.408890817781</v>
      </c>
    </row>
    <row r="90" spans="1:5" ht="12.75">
      <c r="A90" s="2"/>
      <c r="B90" s="3">
        <f>+'Posición Solar'!B63</f>
        <v>10</v>
      </c>
      <c r="C90" s="4">
        <f>+$B$15*($B$17*('Posición Solar'!F63)+SANOS!$B$19*(N22-SANOS!$B$21))</f>
        <v>2555.955111910224</v>
      </c>
      <c r="D90" s="3">
        <v>4</v>
      </c>
      <c r="E90" s="4">
        <f>+$B$15*(($B$17*('Posición Solar'!F61)+SANOS!$B$19*(N28-SANOS!$B$21)))</f>
        <v>4164.858329716659</v>
      </c>
    </row>
    <row r="91" spans="1:5" ht="12.75">
      <c r="A91" s="2"/>
      <c r="B91" s="3">
        <f>+'Posición Solar'!B64</f>
        <v>11</v>
      </c>
      <c r="C91" s="4">
        <f>+$B$15*($B$17*('Posición Solar'!F64)+SANOS!$B$19*(N23-SANOS!$B$21))</f>
        <v>1587.2031744063486</v>
      </c>
      <c r="D91" s="3">
        <v>5</v>
      </c>
      <c r="E91" s="4">
        <f>+$B$15*(($B$17*('Posición Solar'!F60)+SANOS!$B$19*(N29-SANOS!$B$21)))</f>
        <v>3531.5270630541254</v>
      </c>
    </row>
    <row r="92" spans="1:5" ht="12.75">
      <c r="A92" s="2"/>
      <c r="B92" s="3">
        <f>+'Posición Solar'!B65</f>
        <v>12</v>
      </c>
      <c r="C92" s="4">
        <f>+$B$15*($B$17*('Posición Solar'!F65)+SANOS!$B$19*(N24-SANOS!$B$21))</f>
        <v>3425.5068510137016</v>
      </c>
      <c r="D92" s="4"/>
      <c r="E92" s="4"/>
    </row>
    <row r="93" spans="1:5" ht="12.75">
      <c r="A93" s="2"/>
      <c r="B93" s="3"/>
      <c r="C93" s="4"/>
      <c r="D93" s="4"/>
      <c r="E93" s="4"/>
    </row>
    <row r="94" spans="1:5" ht="12.75">
      <c r="A94" s="2">
        <f>+'Posición Solar'!A67</f>
        <v>44470</v>
      </c>
      <c r="B94" s="3">
        <f>+'Posición Solar'!B67</f>
        <v>7</v>
      </c>
      <c r="C94" s="4">
        <f>+$B$15*($B$17*('Posición Solar'!F67)+SANOS!$B$19*(N19-SANOS!$B$21))</f>
        <v>1116.6222332444663</v>
      </c>
      <c r="D94" s="3">
        <v>1</v>
      </c>
      <c r="E94" s="4">
        <f>+$B$15*(($B$17*('Posición Solar'!F71)+SANOS!$B$19*(N25-SANOS!$B$21)))</f>
        <v>4216.0084320168635</v>
      </c>
    </row>
    <row r="95" spans="1:5" ht="12.75">
      <c r="A95" s="2"/>
      <c r="B95" s="3">
        <f>+'Posición Solar'!B68</f>
        <v>8</v>
      </c>
      <c r="C95" s="4">
        <f>+$B$15*($B$17*('Posición Solar'!F68)+SANOS!$B$19*(N20-SANOS!$B$21))</f>
        <v>1618.2032364064728</v>
      </c>
      <c r="D95" s="3">
        <v>2</v>
      </c>
      <c r="E95" s="4">
        <f>+$B$15*(($B$17*('Posición Solar'!F70)+SANOS!$B$19*(N26-SANOS!$B$21)))</f>
        <v>4462.458924917849</v>
      </c>
    </row>
    <row r="96" spans="1:5" ht="12.75">
      <c r="A96" s="2"/>
      <c r="B96" s="3">
        <f>+'Posición Solar'!B69</f>
        <v>9</v>
      </c>
      <c r="C96" s="4">
        <f>+$B$15*($B$17*('Posición Solar'!F69)+SANOS!$B$19*(N21-SANOS!$B$21))</f>
        <v>1159.4023188046374</v>
      </c>
      <c r="D96" s="3">
        <v>3</v>
      </c>
      <c r="E96" s="76">
        <f>+$B$15*(($B$17*('Posición Solar'!F69)+SANOS!$B$19*($B$20-SANOS!$B$21)))</f>
        <v>4445.408890817781</v>
      </c>
    </row>
    <row r="97" spans="1:5" ht="12.75">
      <c r="A97" s="2"/>
      <c r="B97" s="3">
        <f>+'Posición Solar'!B70</f>
        <v>10</v>
      </c>
      <c r="C97" s="4">
        <f>+$B$15*($B$17*('Posición Solar'!F70)+SANOS!$B$19*(N22-SANOS!$B$21))</f>
        <v>2655.1553103106207</v>
      </c>
      <c r="D97" s="3">
        <v>4</v>
      </c>
      <c r="E97" s="4">
        <f>+$B$15*(($B$17*('Posición Solar'!F68)+SANOS!$B$19*(N28-SANOS!$B$21)))</f>
        <v>4164.858329716659</v>
      </c>
    </row>
    <row r="98" spans="1:5" ht="12.75">
      <c r="A98" s="2"/>
      <c r="B98" s="3">
        <f>+'Posición Solar'!B71</f>
        <v>11</v>
      </c>
      <c r="C98" s="4">
        <f>+$B$15*($B$17*('Posición Solar'!F71)+SANOS!$B$19*(N23-SANOS!$B$21))</f>
        <v>1587.2031744063486</v>
      </c>
      <c r="D98" s="3">
        <v>5</v>
      </c>
      <c r="E98" s="4">
        <f>+$B$15*(($B$17*('Posición Solar'!F67)+SANOS!$B$19*(N29-SANOS!$B$21)))</f>
        <v>3581.1271622543236</v>
      </c>
    </row>
    <row r="99" spans="1:5" ht="12.75">
      <c r="A99" s="2"/>
      <c r="B99" s="3">
        <f>+'Posición Solar'!B72</f>
        <v>12</v>
      </c>
      <c r="C99" s="4">
        <f>+$B$15*($B$17*('Posición Solar'!F72)+SANOS!$B$19*(N24-SANOS!$B$21))</f>
        <v>3723.107446214892</v>
      </c>
      <c r="D99" s="4"/>
      <c r="E99" s="4"/>
    </row>
    <row r="100" spans="1:5" ht="12.75">
      <c r="A100" s="2"/>
      <c r="B100" s="3"/>
      <c r="C100" s="4"/>
      <c r="D100" s="4"/>
      <c r="E100" s="4"/>
    </row>
    <row r="101" spans="1:5" ht="12.75">
      <c r="A101" s="2">
        <f>+'Posición Solar'!A74</f>
        <v>44501</v>
      </c>
      <c r="B101" s="3">
        <f>+'Posición Solar'!B74</f>
        <v>7</v>
      </c>
      <c r="C101" s="4">
        <f>+$B$15*($B$17*('Posición Solar'!F74)+SANOS!$B$19*(N19-SANOS!$B$21))</f>
        <v>1047.1820943641885</v>
      </c>
      <c r="D101" s="3">
        <v>1</v>
      </c>
      <c r="E101" s="4">
        <f>+$B$15*(($B$17*('Posición Solar'!F78)+SANOS!$B$19*(N25-SANOS!$B$21)))</f>
        <v>4216.0084320168635</v>
      </c>
    </row>
    <row r="102" spans="1:5" ht="12.75">
      <c r="A102" s="2"/>
      <c r="B102" s="3">
        <f>+'Posición Solar'!B75</f>
        <v>8</v>
      </c>
      <c r="C102" s="4">
        <f>+$B$15*($B$17*('Posición Solar'!F75)+SANOS!$B$19*(N20-SANOS!$B$21))</f>
        <v>1618.2032364064728</v>
      </c>
      <c r="D102" s="3">
        <v>2</v>
      </c>
      <c r="E102" s="4">
        <f>+$B$15*(($B$17*('Posición Solar'!F77)+SANOS!$B$19*(N26-SANOS!$B$21)))</f>
        <v>4363.2587265174525</v>
      </c>
    </row>
    <row r="103" spans="1:5" ht="12.75">
      <c r="A103" s="2"/>
      <c r="B103" s="3">
        <f>+'Posición Solar'!B76</f>
        <v>9</v>
      </c>
      <c r="C103" s="4">
        <f>+$B$15*($B$17*('Posición Solar'!F76)+SANOS!$B$19*(N21-SANOS!$B$21))</f>
        <v>1159.4023188046374</v>
      </c>
      <c r="D103" s="3">
        <v>3</v>
      </c>
      <c r="E103" s="76">
        <f>+$B$15*(($B$17*('Posición Solar'!F76)+SANOS!$B$19*($B$20-SANOS!$B$21)))</f>
        <v>4445.408890817781</v>
      </c>
    </row>
    <row r="104" spans="1:5" ht="12.75">
      <c r="A104" s="2"/>
      <c r="B104" s="3">
        <f>+'Posición Solar'!B77</f>
        <v>10</v>
      </c>
      <c r="C104" s="4">
        <f>+$B$15*($B$17*('Posición Solar'!F77)+SANOS!$B$19*(N22-SANOS!$B$21))</f>
        <v>2555.955111910224</v>
      </c>
      <c r="D104" s="3">
        <v>4</v>
      </c>
      <c r="E104" s="4">
        <f>+$B$15*(($B$17*('Posición Solar'!F75)+SANOS!$B$19*(N28-SANOS!$B$21)))</f>
        <v>4164.858329716659</v>
      </c>
    </row>
    <row r="105" spans="1:5" ht="12.75">
      <c r="A105" s="2"/>
      <c r="B105" s="3">
        <f>+'Posición Solar'!B78</f>
        <v>11</v>
      </c>
      <c r="C105" s="4">
        <f>+$B$15*($B$17*('Posición Solar'!F78)+SANOS!$B$19*(N23-SANOS!$B$21))</f>
        <v>1587.2031744063486</v>
      </c>
      <c r="D105" s="3">
        <v>5</v>
      </c>
      <c r="E105" s="4">
        <f>+$B$15*(($B$17*('Posición Solar'!F74)+SANOS!$B$19*(N29-SANOS!$B$21)))</f>
        <v>3511.6870233740465</v>
      </c>
    </row>
    <row r="106" spans="1:5" ht="12.75">
      <c r="A106" s="2"/>
      <c r="B106" s="3">
        <f>+'Posición Solar'!B79</f>
        <v>12</v>
      </c>
      <c r="C106" s="4">
        <f>+$B$15*($B$17*('Posición Solar'!F79)+SANOS!$B$19*(N24-SANOS!$B$21))</f>
        <v>3723.107446214892</v>
      </c>
      <c r="D106" s="4"/>
      <c r="E106" s="4"/>
    </row>
    <row r="107" spans="1:5" ht="12.75">
      <c r="A107" s="2"/>
      <c r="B107" s="3"/>
      <c r="C107" s="4"/>
      <c r="D107" s="4"/>
      <c r="E107" s="4"/>
    </row>
    <row r="108" spans="1:5" ht="12.75">
      <c r="A108" s="2">
        <f>+'Posición Solar'!A81</f>
        <v>44531</v>
      </c>
      <c r="B108" s="3">
        <f>+'Posición Solar'!B81</f>
        <v>7</v>
      </c>
      <c r="C108" s="4">
        <f>+$B$15*($B$17*('Posición Solar'!F81)+SANOS!$B$19*(N19-SANOS!$B$21))</f>
        <v>848.7816975633951</v>
      </c>
      <c r="D108" s="3">
        <v>1</v>
      </c>
      <c r="E108" s="4">
        <f>+$B$15*(($B$17*('Posición Solar'!F85)+SANOS!$B$19*(N25-SANOS!$B$21)))</f>
        <v>4216.0084320168635</v>
      </c>
    </row>
    <row r="109" spans="1:5" ht="12.75">
      <c r="A109" s="2"/>
      <c r="B109" s="3">
        <f>+'Posición Solar'!B82</f>
        <v>8</v>
      </c>
      <c r="C109" s="4">
        <f>+$B$15*($B$17*('Posición Solar'!F82)+SANOS!$B$19*(N20-SANOS!$B$21))</f>
        <v>1519.003038006076</v>
      </c>
      <c r="D109" s="3">
        <v>2</v>
      </c>
      <c r="E109" s="4">
        <f>+$B$15*(($B$17*('Posición Solar'!F84)+SANOS!$B$19*(N26-SANOS!$B$21)))</f>
        <v>4363.2587265174525</v>
      </c>
    </row>
    <row r="110" spans="1:5" ht="12.75">
      <c r="A110" s="2"/>
      <c r="B110" s="3">
        <f>+'Posición Solar'!B83</f>
        <v>9</v>
      </c>
      <c r="C110" s="4">
        <f>+$B$15*($B$17*('Posición Solar'!F83)+SANOS!$B$19*(N21-SANOS!$B$21))</f>
        <v>1060.2021204042408</v>
      </c>
      <c r="D110" s="3">
        <v>3</v>
      </c>
      <c r="E110" s="76">
        <f>+$B$15*(($B$17*('Posición Solar'!F83)+SANOS!$B$19*($B$20-SANOS!$B$21)))</f>
        <v>4346.208692417385</v>
      </c>
    </row>
    <row r="111" spans="1:5" ht="12.75">
      <c r="A111" s="2"/>
      <c r="B111" s="3">
        <f>+'Posición Solar'!B84</f>
        <v>10</v>
      </c>
      <c r="C111" s="4">
        <f>+$B$15*($B$17*('Posición Solar'!F84)+SANOS!$B$19*(N22-SANOS!$B$21))</f>
        <v>2555.955111910224</v>
      </c>
      <c r="D111" s="3">
        <v>4</v>
      </c>
      <c r="E111" s="4">
        <f>+$B$15*(($B$17*('Posición Solar'!F82)+SANOS!$B$19*(N28-SANOS!$B$21)))</f>
        <v>4065.658131316262</v>
      </c>
    </row>
    <row r="112" spans="1:5" ht="12.75">
      <c r="A112" s="2"/>
      <c r="B112" s="3">
        <f>+'Posición Solar'!B85</f>
        <v>11</v>
      </c>
      <c r="C112" s="4">
        <f>+$B$15*($B$17*('Posición Solar'!F85)+SANOS!$B$19*(N23-SANOS!$B$21))</f>
        <v>1587.2031744063486</v>
      </c>
      <c r="D112" s="3">
        <v>5</v>
      </c>
      <c r="E112" s="4">
        <f>+$B$15*(($B$17*('Posición Solar'!F81)+SANOS!$B$19*(N29-SANOS!$B$21)))</f>
        <v>3313.2866265732528</v>
      </c>
    </row>
    <row r="113" spans="1:5" ht="12.75">
      <c r="A113" s="2"/>
      <c r="B113" s="3">
        <f>+'Posición Solar'!B86</f>
        <v>12</v>
      </c>
      <c r="C113" s="4">
        <f>+$B$15*($B$17*('Posición Solar'!F86)+SANOS!$B$19*(N24-SANOS!$B$21))</f>
        <v>3723.107446214892</v>
      </c>
      <c r="D113" s="4"/>
      <c r="E113" s="4"/>
    </row>
    <row r="114" spans="1:6" ht="12.75">
      <c r="A114" t="s">
        <v>227</v>
      </c>
      <c r="C114" s="9">
        <f>SUM(C108:C113,C101:C106,C94:C99,C87:C92,C80:C85,C73:C78,C66:C71,C59:C64,C52:C57,C45:C50,C38:C43,C31:C36)</f>
        <v>458556.6371132741</v>
      </c>
      <c r="D114" s="9"/>
      <c r="E114" s="9">
        <f>SUM(E31:E35,E38:E42,E45:E49,E52:E56,E59:E63,E66:E70,E73:E77,E80:E84,E87:E91,E94:E98,E101:E105,E108:E112)</f>
        <v>538406.5968131936</v>
      </c>
      <c r="F114" s="4"/>
    </row>
    <row r="115" spans="3:5" ht="16.5" customHeight="1">
      <c r="C115" s="12"/>
      <c r="D115" s="10">
        <f>+C114+E114</f>
        <v>996963.2339264677</v>
      </c>
      <c r="E115" s="12"/>
    </row>
    <row r="116" spans="1:6" ht="12.75">
      <c r="A116" t="s">
        <v>229</v>
      </c>
      <c r="D116" s="33">
        <f>+(C114+E114)/12</f>
        <v>83080.26949387231</v>
      </c>
      <c r="E116" s="32">
        <f>ROUNDUP(((E33+E40+E47+E54+E61+E68+E75+E82+E89+E96+E103+E110)/12),2)</f>
        <v>11083.56</v>
      </c>
      <c r="F116">
        <f>+E116*12</f>
        <v>133002.72</v>
      </c>
    </row>
    <row r="117" spans="1:4" ht="12.75">
      <c r="A117" t="s">
        <v>228</v>
      </c>
      <c r="D117" s="34">
        <f>+D116/11</f>
        <v>7552.751772170211</v>
      </c>
    </row>
    <row r="119" ht="12.75">
      <c r="D119" s="4"/>
    </row>
    <row r="120" ht="12.75">
      <c r="D120" s="4"/>
    </row>
  </sheetData>
  <mergeCells count="2">
    <mergeCell ref="A29:C29"/>
    <mergeCell ref="F29:H29"/>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66"/>
  <sheetViews>
    <sheetView workbookViewId="0" topLeftCell="A37">
      <selection activeCell="A37" sqref="A37:O66"/>
    </sheetView>
  </sheetViews>
  <sheetFormatPr defaultColWidth="11.421875" defaultRowHeight="12.75"/>
  <cols>
    <col min="1" max="1" width="7.421875" style="0" customWidth="1"/>
    <col min="2" max="2" width="27.00390625" style="0" customWidth="1"/>
    <col min="3" max="3" width="11.28125" style="0" customWidth="1"/>
    <col min="4" max="4" width="12.421875" style="0" customWidth="1"/>
    <col min="5" max="5" width="9.00390625" style="0" customWidth="1"/>
    <col min="6" max="6" width="8.00390625" style="0" customWidth="1"/>
    <col min="7" max="7" width="6.8515625" style="0" customWidth="1"/>
    <col min="8" max="8" width="6.28125" style="0" customWidth="1"/>
    <col min="10" max="10" width="10.140625" style="0" customWidth="1"/>
    <col min="11" max="11" width="2.8515625" style="0" customWidth="1"/>
    <col min="12" max="12" width="3.7109375" style="0" customWidth="1"/>
    <col min="13" max="13" width="4.57421875" style="0" customWidth="1"/>
    <col min="14" max="14" width="3.57421875" style="0" customWidth="1"/>
    <col min="15" max="15" width="6.7109375" style="0" customWidth="1"/>
  </cols>
  <sheetData>
    <row r="1" spans="1:15" ht="13.5" thickBot="1">
      <c r="A1" s="405" t="s">
        <v>124</v>
      </c>
      <c r="B1" s="406"/>
      <c r="C1" s="406"/>
      <c r="D1" s="406"/>
      <c r="E1" s="406"/>
      <c r="F1" s="406"/>
      <c r="G1" s="406"/>
      <c r="H1" s="406"/>
      <c r="I1" s="406"/>
      <c r="J1" s="406"/>
      <c r="K1" s="406"/>
      <c r="L1" s="406"/>
      <c r="M1" s="406"/>
      <c r="N1" s="406"/>
      <c r="O1" s="407"/>
    </row>
    <row r="2" spans="1:15" ht="19.5" customHeight="1">
      <c r="A2" s="114" t="s">
        <v>343</v>
      </c>
      <c r="B2" s="73"/>
      <c r="C2" s="73"/>
      <c r="D2" s="408" t="s">
        <v>125</v>
      </c>
      <c r="E2" s="408"/>
      <c r="F2" s="115" t="s">
        <v>126</v>
      </c>
      <c r="G2" s="115"/>
      <c r="H2" s="73"/>
      <c r="I2" s="73"/>
      <c r="J2" s="73"/>
      <c r="K2" s="73"/>
      <c r="L2" s="73"/>
      <c r="M2" s="73"/>
      <c r="N2" s="73"/>
      <c r="O2" s="109"/>
    </row>
    <row r="3" spans="1:15" ht="19.5" customHeight="1" thickBot="1">
      <c r="A3" s="116" t="s">
        <v>342</v>
      </c>
      <c r="B3" s="105"/>
      <c r="C3" s="117"/>
      <c r="D3" s="117" t="s">
        <v>331</v>
      </c>
      <c r="E3" s="22"/>
      <c r="F3" s="105" t="s">
        <v>344</v>
      </c>
      <c r="G3" s="22"/>
      <c r="H3" s="133"/>
      <c r="I3" s="133"/>
      <c r="J3" s="393" t="s">
        <v>127</v>
      </c>
      <c r="K3" s="393"/>
      <c r="L3" s="22">
        <v>62</v>
      </c>
      <c r="M3" s="118" t="s">
        <v>128</v>
      </c>
      <c r="N3" s="22"/>
      <c r="O3" s="118"/>
    </row>
    <row r="4" spans="1:15" ht="15" customHeight="1">
      <c r="A4" s="112">
        <v>1</v>
      </c>
      <c r="B4" s="30" t="s">
        <v>129</v>
      </c>
      <c r="C4" s="30"/>
      <c r="D4" s="111" t="s">
        <v>326</v>
      </c>
      <c r="E4" s="30"/>
      <c r="F4" s="30"/>
      <c r="G4" s="30"/>
      <c r="H4" s="30"/>
      <c r="I4" s="30"/>
      <c r="J4" s="30"/>
      <c r="K4" s="30"/>
      <c r="L4" s="30"/>
      <c r="M4" s="30"/>
      <c r="N4" s="30"/>
      <c r="O4" s="110"/>
    </row>
    <row r="5" spans="1:15" ht="15" customHeight="1">
      <c r="A5" s="112">
        <v>2</v>
      </c>
      <c r="B5" s="30" t="s">
        <v>130</v>
      </c>
      <c r="C5" s="30">
        <v>9.5</v>
      </c>
      <c r="D5" s="30"/>
      <c r="E5" s="30"/>
      <c r="F5" s="30"/>
      <c r="G5" s="30"/>
      <c r="H5" s="30"/>
      <c r="I5" s="30"/>
      <c r="J5" s="30"/>
      <c r="K5" s="30"/>
      <c r="L5" s="30"/>
      <c r="M5" s="30"/>
      <c r="N5" s="30"/>
      <c r="O5" s="110"/>
    </row>
    <row r="6" spans="1:15" ht="15" customHeight="1">
      <c r="A6" s="112">
        <v>3</v>
      </c>
      <c r="B6" s="30" t="s">
        <v>341</v>
      </c>
      <c r="C6" s="30">
        <v>208.82</v>
      </c>
      <c r="D6" s="30"/>
      <c r="E6" s="30"/>
      <c r="F6" s="30"/>
      <c r="G6" s="30"/>
      <c r="H6" s="30"/>
      <c r="I6" s="30"/>
      <c r="J6" s="30"/>
      <c r="K6" s="30"/>
      <c r="L6" s="30"/>
      <c r="M6" s="30"/>
      <c r="N6" s="30"/>
      <c r="O6" s="110"/>
    </row>
    <row r="7" spans="1:15" ht="15" customHeight="1" thickBot="1">
      <c r="A7" s="112">
        <v>4</v>
      </c>
      <c r="B7" s="30" t="s">
        <v>131</v>
      </c>
      <c r="C7" s="30">
        <v>3.5</v>
      </c>
      <c r="D7" s="30"/>
      <c r="E7" s="30"/>
      <c r="F7" s="30"/>
      <c r="G7" s="30"/>
      <c r="H7" s="30"/>
      <c r="I7" s="30"/>
      <c r="J7" s="30"/>
      <c r="K7" s="30"/>
      <c r="L7" s="30"/>
      <c r="M7" s="30"/>
      <c r="N7" s="30"/>
      <c r="O7" s="110"/>
    </row>
    <row r="8" spans="1:15" ht="32.25" customHeight="1" thickBot="1">
      <c r="A8" s="107"/>
      <c r="B8" s="108"/>
      <c r="C8" s="128" t="s">
        <v>302</v>
      </c>
      <c r="D8" s="129" t="s">
        <v>23</v>
      </c>
      <c r="E8" s="129" t="s">
        <v>303</v>
      </c>
      <c r="F8" s="108" t="s">
        <v>49</v>
      </c>
      <c r="G8" s="107" t="s">
        <v>38</v>
      </c>
      <c r="H8" s="119" t="s">
        <v>332</v>
      </c>
      <c r="I8" s="131" t="s">
        <v>333</v>
      </c>
      <c r="J8" s="130" t="s">
        <v>334</v>
      </c>
      <c r="K8" s="108"/>
      <c r="L8" s="108"/>
      <c r="M8" s="108"/>
      <c r="N8" s="108"/>
      <c r="O8" s="120"/>
    </row>
    <row r="9" spans="1:15" ht="15" customHeight="1">
      <c r="A9" s="121">
        <v>5</v>
      </c>
      <c r="B9" s="122" t="s">
        <v>306</v>
      </c>
      <c r="C9" s="123">
        <f>+SANOS!B16</f>
        <v>97.413389271223</v>
      </c>
      <c r="D9" s="104" t="s">
        <v>22</v>
      </c>
      <c r="E9" s="123">
        <f>+SANOS!B23</f>
        <v>0.2659574468085106</v>
      </c>
      <c r="F9" s="73"/>
      <c r="G9" s="73"/>
      <c r="H9" s="73">
        <f>+SANOS!G39</f>
        <v>6</v>
      </c>
      <c r="I9" s="123">
        <f>+C9*E9*H9</f>
        <v>155.44689777322816</v>
      </c>
      <c r="J9" s="73"/>
      <c r="K9" s="73"/>
      <c r="L9" s="73"/>
      <c r="M9" s="73"/>
      <c r="N9" s="73"/>
      <c r="O9" s="109"/>
    </row>
    <row r="10" spans="1:15" ht="15" customHeight="1">
      <c r="A10" s="112">
        <v>6</v>
      </c>
      <c r="B10" s="106" t="s">
        <v>327</v>
      </c>
      <c r="C10" s="113">
        <f>+SANOS!B15</f>
        <v>155.00031000061998</v>
      </c>
      <c r="D10" s="24" t="s">
        <v>22</v>
      </c>
      <c r="E10" s="30">
        <f>+SANOS!B19</f>
        <v>1.06</v>
      </c>
      <c r="F10" s="30">
        <f>+SANOS!B17</f>
        <v>0.64</v>
      </c>
      <c r="G10" s="113">
        <v>81.9167</v>
      </c>
      <c r="H10" s="30">
        <f>+SANOS!B20-SANOS!B21</f>
        <v>18</v>
      </c>
      <c r="I10" s="113">
        <f>+(C10*(F10*G10+E10*H10))</f>
        <v>11083.558807117613</v>
      </c>
      <c r="J10" s="30"/>
      <c r="K10" s="30"/>
      <c r="L10" s="30"/>
      <c r="M10" s="30"/>
      <c r="N10" s="30"/>
      <c r="O10" s="110"/>
    </row>
    <row r="11" spans="1:15" ht="15" customHeight="1">
      <c r="A11" s="112">
        <v>7</v>
      </c>
      <c r="B11" s="30" t="s">
        <v>53</v>
      </c>
      <c r="C11" s="113">
        <f>+calculos!E14+calculos!E16</f>
        <v>489.75792396029243</v>
      </c>
      <c r="D11" s="24"/>
      <c r="E11" s="113">
        <f>+SANOS!B24</f>
        <v>0.42372881355932196</v>
      </c>
      <c r="F11" s="30"/>
      <c r="G11" s="30"/>
      <c r="H11" s="30">
        <f>+SANOS!I31</f>
        <v>18</v>
      </c>
      <c r="I11" s="113">
        <f>+C11*E11*H11</f>
        <v>3735.4417929174842</v>
      </c>
      <c r="J11" s="30"/>
      <c r="K11" s="30"/>
      <c r="L11" s="30"/>
      <c r="M11" s="30"/>
      <c r="N11" s="30"/>
      <c r="O11" s="110"/>
    </row>
    <row r="12" spans="1:15" ht="15" customHeight="1">
      <c r="A12" s="112">
        <v>8</v>
      </c>
      <c r="B12" s="30" t="s">
        <v>267</v>
      </c>
      <c r="C12" s="113">
        <f>+SANOS!B26</f>
        <v>208.81986208416862</v>
      </c>
      <c r="D12" s="24"/>
      <c r="E12" s="113">
        <f>+SANOS!J24</f>
        <v>0.26455026455026454</v>
      </c>
      <c r="F12" s="30"/>
      <c r="G12" s="30"/>
      <c r="H12" s="30">
        <f>+SANOS!I42</f>
        <v>18</v>
      </c>
      <c r="I12" s="113">
        <f>+C12*E12*H12</f>
        <v>994.3802956388981</v>
      </c>
      <c r="J12" s="30"/>
      <c r="K12" s="30"/>
      <c r="L12" s="30"/>
      <c r="M12" s="30"/>
      <c r="N12" s="30"/>
      <c r="O12" s="110"/>
    </row>
    <row r="13" spans="1:15" ht="15" customHeight="1">
      <c r="A13" s="112">
        <v>9</v>
      </c>
      <c r="B13" s="30" t="s">
        <v>55</v>
      </c>
      <c r="C13" s="113">
        <f>+SANOS!B26</f>
        <v>208.81986208416862</v>
      </c>
      <c r="D13" s="30"/>
      <c r="E13" s="113">
        <f>+SANOS!J17</f>
        <v>0.27027027027027023</v>
      </c>
      <c r="F13" s="30"/>
      <c r="G13" s="30"/>
      <c r="H13" s="30">
        <f>+SANOS!I39</f>
        <v>18</v>
      </c>
      <c r="I13" s="113">
        <f>+C13*E13*H13</f>
        <v>1015.8804101391986</v>
      </c>
      <c r="J13" s="30"/>
      <c r="K13" s="30"/>
      <c r="L13" s="113"/>
      <c r="M13" s="30"/>
      <c r="N13" s="30"/>
      <c r="O13" s="110"/>
    </row>
    <row r="14" spans="1:15" ht="15" customHeight="1" thickBot="1">
      <c r="A14" s="124">
        <v>10</v>
      </c>
      <c r="B14" s="22" t="s">
        <v>54</v>
      </c>
      <c r="C14" s="125">
        <f>+calculos!E21</f>
        <v>27.98616708344528</v>
      </c>
      <c r="D14" s="22"/>
      <c r="E14" s="125">
        <f>+SANOS!B25</f>
        <v>0.48</v>
      </c>
      <c r="F14" s="22"/>
      <c r="G14" s="30"/>
      <c r="H14" s="30">
        <f>+SANOS!I35</f>
        <v>18</v>
      </c>
      <c r="I14" s="113">
        <f>+C14*E14*H14</f>
        <v>241.8004836009672</v>
      </c>
      <c r="J14" s="30"/>
      <c r="K14" s="30"/>
      <c r="L14" s="113"/>
      <c r="M14" s="30"/>
      <c r="N14" s="30"/>
      <c r="O14" s="110"/>
    </row>
    <row r="15" spans="1:16" ht="14.25" customHeight="1">
      <c r="A15" s="121"/>
      <c r="B15" s="73"/>
      <c r="C15" s="126" t="s">
        <v>330</v>
      </c>
      <c r="D15" s="73"/>
      <c r="E15" s="399" t="s">
        <v>335</v>
      </c>
      <c r="F15" s="400"/>
      <c r="G15" s="30"/>
      <c r="H15" s="30"/>
      <c r="I15" s="30"/>
      <c r="J15" s="30"/>
      <c r="K15" s="30"/>
      <c r="L15" s="30"/>
      <c r="M15" s="30"/>
      <c r="N15" s="30"/>
      <c r="O15" s="110"/>
      <c r="P15" s="112"/>
    </row>
    <row r="16" spans="1:16" ht="14.25" customHeight="1" thickBot="1">
      <c r="A16" s="124"/>
      <c r="B16" s="22"/>
      <c r="C16" s="127"/>
      <c r="D16" s="22"/>
      <c r="E16" s="124" t="s">
        <v>60</v>
      </c>
      <c r="F16" s="132" t="s">
        <v>61</v>
      </c>
      <c r="G16" s="30"/>
      <c r="H16" s="30"/>
      <c r="I16" s="30"/>
      <c r="J16" s="30"/>
      <c r="K16" s="30"/>
      <c r="L16" s="30"/>
      <c r="M16" s="30"/>
      <c r="N16" s="30"/>
      <c r="O16" s="110"/>
      <c r="P16" s="112"/>
    </row>
    <row r="17" spans="1:15" ht="12.75">
      <c r="A17" s="112">
        <v>11</v>
      </c>
      <c r="B17" s="30" t="s">
        <v>134</v>
      </c>
      <c r="C17" s="30">
        <v>3</v>
      </c>
      <c r="D17" s="30"/>
      <c r="E17" s="30">
        <v>245</v>
      </c>
      <c r="F17" s="30">
        <v>205</v>
      </c>
      <c r="G17" s="30"/>
      <c r="H17" s="30"/>
      <c r="I17" s="30">
        <f>+E17*C17</f>
        <v>735</v>
      </c>
      <c r="J17" s="30">
        <f>+F17*C17</f>
        <v>615</v>
      </c>
      <c r="K17" s="30"/>
      <c r="L17" s="30"/>
      <c r="M17" s="30"/>
      <c r="N17" s="30"/>
      <c r="O17" s="110"/>
    </row>
    <row r="18" spans="1:15" ht="12.75">
      <c r="A18" s="112">
        <v>12</v>
      </c>
      <c r="B18" s="30" t="s">
        <v>135</v>
      </c>
      <c r="C18" s="30">
        <v>1</v>
      </c>
      <c r="D18" s="30"/>
      <c r="E18" s="30">
        <v>2700</v>
      </c>
      <c r="F18" s="30">
        <v>2400</v>
      </c>
      <c r="G18" s="30"/>
      <c r="H18" s="30"/>
      <c r="I18" s="30">
        <f>+E18*C18</f>
        <v>2700</v>
      </c>
      <c r="J18" s="30">
        <f>+F18*C18</f>
        <v>2400</v>
      </c>
      <c r="K18" s="30"/>
      <c r="L18" s="30"/>
      <c r="M18" s="30"/>
      <c r="N18" s="30"/>
      <c r="O18" s="110"/>
    </row>
    <row r="19" spans="1:15" ht="12.75">
      <c r="A19" s="112">
        <v>13</v>
      </c>
      <c r="B19" s="30" t="s">
        <v>336</v>
      </c>
      <c r="C19" s="30">
        <v>600</v>
      </c>
      <c r="D19" s="30"/>
      <c r="E19" s="30">
        <f>3.413*1.25</f>
        <v>4.266249999999999</v>
      </c>
      <c r="F19" s="30">
        <v>0</v>
      </c>
      <c r="G19" s="30"/>
      <c r="H19" s="30"/>
      <c r="I19" s="30">
        <f>+E19*C19</f>
        <v>2559.7499999999995</v>
      </c>
      <c r="J19" s="30"/>
      <c r="K19" s="30"/>
      <c r="L19" s="30"/>
      <c r="M19" s="30"/>
      <c r="N19" s="30"/>
      <c r="O19" s="110"/>
    </row>
    <row r="20" spans="1:15" ht="12.75">
      <c r="A20" s="112">
        <v>14</v>
      </c>
      <c r="B20" s="30" t="s">
        <v>136</v>
      </c>
      <c r="C20" s="30"/>
      <c r="D20" s="30"/>
      <c r="E20" s="30"/>
      <c r="F20" s="30"/>
      <c r="G20" s="30"/>
      <c r="H20" s="30"/>
      <c r="I20" s="30"/>
      <c r="J20" s="30"/>
      <c r="K20" s="30"/>
      <c r="L20" s="30"/>
      <c r="M20" s="30"/>
      <c r="N20" s="30"/>
      <c r="O20" s="110"/>
    </row>
    <row r="21" spans="1:15" ht="12.75">
      <c r="A21" s="112"/>
      <c r="B21" s="30"/>
      <c r="C21" s="30"/>
      <c r="D21" s="30"/>
      <c r="E21" s="30"/>
      <c r="F21" s="30"/>
      <c r="G21" s="30"/>
      <c r="H21" s="30"/>
      <c r="I21" s="30"/>
      <c r="J21" s="30"/>
      <c r="K21" s="30"/>
      <c r="L21" s="30"/>
      <c r="M21" s="30"/>
      <c r="N21" s="30"/>
      <c r="O21" s="110"/>
    </row>
    <row r="22" spans="1:15" ht="12.75">
      <c r="A22" s="112"/>
      <c r="B22" s="30"/>
      <c r="C22" s="30"/>
      <c r="D22" s="30"/>
      <c r="E22" s="30"/>
      <c r="F22" s="30"/>
      <c r="G22" s="30"/>
      <c r="H22" s="30"/>
      <c r="I22" s="30"/>
      <c r="J22" s="30"/>
      <c r="K22" s="30"/>
      <c r="L22" s="30"/>
      <c r="M22" s="30"/>
      <c r="N22" s="30"/>
      <c r="O22" s="110"/>
    </row>
    <row r="23" spans="1:15" ht="12.75">
      <c r="A23" s="112"/>
      <c r="B23" s="30"/>
      <c r="C23" s="30"/>
      <c r="D23" s="30"/>
      <c r="E23" s="30"/>
      <c r="F23" s="30"/>
      <c r="G23" s="30"/>
      <c r="H23" s="30"/>
      <c r="I23" s="30"/>
      <c r="J23" s="30"/>
      <c r="K23" s="30"/>
      <c r="L23" s="30"/>
      <c r="M23" s="30"/>
      <c r="N23" s="30"/>
      <c r="O23" s="110"/>
    </row>
    <row r="24" spans="1:15" ht="12.75">
      <c r="A24" s="112"/>
      <c r="B24" s="30" t="s">
        <v>337</v>
      </c>
      <c r="C24" s="30"/>
      <c r="D24" s="30"/>
      <c r="E24" s="30"/>
      <c r="F24" s="30"/>
      <c r="G24" s="30"/>
      <c r="H24" s="30"/>
      <c r="I24" s="113">
        <f>SUM(I9:I14,I17:I19)</f>
        <v>23221.25868718739</v>
      </c>
      <c r="J24" s="30">
        <f>SUM(J17:J18)</f>
        <v>3015</v>
      </c>
      <c r="K24" s="30"/>
      <c r="L24" s="30"/>
      <c r="M24" s="30"/>
      <c r="N24" s="30"/>
      <c r="O24" s="110"/>
    </row>
    <row r="25" spans="1:15" ht="12.75">
      <c r="A25" s="112"/>
      <c r="B25" s="30"/>
      <c r="C25" s="30"/>
      <c r="D25" s="30"/>
      <c r="E25" s="30"/>
      <c r="F25" s="30"/>
      <c r="G25" s="30"/>
      <c r="H25" s="30"/>
      <c r="I25" s="30"/>
      <c r="J25" s="30"/>
      <c r="K25" s="30"/>
      <c r="L25" s="30"/>
      <c r="M25" s="30"/>
      <c r="N25" s="30"/>
      <c r="O25" s="110"/>
    </row>
    <row r="26" spans="1:15" ht="12.75">
      <c r="A26" s="112"/>
      <c r="B26" s="30" t="s">
        <v>136</v>
      </c>
      <c r="C26" s="30"/>
      <c r="D26" s="30"/>
      <c r="E26" s="30"/>
      <c r="F26" s="30"/>
      <c r="G26" s="30"/>
      <c r="H26" s="30"/>
      <c r="I26" s="30">
        <f>+calculos!F27</f>
        <v>144</v>
      </c>
      <c r="J26" s="30"/>
      <c r="K26" s="30"/>
      <c r="L26" s="30"/>
      <c r="M26" s="30"/>
      <c r="N26" s="30"/>
      <c r="O26" s="110"/>
    </row>
    <row r="27" spans="1:15" ht="12.75">
      <c r="A27" s="112"/>
      <c r="B27" s="30" t="s">
        <v>338</v>
      </c>
      <c r="C27" s="30"/>
      <c r="D27" s="30"/>
      <c r="E27" s="30"/>
      <c r="F27" s="30"/>
      <c r="G27" s="30"/>
      <c r="H27" s="30"/>
      <c r="I27" s="30"/>
      <c r="J27" s="113">
        <f>+calculos!H31+calculos!H35</f>
        <v>7200.720000000001</v>
      </c>
      <c r="K27" s="30"/>
      <c r="L27" s="30"/>
      <c r="M27" s="30"/>
      <c r="N27" s="30"/>
      <c r="O27" s="110"/>
    </row>
    <row r="28" spans="1:15" ht="12.75">
      <c r="A28" s="112"/>
      <c r="B28" s="30" t="s">
        <v>339</v>
      </c>
      <c r="C28" s="30"/>
      <c r="D28" s="30"/>
      <c r="E28" s="30"/>
      <c r="F28" s="30"/>
      <c r="G28" s="30"/>
      <c r="H28" s="30"/>
      <c r="I28" s="113">
        <f>+calculos!H30+calculos!H34</f>
        <v>2799.36</v>
      </c>
      <c r="J28" s="30"/>
      <c r="K28" s="30"/>
      <c r="L28" s="30"/>
      <c r="M28" s="30"/>
      <c r="N28" s="30"/>
      <c r="O28" s="110"/>
    </row>
    <row r="29" spans="1:15" ht="13.5" thickBot="1">
      <c r="A29" s="112"/>
      <c r="B29" s="30"/>
      <c r="C29" s="30"/>
      <c r="D29" s="30"/>
      <c r="E29" s="30"/>
      <c r="F29" s="30"/>
      <c r="G29" s="30"/>
      <c r="H29" s="30"/>
      <c r="I29" s="30"/>
      <c r="J29" s="30"/>
      <c r="K29" s="30"/>
      <c r="L29" s="30"/>
      <c r="M29" s="30"/>
      <c r="N29" s="30"/>
      <c r="O29" s="110"/>
    </row>
    <row r="30" spans="1:15" ht="13.5" thickBot="1">
      <c r="A30" s="398" t="s">
        <v>340</v>
      </c>
      <c r="B30" s="353"/>
      <c r="C30" s="108"/>
      <c r="D30" s="108"/>
      <c r="E30" s="108"/>
      <c r="F30" s="108"/>
      <c r="G30" s="108"/>
      <c r="H30" s="108"/>
      <c r="I30" s="108"/>
      <c r="J30" s="108"/>
      <c r="K30" s="395">
        <f>+I24+J27+I28+J24</f>
        <v>36236.33868718739</v>
      </c>
      <c r="L30" s="396"/>
      <c r="M30" s="396"/>
      <c r="N30" s="396"/>
      <c r="O30" s="397"/>
    </row>
    <row r="36" ht="13.5" thickBot="1"/>
    <row r="37" spans="1:15" ht="17.25" customHeight="1" thickBot="1">
      <c r="A37" s="405" t="s">
        <v>124</v>
      </c>
      <c r="B37" s="406"/>
      <c r="C37" s="406"/>
      <c r="D37" s="406"/>
      <c r="E37" s="406"/>
      <c r="F37" s="406"/>
      <c r="G37" s="406"/>
      <c r="H37" s="406"/>
      <c r="I37" s="406"/>
      <c r="J37" s="406"/>
      <c r="K37" s="406"/>
      <c r="L37" s="406"/>
      <c r="M37" s="406"/>
      <c r="N37" s="406"/>
      <c r="O37" s="407"/>
    </row>
    <row r="38" spans="1:15" ht="20.25" customHeight="1">
      <c r="A38" s="114" t="s">
        <v>348</v>
      </c>
      <c r="B38" s="73"/>
      <c r="C38" s="73"/>
      <c r="D38" s="408" t="s">
        <v>125</v>
      </c>
      <c r="E38" s="408"/>
      <c r="F38" s="115" t="s">
        <v>126</v>
      </c>
      <c r="G38" s="115"/>
      <c r="H38" s="73"/>
      <c r="I38" s="73"/>
      <c r="J38" s="73"/>
      <c r="K38" s="73"/>
      <c r="L38" s="73"/>
      <c r="M38" s="73"/>
      <c r="N38" s="73"/>
      <c r="O38" s="109"/>
    </row>
    <row r="39" spans="1:15" ht="20.25" customHeight="1" thickBot="1">
      <c r="A39" s="116" t="s">
        <v>342</v>
      </c>
      <c r="B39" s="105"/>
      <c r="C39" s="117"/>
      <c r="D39" s="117" t="s">
        <v>331</v>
      </c>
      <c r="E39" s="22"/>
      <c r="F39" s="105" t="s">
        <v>344</v>
      </c>
      <c r="G39" s="22"/>
      <c r="H39" s="133"/>
      <c r="I39" s="133"/>
      <c r="J39" s="393" t="s">
        <v>127</v>
      </c>
      <c r="K39" s="393"/>
      <c r="L39" s="22">
        <v>62</v>
      </c>
      <c r="M39" s="118" t="s">
        <v>128</v>
      </c>
      <c r="N39" s="22"/>
      <c r="O39" s="118"/>
    </row>
    <row r="40" spans="1:15" ht="12.75">
      <c r="A40" s="112">
        <v>1</v>
      </c>
      <c r="B40" s="30" t="s">
        <v>129</v>
      </c>
      <c r="C40" s="30" t="s">
        <v>345</v>
      </c>
      <c r="D40" s="30"/>
      <c r="E40" s="30"/>
      <c r="F40" s="30"/>
      <c r="G40" s="30"/>
      <c r="H40" s="30"/>
      <c r="I40" s="30"/>
      <c r="J40" s="30"/>
      <c r="K40" s="30"/>
      <c r="L40" s="30"/>
      <c r="M40" s="30"/>
      <c r="N40" s="30"/>
      <c r="O40" s="110"/>
    </row>
    <row r="41" spans="1:15" ht="12.75">
      <c r="A41" s="112">
        <v>2</v>
      </c>
      <c r="B41" s="30" t="s">
        <v>130</v>
      </c>
      <c r="C41" s="30"/>
      <c r="D41" s="30"/>
      <c r="E41" s="30"/>
      <c r="F41" s="30"/>
      <c r="G41" s="30"/>
      <c r="H41" s="30"/>
      <c r="I41" s="30"/>
      <c r="J41" s="30"/>
      <c r="K41" s="30"/>
      <c r="L41" s="30"/>
      <c r="M41" s="30"/>
      <c r="N41" s="30"/>
      <c r="O41" s="110"/>
    </row>
    <row r="42" spans="1:15" ht="12.75">
      <c r="A42" s="112">
        <v>3</v>
      </c>
      <c r="B42" s="30" t="s">
        <v>341</v>
      </c>
      <c r="C42" s="30"/>
      <c r="D42" s="30"/>
      <c r="E42" s="30"/>
      <c r="F42" s="30"/>
      <c r="G42" s="30"/>
      <c r="H42" s="30"/>
      <c r="I42" s="30"/>
      <c r="J42" s="30"/>
      <c r="K42" s="30"/>
      <c r="L42" s="30"/>
      <c r="M42" s="30"/>
      <c r="N42" s="30"/>
      <c r="O42" s="110"/>
    </row>
    <row r="43" spans="1:15" ht="13.5" thickBot="1">
      <c r="A43" s="112">
        <v>4</v>
      </c>
      <c r="B43" s="30" t="s">
        <v>131</v>
      </c>
      <c r="C43" s="30"/>
      <c r="D43" s="30"/>
      <c r="E43" s="30"/>
      <c r="F43" s="30"/>
      <c r="G43" s="30"/>
      <c r="H43" s="30"/>
      <c r="I43" s="30"/>
      <c r="J43" s="30"/>
      <c r="K43" s="30"/>
      <c r="L43" s="30"/>
      <c r="M43" s="30"/>
      <c r="N43" s="30"/>
      <c r="O43" s="110"/>
    </row>
    <row r="44" spans="1:15" ht="26.25" thickBot="1">
      <c r="A44" s="107"/>
      <c r="B44" s="108"/>
      <c r="C44" s="128" t="s">
        <v>302</v>
      </c>
      <c r="D44" s="129" t="s">
        <v>23</v>
      </c>
      <c r="E44" s="129" t="s">
        <v>303</v>
      </c>
      <c r="F44" s="108" t="s">
        <v>49</v>
      </c>
      <c r="G44" s="107" t="s">
        <v>38</v>
      </c>
      <c r="H44" s="119" t="s">
        <v>332</v>
      </c>
      <c r="I44" s="131" t="s">
        <v>333</v>
      </c>
      <c r="J44" s="130" t="s">
        <v>334</v>
      </c>
      <c r="K44" s="108"/>
      <c r="L44" s="108"/>
      <c r="M44" s="108"/>
      <c r="N44" s="108"/>
      <c r="O44" s="120"/>
    </row>
    <row r="45" spans="1:15" ht="12.75">
      <c r="A45" s="121">
        <v>5</v>
      </c>
      <c r="B45" s="122" t="s">
        <v>306</v>
      </c>
      <c r="C45" s="30">
        <v>0</v>
      </c>
      <c r="D45" s="30"/>
      <c r="E45" s="30"/>
      <c r="F45" s="30"/>
      <c r="G45" s="30"/>
      <c r="H45" s="30"/>
      <c r="I45" s="30"/>
      <c r="J45" s="30"/>
      <c r="K45" s="30"/>
      <c r="L45" s="30"/>
      <c r="M45" s="30"/>
      <c r="N45" s="30"/>
      <c r="O45" s="110"/>
    </row>
    <row r="46" spans="1:15" ht="12.75">
      <c r="A46" s="112">
        <v>6</v>
      </c>
      <c r="B46" s="106" t="s">
        <v>347</v>
      </c>
      <c r="C46" s="113">
        <f>+'NO SANOS'!D3</f>
        <v>55.22</v>
      </c>
      <c r="D46" s="30"/>
      <c r="E46" s="30">
        <f>+'NO SANOS'!F20</f>
        <v>0.73</v>
      </c>
      <c r="F46" s="30"/>
      <c r="G46" s="30"/>
      <c r="H46" s="30">
        <f>+'NO SANOS'!M28</f>
        <v>18</v>
      </c>
      <c r="I46" s="113">
        <f>ROUNDUP(H46*E46*C46,2)</f>
        <v>725.6</v>
      </c>
      <c r="J46" s="30"/>
      <c r="K46" s="30"/>
      <c r="L46" s="30"/>
      <c r="M46" s="30"/>
      <c r="N46" s="30"/>
      <c r="O46" s="110"/>
    </row>
    <row r="47" spans="1:15" ht="12.75">
      <c r="A47" s="112">
        <v>7</v>
      </c>
      <c r="B47" s="30" t="s">
        <v>53</v>
      </c>
      <c r="C47" s="113">
        <f>+'NO SANOS'!D4+'NO SANOS'!D7</f>
        <v>766.34</v>
      </c>
      <c r="D47" s="30"/>
      <c r="E47" s="30">
        <v>0.42</v>
      </c>
      <c r="F47" s="30"/>
      <c r="G47" s="30"/>
      <c r="H47" s="30">
        <f>+'NO SANOS'!M24</f>
        <v>18</v>
      </c>
      <c r="I47" s="113">
        <f>+'NO SANOS'!O32</f>
        <v>5844.9800000000005</v>
      </c>
      <c r="J47" s="30"/>
      <c r="K47" s="30"/>
      <c r="L47" s="30"/>
      <c r="M47" s="30"/>
      <c r="N47" s="30"/>
      <c r="O47" s="110"/>
    </row>
    <row r="48" spans="1:15" ht="12.75">
      <c r="A48" s="112">
        <v>8</v>
      </c>
      <c r="B48" s="30" t="s">
        <v>267</v>
      </c>
      <c r="C48" s="113">
        <f>+'NO SANOS'!D6</f>
        <v>332.5</v>
      </c>
      <c r="D48" s="30"/>
      <c r="E48" s="30">
        <v>0.26</v>
      </c>
      <c r="F48" s="30"/>
      <c r="G48" s="30"/>
      <c r="H48" s="30">
        <f>+'NO SANOS'!M37</f>
        <v>18</v>
      </c>
      <c r="I48" s="113">
        <f>+'NO SANOS'!F8</f>
        <v>1583.3333333333333</v>
      </c>
      <c r="J48" s="30"/>
      <c r="K48" s="30"/>
      <c r="L48" s="30"/>
      <c r="M48" s="30"/>
      <c r="N48" s="30"/>
      <c r="O48" s="110"/>
    </row>
    <row r="49" spans="1:15" ht="12.75">
      <c r="A49" s="112">
        <v>9</v>
      </c>
      <c r="B49" s="30" t="s">
        <v>55</v>
      </c>
      <c r="C49" s="113">
        <f>+'NO SANOS'!D6</f>
        <v>332.5</v>
      </c>
      <c r="D49" s="30"/>
      <c r="E49" s="30">
        <v>0.27</v>
      </c>
      <c r="F49" s="30"/>
      <c r="G49" s="30"/>
      <c r="H49" s="30">
        <f>+'NO SANOS'!M45</f>
        <v>18</v>
      </c>
      <c r="I49" s="113">
        <f>+'NO SANOS'!F7</f>
        <v>1617.57</v>
      </c>
      <c r="J49" s="30"/>
      <c r="K49" s="30"/>
      <c r="L49" s="30"/>
      <c r="M49" s="30"/>
      <c r="N49" s="30"/>
      <c r="O49" s="110"/>
    </row>
    <row r="50" spans="1:15" ht="13.5" thickBot="1">
      <c r="A50" s="124">
        <v>10</v>
      </c>
      <c r="B50" s="22" t="s">
        <v>54</v>
      </c>
      <c r="C50" s="113">
        <f>+'NO SANOS'!D5</f>
        <v>77.94000000000001</v>
      </c>
      <c r="D50" s="30"/>
      <c r="E50" s="30">
        <v>0.48</v>
      </c>
      <c r="F50" s="30"/>
      <c r="G50" s="30"/>
      <c r="H50" s="30">
        <f>+'NO SANOS'!M37</f>
        <v>18</v>
      </c>
      <c r="I50" s="113">
        <f>+H50*E50*C50</f>
        <v>673.4016000000001</v>
      </c>
      <c r="J50" s="30"/>
      <c r="K50" s="30"/>
      <c r="L50" s="30"/>
      <c r="M50" s="30"/>
      <c r="N50" s="30"/>
      <c r="O50" s="110"/>
    </row>
    <row r="51" spans="1:15" ht="12.75">
      <c r="A51" s="121"/>
      <c r="B51" s="73"/>
      <c r="C51" s="126" t="s">
        <v>330</v>
      </c>
      <c r="D51" s="401" t="s">
        <v>346</v>
      </c>
      <c r="E51" s="399" t="s">
        <v>335</v>
      </c>
      <c r="F51" s="400"/>
      <c r="G51" s="30"/>
      <c r="H51" s="30"/>
      <c r="I51" s="113"/>
      <c r="J51" s="30"/>
      <c r="K51" s="30"/>
      <c r="L51" s="30"/>
      <c r="M51" s="30"/>
      <c r="N51" s="30"/>
      <c r="O51" s="110"/>
    </row>
    <row r="52" spans="1:15" ht="13.5" thickBot="1">
      <c r="A52" s="124"/>
      <c r="B52" s="22"/>
      <c r="C52" s="127"/>
      <c r="D52" s="402"/>
      <c r="E52" s="124" t="s">
        <v>60</v>
      </c>
      <c r="F52" s="132" t="s">
        <v>61</v>
      </c>
      <c r="G52" s="30"/>
      <c r="H52" s="30"/>
      <c r="I52" s="113"/>
      <c r="J52" s="30"/>
      <c r="K52" s="30"/>
      <c r="L52" s="30"/>
      <c r="M52" s="30"/>
      <c r="N52" s="30"/>
      <c r="O52" s="110"/>
    </row>
    <row r="53" spans="1:15" ht="12.75">
      <c r="A53" s="112">
        <v>11</v>
      </c>
      <c r="B53" s="30" t="s">
        <v>134</v>
      </c>
      <c r="C53" s="30">
        <v>5</v>
      </c>
      <c r="D53" s="30"/>
      <c r="E53" s="30">
        <v>245</v>
      </c>
      <c r="F53" s="30">
        <v>205</v>
      </c>
      <c r="G53" s="30"/>
      <c r="H53" s="30"/>
      <c r="I53" s="113">
        <f>+E53*C53</f>
        <v>1225</v>
      </c>
      <c r="J53" s="30">
        <f>+F53*C53</f>
        <v>1025</v>
      </c>
      <c r="K53" s="30"/>
      <c r="L53" s="30"/>
      <c r="M53" s="30"/>
      <c r="N53" s="30"/>
      <c r="O53" s="110"/>
    </row>
    <row r="54" spans="1:15" ht="12.75">
      <c r="A54" s="112">
        <v>12</v>
      </c>
      <c r="B54" s="30" t="s">
        <v>135</v>
      </c>
      <c r="C54" s="30">
        <v>3</v>
      </c>
      <c r="D54" s="30">
        <v>0.7</v>
      </c>
      <c r="E54" s="30">
        <v>795</v>
      </c>
      <c r="F54" s="30"/>
      <c r="G54" s="30"/>
      <c r="H54" s="30"/>
      <c r="I54" s="113">
        <f>+E54*D54*C54</f>
        <v>1669.5</v>
      </c>
      <c r="J54" s="30"/>
      <c r="K54" s="30"/>
      <c r="L54" s="30"/>
      <c r="M54" s="30"/>
      <c r="N54" s="30"/>
      <c r="O54" s="110"/>
    </row>
    <row r="55" spans="1:15" ht="12.75">
      <c r="A55" s="112">
        <v>13</v>
      </c>
      <c r="B55" s="30" t="s">
        <v>336</v>
      </c>
      <c r="C55" s="30">
        <v>700</v>
      </c>
      <c r="D55" s="30"/>
      <c r="E55" s="30">
        <f>3.413*1.25</f>
        <v>4.266249999999999</v>
      </c>
      <c r="F55" s="30"/>
      <c r="G55" s="30"/>
      <c r="H55" s="30"/>
      <c r="I55" s="113">
        <f>+E55*C55</f>
        <v>2986.3749999999995</v>
      </c>
      <c r="J55" s="30"/>
      <c r="K55" s="30"/>
      <c r="L55" s="30"/>
      <c r="M55" s="30"/>
      <c r="N55" s="30"/>
      <c r="O55" s="110"/>
    </row>
    <row r="56" spans="1:15" ht="12.75">
      <c r="A56" s="112">
        <v>14</v>
      </c>
      <c r="B56" s="30" t="s">
        <v>136</v>
      </c>
      <c r="C56" s="134">
        <v>1</v>
      </c>
      <c r="D56" s="30"/>
      <c r="E56" s="30"/>
      <c r="F56" s="30"/>
      <c r="G56" s="30"/>
      <c r="H56" s="30"/>
      <c r="I56" s="113"/>
      <c r="J56" s="30"/>
      <c r="K56" s="30"/>
      <c r="L56" s="30"/>
      <c r="M56" s="30"/>
      <c r="N56" s="30"/>
      <c r="O56" s="110"/>
    </row>
    <row r="57" spans="1:15" ht="12.75">
      <c r="A57" s="112"/>
      <c r="B57" s="30"/>
      <c r="C57" s="30"/>
      <c r="D57" s="30"/>
      <c r="E57" s="30"/>
      <c r="F57" s="30"/>
      <c r="G57" s="30"/>
      <c r="H57" s="30"/>
      <c r="I57" s="113"/>
      <c r="J57" s="30"/>
      <c r="K57" s="30"/>
      <c r="L57" s="30"/>
      <c r="M57" s="30"/>
      <c r="N57" s="30"/>
      <c r="O57" s="110"/>
    </row>
    <row r="58" spans="1:15" ht="12.75">
      <c r="A58" s="112"/>
      <c r="B58" s="30"/>
      <c r="C58" s="30"/>
      <c r="D58" s="30"/>
      <c r="E58" s="30"/>
      <c r="F58" s="30"/>
      <c r="G58" s="30"/>
      <c r="H58" s="30"/>
      <c r="I58" s="113"/>
      <c r="J58" s="30"/>
      <c r="K58" s="30"/>
      <c r="L58" s="30"/>
      <c r="M58" s="30"/>
      <c r="N58" s="30"/>
      <c r="O58" s="110"/>
    </row>
    <row r="59" spans="1:15" ht="12.75">
      <c r="A59" s="112"/>
      <c r="B59" s="30"/>
      <c r="C59" s="30"/>
      <c r="D59" s="30"/>
      <c r="E59" s="30"/>
      <c r="F59" s="30"/>
      <c r="G59" s="30"/>
      <c r="H59" s="30"/>
      <c r="I59" s="113"/>
      <c r="J59" s="30"/>
      <c r="K59" s="30"/>
      <c r="L59" s="30"/>
      <c r="M59" s="30"/>
      <c r="N59" s="30"/>
      <c r="O59" s="110"/>
    </row>
    <row r="60" spans="1:15" ht="12.75">
      <c r="A60" s="112"/>
      <c r="B60" s="30" t="s">
        <v>337</v>
      </c>
      <c r="C60" s="30"/>
      <c r="D60" s="30"/>
      <c r="E60" s="30"/>
      <c r="F60" s="30"/>
      <c r="G60" s="30"/>
      <c r="H60" s="30"/>
      <c r="I60" s="113">
        <f>SUM(I46:I50)+SUM(I53:I55)</f>
        <v>16325.759933333335</v>
      </c>
      <c r="J60" s="30">
        <f>SUM(J46:J59)</f>
        <v>1025</v>
      </c>
      <c r="K60" s="30"/>
      <c r="L60" s="30"/>
      <c r="M60" s="30"/>
      <c r="N60" s="30"/>
      <c r="O60" s="110"/>
    </row>
    <row r="61" spans="1:15" ht="12.75">
      <c r="A61" s="112"/>
      <c r="B61" s="30"/>
      <c r="C61" s="30"/>
      <c r="D61" s="30"/>
      <c r="E61" s="30"/>
      <c r="F61" s="30"/>
      <c r="G61" s="30"/>
      <c r="H61" s="30"/>
      <c r="I61" s="30"/>
      <c r="J61" s="30"/>
      <c r="K61" s="30"/>
      <c r="L61" s="30"/>
      <c r="M61" s="30"/>
      <c r="N61" s="30"/>
      <c r="O61" s="110"/>
    </row>
    <row r="62" spans="1:15" ht="12.75">
      <c r="A62" s="112"/>
      <c r="B62" s="30" t="s">
        <v>136</v>
      </c>
      <c r="C62" s="30"/>
      <c r="D62" s="30"/>
      <c r="E62" s="30"/>
      <c r="F62" s="30"/>
      <c r="G62" s="30"/>
      <c r="H62" s="30"/>
      <c r="I62" s="30">
        <v>737.48</v>
      </c>
      <c r="J62" s="30"/>
      <c r="K62" s="30"/>
      <c r="L62" s="30"/>
      <c r="M62" s="30"/>
      <c r="N62" s="30"/>
      <c r="O62" s="110"/>
    </row>
    <row r="63" spans="1:15" ht="12.75">
      <c r="A63" s="112"/>
      <c r="B63" s="30" t="s">
        <v>338</v>
      </c>
      <c r="C63" s="30"/>
      <c r="D63" s="30"/>
      <c r="E63" s="30"/>
      <c r="F63" s="30"/>
      <c r="G63" s="30"/>
      <c r="H63" s="30"/>
      <c r="I63" s="30"/>
      <c r="J63" s="113">
        <f>+'NO SANOS'!F43+'NO SANOS'!F37</f>
        <v>33595.47512379973</v>
      </c>
      <c r="K63" s="30"/>
      <c r="L63" s="30"/>
      <c r="M63" s="30"/>
      <c r="N63" s="30"/>
      <c r="O63" s="110"/>
    </row>
    <row r="64" spans="1:15" ht="12.75">
      <c r="A64" s="112"/>
      <c r="B64" s="30" t="s">
        <v>339</v>
      </c>
      <c r="C64" s="30"/>
      <c r="D64" s="30"/>
      <c r="E64" s="30"/>
      <c r="F64" s="30"/>
      <c r="G64" s="30"/>
      <c r="H64" s="30"/>
      <c r="I64" s="113">
        <f>+'NO SANOS'!F42+'NO SANOS'!F36</f>
        <v>13060.614666666672</v>
      </c>
      <c r="J64" s="30"/>
      <c r="K64" s="30"/>
      <c r="L64" s="30"/>
      <c r="M64" s="30"/>
      <c r="N64" s="30"/>
      <c r="O64" s="110"/>
    </row>
    <row r="65" spans="1:15" ht="13.5" thickBot="1">
      <c r="A65" s="112"/>
      <c r="B65" s="30"/>
      <c r="C65" s="30"/>
      <c r="D65" s="30"/>
      <c r="E65" s="30"/>
      <c r="F65" s="30"/>
      <c r="G65" s="30"/>
      <c r="H65" s="30"/>
      <c r="I65" s="30"/>
      <c r="J65" s="30"/>
      <c r="K65" s="30"/>
      <c r="L65" s="30"/>
      <c r="M65" s="30"/>
      <c r="N65" s="30"/>
      <c r="O65" s="110"/>
    </row>
    <row r="66" spans="1:15" ht="13.5" thickBot="1">
      <c r="A66" s="398" t="s">
        <v>340</v>
      </c>
      <c r="B66" s="353"/>
      <c r="C66" s="108"/>
      <c r="D66" s="108"/>
      <c r="E66" s="108"/>
      <c r="F66" s="108"/>
      <c r="G66" s="108"/>
      <c r="H66" s="108"/>
      <c r="I66" s="108"/>
      <c r="J66" s="108"/>
      <c r="K66" s="395">
        <f>+I60+I64+J60+J63</f>
        <v>64006.849723799736</v>
      </c>
      <c r="L66" s="403"/>
      <c r="M66" s="403"/>
      <c r="N66" s="403"/>
      <c r="O66" s="404"/>
    </row>
  </sheetData>
  <mergeCells count="13">
    <mergeCell ref="J3:K3"/>
    <mergeCell ref="D2:E2"/>
    <mergeCell ref="A1:O1"/>
    <mergeCell ref="E15:F15"/>
    <mergeCell ref="K30:O30"/>
    <mergeCell ref="A66:B66"/>
    <mergeCell ref="E51:F51"/>
    <mergeCell ref="D51:D52"/>
    <mergeCell ref="K66:O66"/>
    <mergeCell ref="A30:B30"/>
    <mergeCell ref="A37:O37"/>
    <mergeCell ref="D38:E38"/>
    <mergeCell ref="J39:K39"/>
  </mergeCells>
  <printOptions/>
  <pageMargins left="0.75" right="0.75" top="1" bottom="1" header="0" footer="0"/>
  <pageSetup horizontalDpi="600" verticalDpi="600" orientation="landscape" paperSize="9" scale="95"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O19"/>
  <sheetViews>
    <sheetView workbookViewId="0" topLeftCell="A1">
      <selection activeCell="I27" sqref="I27"/>
    </sheetView>
  </sheetViews>
  <sheetFormatPr defaultColWidth="11.421875" defaultRowHeight="12.75"/>
  <cols>
    <col min="1" max="1" width="7.140625" style="0" customWidth="1"/>
    <col min="2" max="2" width="10.8515625" style="0" customWidth="1"/>
    <col min="3" max="5" width="8.8515625" style="0" customWidth="1"/>
    <col min="6" max="10" width="9.140625" style="0" customWidth="1"/>
    <col min="11" max="13" width="8.8515625" style="0" customWidth="1"/>
    <col min="14" max="14" width="9.421875" style="0" customWidth="1"/>
  </cols>
  <sheetData>
    <row r="1" spans="1:14" ht="18.75" customHeight="1">
      <c r="A1" s="416" t="s">
        <v>223</v>
      </c>
      <c r="B1" s="418" t="s">
        <v>328</v>
      </c>
      <c r="C1" s="413" t="s">
        <v>48</v>
      </c>
      <c r="D1" s="414"/>
      <c r="E1" s="414"/>
      <c r="F1" s="414"/>
      <c r="G1" s="414"/>
      <c r="H1" s="414"/>
      <c r="I1" s="414"/>
      <c r="J1" s="414"/>
      <c r="K1" s="414"/>
      <c r="L1" s="414"/>
      <c r="M1" s="414"/>
      <c r="N1" s="415"/>
    </row>
    <row r="2" spans="1:14" ht="16.5" customHeight="1">
      <c r="A2" s="417"/>
      <c r="B2" s="419"/>
      <c r="C2" s="79">
        <v>44197</v>
      </c>
      <c r="D2" s="99">
        <v>44228</v>
      </c>
      <c r="E2" s="80">
        <v>44256</v>
      </c>
      <c r="F2" s="99">
        <v>44287</v>
      </c>
      <c r="G2" s="80">
        <v>44317</v>
      </c>
      <c r="H2" s="99">
        <v>44348</v>
      </c>
      <c r="I2" s="80">
        <v>44378</v>
      </c>
      <c r="J2" s="99">
        <v>44409</v>
      </c>
      <c r="K2" s="80">
        <v>44440</v>
      </c>
      <c r="L2" s="99">
        <v>44470</v>
      </c>
      <c r="M2" s="80">
        <v>44501</v>
      </c>
      <c r="N2" s="99">
        <v>44531</v>
      </c>
    </row>
    <row r="3" spans="1:14" ht="12.75">
      <c r="A3" s="81">
        <v>0.2916666666666667</v>
      </c>
      <c r="B3" s="78">
        <v>75</v>
      </c>
      <c r="C3" s="82">
        <v>610.7012214024427</v>
      </c>
      <c r="D3" s="100">
        <v>571.0211420422839</v>
      </c>
      <c r="E3" s="83">
        <v>759.501519003038</v>
      </c>
      <c r="F3" s="100">
        <v>10481.120962241923</v>
      </c>
      <c r="G3" s="83">
        <v>11770.723541447082</v>
      </c>
      <c r="H3" s="100">
        <v>10381.920763841526</v>
      </c>
      <c r="I3" s="83">
        <v>9290.718581437162</v>
      </c>
      <c r="J3" s="100">
        <v>9985.119970239939</v>
      </c>
      <c r="K3" s="83">
        <v>1067.022134044268</v>
      </c>
      <c r="L3" s="100">
        <v>1116.6222332444663</v>
      </c>
      <c r="M3" s="83">
        <v>1047.1820943641885</v>
      </c>
      <c r="N3" s="100">
        <v>848.7816975633951</v>
      </c>
    </row>
    <row r="4" spans="1:14" ht="12.75">
      <c r="A4" s="81">
        <v>0.333333333333333</v>
      </c>
      <c r="B4" s="78">
        <v>76</v>
      </c>
      <c r="C4" s="82">
        <v>1419.802839605679</v>
      </c>
      <c r="D4" s="100">
        <v>1419.802839605679</v>
      </c>
      <c r="E4" s="83">
        <v>1519.003038006076</v>
      </c>
      <c r="F4" s="100">
        <v>19672.639345278687</v>
      </c>
      <c r="G4" s="83">
        <v>18680.63736127472</v>
      </c>
      <c r="H4" s="100">
        <v>17986.235972471943</v>
      </c>
      <c r="I4" s="83">
        <v>18283.836567673134</v>
      </c>
      <c r="J4" s="100">
        <v>19573.439146878292</v>
      </c>
      <c r="K4" s="83">
        <v>1618.2032364064728</v>
      </c>
      <c r="L4" s="100">
        <v>1618.2032364064728</v>
      </c>
      <c r="M4" s="83">
        <v>1618.2032364064728</v>
      </c>
      <c r="N4" s="100">
        <v>1519.003038006076</v>
      </c>
    </row>
    <row r="5" spans="1:14" ht="12.75">
      <c r="A5" s="81">
        <v>0.375</v>
      </c>
      <c r="B5" s="78">
        <v>72</v>
      </c>
      <c r="C5" s="82">
        <v>1060.2021204042408</v>
      </c>
      <c r="D5" s="100">
        <v>1060.2021204042408</v>
      </c>
      <c r="E5" s="83">
        <v>1060.2021204042408</v>
      </c>
      <c r="F5" s="100">
        <v>18122.636245272486</v>
      </c>
      <c r="G5" s="83">
        <v>16535.433070866136</v>
      </c>
      <c r="H5" s="100">
        <v>16138.632277264553</v>
      </c>
      <c r="I5" s="83">
        <v>16833.033666067327</v>
      </c>
      <c r="J5" s="100">
        <v>18221.836443672884</v>
      </c>
      <c r="K5" s="83">
        <v>1159.4023188046374</v>
      </c>
      <c r="L5" s="100">
        <v>1159.4023188046374</v>
      </c>
      <c r="M5" s="83">
        <v>1159.4023188046374</v>
      </c>
      <c r="N5" s="100">
        <v>1060.2021204042408</v>
      </c>
    </row>
    <row r="6" spans="1:14" ht="12.75">
      <c r="A6" s="81">
        <v>0.416666666666667</v>
      </c>
      <c r="B6" s="78">
        <v>80.5</v>
      </c>
      <c r="C6" s="82">
        <v>2555.955111910224</v>
      </c>
      <c r="D6" s="100">
        <v>2555.955111910224</v>
      </c>
      <c r="E6" s="83">
        <v>2555.955111910224</v>
      </c>
      <c r="F6" s="100">
        <v>14261.578523157044</v>
      </c>
      <c r="G6" s="83">
        <v>12971.975943951886</v>
      </c>
      <c r="H6" s="100">
        <v>12872.77574555149</v>
      </c>
      <c r="I6" s="83">
        <v>13666.377332754664</v>
      </c>
      <c r="J6" s="100">
        <v>14459.978919957839</v>
      </c>
      <c r="K6" s="83">
        <v>2555.955111910224</v>
      </c>
      <c r="L6" s="100">
        <v>2655.1553103106207</v>
      </c>
      <c r="M6" s="83">
        <v>2555.955111910224</v>
      </c>
      <c r="N6" s="100">
        <v>2555.955111910224</v>
      </c>
    </row>
    <row r="7" spans="1:14" ht="12.75">
      <c r="A7" s="81">
        <v>0.458333333333333</v>
      </c>
      <c r="B7" s="78">
        <v>74</v>
      </c>
      <c r="C7" s="82">
        <v>1587.2031744063486</v>
      </c>
      <c r="D7" s="100">
        <v>1587.2031744063486</v>
      </c>
      <c r="E7" s="83">
        <v>1587.2031744063486</v>
      </c>
      <c r="F7" s="100">
        <v>6646.413292826585</v>
      </c>
      <c r="G7" s="83">
        <v>5753.611507223013</v>
      </c>
      <c r="H7" s="100">
        <v>5952.011904023807</v>
      </c>
      <c r="I7" s="83">
        <v>6646.413292826585</v>
      </c>
      <c r="J7" s="100">
        <v>6844.813689627379</v>
      </c>
      <c r="K7" s="83">
        <v>1587.2031744063486</v>
      </c>
      <c r="L7" s="100">
        <v>1587.2031744063486</v>
      </c>
      <c r="M7" s="83">
        <v>1587.2031744063486</v>
      </c>
      <c r="N7" s="100">
        <v>1587.2031744063486</v>
      </c>
    </row>
    <row r="8" spans="1:14" ht="12.75">
      <c r="A8" s="81">
        <v>0.5</v>
      </c>
      <c r="B8" s="78">
        <v>87</v>
      </c>
      <c r="C8" s="82">
        <v>3723.107446214892</v>
      </c>
      <c r="D8" s="100">
        <v>3723.107446214892</v>
      </c>
      <c r="E8" s="83">
        <v>4516.709033418067</v>
      </c>
      <c r="F8" s="100">
        <v>6897.513795027589</v>
      </c>
      <c r="G8" s="83">
        <v>10171.120342240683</v>
      </c>
      <c r="H8" s="100">
        <v>11659.123318246635</v>
      </c>
      <c r="I8" s="83">
        <v>10567.92113584227</v>
      </c>
      <c r="J8" s="100">
        <v>7095.914191828383</v>
      </c>
      <c r="K8" s="83">
        <v>3425.5068510137016</v>
      </c>
      <c r="L8" s="100">
        <v>3723.107446214892</v>
      </c>
      <c r="M8" s="83">
        <v>3723.107446214892</v>
      </c>
      <c r="N8" s="100">
        <v>3723.107446214892</v>
      </c>
    </row>
    <row r="9" spans="1:14" ht="12.75">
      <c r="A9" s="81">
        <v>0.541666666666667</v>
      </c>
      <c r="B9" s="78">
        <v>90</v>
      </c>
      <c r="C9" s="82">
        <v>4216.0084320168635</v>
      </c>
      <c r="D9" s="100">
        <v>4216.0084320168635</v>
      </c>
      <c r="E9" s="83">
        <v>4216.0084320168635</v>
      </c>
      <c r="F9" s="100">
        <v>9275.2185504371</v>
      </c>
      <c r="G9" s="83">
        <v>8382.416764833528</v>
      </c>
      <c r="H9" s="100">
        <v>8580.817161634322</v>
      </c>
      <c r="I9" s="83">
        <v>9275.2185504371</v>
      </c>
      <c r="J9" s="100">
        <v>9473.618947237894</v>
      </c>
      <c r="K9" s="83">
        <v>4216.0084320168635</v>
      </c>
      <c r="L9" s="100">
        <v>4216.0084320168635</v>
      </c>
      <c r="M9" s="83">
        <v>4216.0084320168635</v>
      </c>
      <c r="N9" s="100">
        <v>4216.0084320168635</v>
      </c>
    </row>
    <row r="10" spans="1:14" ht="12.75">
      <c r="A10" s="81">
        <v>0.583333333333333</v>
      </c>
      <c r="B10" s="78">
        <v>91.5</v>
      </c>
      <c r="C10" s="82">
        <v>4363.2587265174525</v>
      </c>
      <c r="D10" s="100">
        <v>4363.2587265174525</v>
      </c>
      <c r="E10" s="83">
        <v>4363.2587265174525</v>
      </c>
      <c r="F10" s="100">
        <v>16068.882137764273</v>
      </c>
      <c r="G10" s="83">
        <v>14779.279558559114</v>
      </c>
      <c r="H10" s="100">
        <v>14680.079360158717</v>
      </c>
      <c r="I10" s="83">
        <v>15473.680947361892</v>
      </c>
      <c r="J10" s="100">
        <v>16267.282534565067</v>
      </c>
      <c r="K10" s="83">
        <v>4363.2587265174525</v>
      </c>
      <c r="L10" s="100">
        <v>4462.458924917849</v>
      </c>
      <c r="M10" s="83">
        <v>4363.2587265174525</v>
      </c>
      <c r="N10" s="100">
        <v>4363.2587265174525</v>
      </c>
    </row>
    <row r="11" spans="1:15" ht="12.75">
      <c r="A11" s="84">
        <v>0.625</v>
      </c>
      <c r="B11" s="85">
        <v>92</v>
      </c>
      <c r="C11" s="86">
        <v>4346.208692417385</v>
      </c>
      <c r="D11" s="101">
        <v>4346.208692417385</v>
      </c>
      <c r="E11" s="87">
        <v>4346.208692417385</v>
      </c>
      <c r="F11" s="101">
        <v>21408.642817285632</v>
      </c>
      <c r="G11" s="87">
        <v>19821.439642879282</v>
      </c>
      <c r="H11" s="101">
        <v>19424.638849277697</v>
      </c>
      <c r="I11" s="87">
        <v>20119.040238080474</v>
      </c>
      <c r="J11" s="101">
        <v>21507.84301568603</v>
      </c>
      <c r="K11" s="87">
        <v>4445.408890817781</v>
      </c>
      <c r="L11" s="101">
        <v>4445.408890817781</v>
      </c>
      <c r="M11" s="87">
        <v>4445.408890817781</v>
      </c>
      <c r="N11" s="101">
        <v>4346.208692417385</v>
      </c>
      <c r="O11" s="31">
        <f>SUM(C11:N11)</f>
        <v>133002.666005332</v>
      </c>
    </row>
    <row r="12" spans="1:14" ht="12.75">
      <c r="A12" s="81">
        <v>0.666666666666667</v>
      </c>
      <c r="B12" s="78">
        <v>91.5</v>
      </c>
      <c r="C12" s="82">
        <v>3966.457932915865</v>
      </c>
      <c r="D12" s="100">
        <v>3966.457932915865</v>
      </c>
      <c r="E12" s="83">
        <v>4065.658131316262</v>
      </c>
      <c r="F12" s="100">
        <v>22219.294438588873</v>
      </c>
      <c r="G12" s="83">
        <v>21227.29245458491</v>
      </c>
      <c r="H12" s="100">
        <v>20532.89106578213</v>
      </c>
      <c r="I12" s="83">
        <v>20830.49166098332</v>
      </c>
      <c r="J12" s="100">
        <v>22120.09424018848</v>
      </c>
      <c r="K12" s="83">
        <v>4164.858329716659</v>
      </c>
      <c r="L12" s="100">
        <v>4164.858329716659</v>
      </c>
      <c r="M12" s="83">
        <v>4164.858329716659</v>
      </c>
      <c r="N12" s="100">
        <v>4065.658131316262</v>
      </c>
    </row>
    <row r="13" spans="1:15" ht="12.75">
      <c r="A13" s="88">
        <v>0.708333333333333</v>
      </c>
      <c r="B13" s="89">
        <v>90</v>
      </c>
      <c r="C13" s="90">
        <v>3075.2061504123003</v>
      </c>
      <c r="D13" s="102">
        <v>3035.5260710521416</v>
      </c>
      <c r="E13" s="91">
        <v>3224.006448012896</v>
      </c>
      <c r="F13" s="102">
        <v>12945.625891251782</v>
      </c>
      <c r="G13" s="91">
        <v>14235.22847045694</v>
      </c>
      <c r="H13" s="102">
        <v>12846.425692851382</v>
      </c>
      <c r="I13" s="91">
        <v>11755.22351044702</v>
      </c>
      <c r="J13" s="102">
        <v>12449.624899249795</v>
      </c>
      <c r="K13" s="91">
        <v>3531.5270630541254</v>
      </c>
      <c r="L13" s="102">
        <v>3581.1271622543236</v>
      </c>
      <c r="M13" s="91">
        <v>3511.6870233740465</v>
      </c>
      <c r="N13" s="102">
        <v>3313.2866265732528</v>
      </c>
      <c r="O13">
        <f>+O11/12</f>
        <v>11083.555500444332</v>
      </c>
    </row>
    <row r="14" spans="1:14" ht="17.25" customHeight="1">
      <c r="A14" s="420" t="s">
        <v>224</v>
      </c>
      <c r="B14" s="421"/>
      <c r="C14" s="92">
        <f>SUM(C3:C13)</f>
        <v>30924.111848223696</v>
      </c>
      <c r="D14" s="103">
        <f>SUM(D3:D13)</f>
        <v>30844.751689503377</v>
      </c>
      <c r="E14" s="93">
        <f aca="true" t="shared" si="0" ref="E14:N14">SUM(E3:E13)</f>
        <v>32213.71442742885</v>
      </c>
      <c r="F14" s="103">
        <f t="shared" si="0"/>
        <v>157999.565999132</v>
      </c>
      <c r="G14" s="93">
        <f t="shared" si="0"/>
        <v>154329.15865831726</v>
      </c>
      <c r="H14" s="103">
        <f t="shared" si="0"/>
        <v>151055.55211110422</v>
      </c>
      <c r="I14" s="93">
        <f t="shared" si="0"/>
        <v>152741.95548391095</v>
      </c>
      <c r="J14" s="103">
        <f>SUM(J3:J13)</f>
        <v>157999.56599913197</v>
      </c>
      <c r="K14" s="93">
        <f t="shared" si="0"/>
        <v>32134.35426870853</v>
      </c>
      <c r="L14" s="103">
        <f t="shared" si="0"/>
        <v>32729.555459110914</v>
      </c>
      <c r="M14" s="93">
        <f t="shared" si="0"/>
        <v>32392.27478454956</v>
      </c>
      <c r="N14" s="103">
        <f t="shared" si="0"/>
        <v>31598.67319734639</v>
      </c>
    </row>
    <row r="15" spans="1:14" ht="15.75" customHeight="1">
      <c r="A15" s="409" t="s">
        <v>225</v>
      </c>
      <c r="B15" s="410"/>
      <c r="C15" s="94"/>
      <c r="D15" s="94"/>
      <c r="E15" s="94"/>
      <c r="F15" s="94"/>
      <c r="G15" s="94"/>
      <c r="H15" s="78"/>
      <c r="I15" s="78"/>
      <c r="J15" s="78"/>
      <c r="K15" s="78"/>
      <c r="L15" s="78"/>
      <c r="M15" s="78"/>
      <c r="N15" s="95">
        <f>SUM(C14:N14)</f>
        <v>996963.2339264677</v>
      </c>
    </row>
    <row r="16" spans="1:14" ht="15" customHeight="1">
      <c r="A16" s="409" t="s">
        <v>230</v>
      </c>
      <c r="B16" s="410"/>
      <c r="C16" s="410"/>
      <c r="D16" s="94"/>
      <c r="E16" s="94"/>
      <c r="F16" s="94"/>
      <c r="G16" s="94"/>
      <c r="H16" s="78"/>
      <c r="I16" s="78"/>
      <c r="J16" s="78"/>
      <c r="K16" s="78"/>
      <c r="L16" s="78"/>
      <c r="M16" s="78"/>
      <c r="N16" s="96">
        <f>+N15/(12*11)</f>
        <v>7552.75177217021</v>
      </c>
    </row>
    <row r="17" spans="1:14" ht="14.25" customHeight="1">
      <c r="A17" s="411" t="s">
        <v>226</v>
      </c>
      <c r="B17" s="412"/>
      <c r="C17" s="97"/>
      <c r="D17" s="97"/>
      <c r="E17" s="97"/>
      <c r="F17" s="97"/>
      <c r="G17" s="97"/>
      <c r="H17" s="89"/>
      <c r="I17" s="89"/>
      <c r="J17" s="89"/>
      <c r="K17" s="89"/>
      <c r="L17" s="89"/>
      <c r="M17" s="89"/>
      <c r="N17" s="98">
        <f>+O11/12</f>
        <v>11083.555500444332</v>
      </c>
    </row>
    <row r="19" ht="12.75">
      <c r="E19" s="4"/>
    </row>
  </sheetData>
  <mergeCells count="7">
    <mergeCell ref="A15:B15"/>
    <mergeCell ref="A17:B17"/>
    <mergeCell ref="A16:C16"/>
    <mergeCell ref="C1:N1"/>
    <mergeCell ref="A1:A2"/>
    <mergeCell ref="B1:B2"/>
    <mergeCell ref="A14:B14"/>
  </mergeCells>
  <printOptions horizontalCentered="1" verticalCentered="1"/>
  <pageMargins left="1.5748031496062993" right="1.5748031496062993" top="0.984251968503937" bottom="1.5748031496062993" header="0" footer="0"/>
  <pageSetup horizontalDpi="600" verticalDpi="600" orientation="landscape" paperSize="9" scale="74" r:id="rId1"/>
  <colBreaks count="1" manualBreakCount="1">
    <brk id="14" max="65535" man="1"/>
  </colBreaks>
</worksheet>
</file>

<file path=xl/worksheets/sheet6.xml><?xml version="1.0" encoding="utf-8"?>
<worksheet xmlns="http://schemas.openxmlformats.org/spreadsheetml/2006/main" xmlns:r="http://schemas.openxmlformats.org/officeDocument/2006/relationships">
  <dimension ref="A1:R124"/>
  <sheetViews>
    <sheetView workbookViewId="0" topLeftCell="A2">
      <selection activeCell="F9" sqref="F9"/>
    </sheetView>
  </sheetViews>
  <sheetFormatPr defaultColWidth="11.421875" defaultRowHeight="12.75"/>
  <cols>
    <col min="4" max="4" width="13.28125" style="0" customWidth="1"/>
    <col min="5" max="5" width="24.7109375" style="0" customWidth="1"/>
    <col min="6" max="6" width="20.57421875" style="0" customWidth="1"/>
    <col min="7" max="7" width="13.28125" style="0" customWidth="1"/>
    <col min="11" max="11" width="13.140625" style="0" customWidth="1"/>
    <col min="12" max="12" width="13.57421875" style="0" customWidth="1"/>
    <col min="13" max="13" width="19.7109375" style="0" customWidth="1"/>
    <col min="15" max="15" width="16.00390625" style="0" customWidth="1"/>
  </cols>
  <sheetData>
    <row r="1" spans="3:15" ht="12.75">
      <c r="C1" t="s">
        <v>170</v>
      </c>
      <c r="D1" t="s">
        <v>169</v>
      </c>
      <c r="E1" s="6" t="s">
        <v>62</v>
      </c>
      <c r="K1" t="s">
        <v>69</v>
      </c>
      <c r="L1" t="s">
        <v>70</v>
      </c>
      <c r="M1" s="6" t="s">
        <v>82</v>
      </c>
      <c r="O1" s="6" t="s">
        <v>100</v>
      </c>
    </row>
    <row r="2" spans="6:8" ht="12.75">
      <c r="F2" s="6" t="s">
        <v>60</v>
      </c>
      <c r="H2" s="6" t="s">
        <v>61</v>
      </c>
    </row>
    <row r="3" spans="1:16" ht="12.75">
      <c r="A3" t="s">
        <v>265</v>
      </c>
      <c r="B3" t="s">
        <v>295</v>
      </c>
      <c r="C3" s="4">
        <v>5.13</v>
      </c>
      <c r="D3" s="4">
        <f>+ROUNDUP(C3*(POWER((100/(2.54*12)),2)),2)</f>
        <v>55.22</v>
      </c>
      <c r="E3" t="s">
        <v>51</v>
      </c>
      <c r="F3" s="31">
        <f>+N28</f>
        <v>725.6</v>
      </c>
      <c r="H3">
        <v>0</v>
      </c>
      <c r="J3" t="s">
        <v>119</v>
      </c>
      <c r="K3">
        <v>74</v>
      </c>
      <c r="L3">
        <f>+(K3-32)*5/9</f>
        <v>23.333333333333332</v>
      </c>
      <c r="M3" t="s">
        <v>83</v>
      </c>
      <c r="N3">
        <v>0.17</v>
      </c>
      <c r="O3" t="s">
        <v>97</v>
      </c>
      <c r="P3">
        <v>0.68</v>
      </c>
    </row>
    <row r="4" spans="2:16" ht="12.75">
      <c r="B4" t="s">
        <v>171</v>
      </c>
      <c r="C4" s="4">
        <f>+(2.1+1.9+1.95+1.9+5.3)*3+(4.66*1.9)+(2.35-0.63)*3</f>
        <v>53.464</v>
      </c>
      <c r="D4" s="4">
        <f>+ROUNDUP(C4*(POWER((100/(2.54*12)),2)),2)</f>
        <v>575.49</v>
      </c>
      <c r="E4" t="s">
        <v>276</v>
      </c>
      <c r="F4" s="4"/>
      <c r="H4">
        <v>0</v>
      </c>
      <c r="J4" t="s">
        <v>120</v>
      </c>
      <c r="K4">
        <v>92</v>
      </c>
      <c r="L4">
        <f>+(K4-32)*5/9</f>
        <v>33.333333333333336</v>
      </c>
      <c r="M4" t="s">
        <v>87</v>
      </c>
      <c r="N4">
        <v>0.44</v>
      </c>
      <c r="O4" t="s">
        <v>84</v>
      </c>
      <c r="P4">
        <v>0.1</v>
      </c>
    </row>
    <row r="5" spans="2:14" ht="12.75">
      <c r="B5" t="s">
        <v>172</v>
      </c>
      <c r="C5" s="4">
        <f>+(1.09+0.63+1.9)*2</f>
        <v>7.24</v>
      </c>
      <c r="D5" s="4">
        <f>+ROUNDUP(C5*(POWER((100/(2.54*12)),2)),2)</f>
        <v>77.94000000000001</v>
      </c>
      <c r="E5" t="s">
        <v>53</v>
      </c>
      <c r="F5" s="31">
        <f>+N24+N32</f>
        <v>5844.9800000000005</v>
      </c>
      <c r="H5">
        <v>0</v>
      </c>
      <c r="J5" s="1" t="s">
        <v>121</v>
      </c>
      <c r="K5">
        <v>92</v>
      </c>
      <c r="L5">
        <f>+(K5-32)*5/9</f>
        <v>33.333333333333336</v>
      </c>
      <c r="M5" t="s">
        <v>84</v>
      </c>
      <c r="N5">
        <v>0.1</v>
      </c>
    </row>
    <row r="6" spans="2:16" ht="12.75">
      <c r="B6" t="s">
        <v>173</v>
      </c>
      <c r="C6" s="4">
        <v>30.89</v>
      </c>
      <c r="D6" s="4">
        <f>+ROUNDUP(C6*(POWER((100/(2.54*12)),2)),2)</f>
        <v>332.5</v>
      </c>
      <c r="E6" t="s">
        <v>54</v>
      </c>
      <c r="F6" s="31">
        <f>+N37</f>
        <v>673.41</v>
      </c>
      <c r="H6">
        <v>0</v>
      </c>
      <c r="J6" t="s">
        <v>175</v>
      </c>
      <c r="K6">
        <v>92</v>
      </c>
      <c r="L6">
        <f>+(K6-32)*5/9</f>
        <v>33.333333333333336</v>
      </c>
      <c r="M6" t="s">
        <v>85</v>
      </c>
      <c r="N6">
        <v>1.72</v>
      </c>
      <c r="O6" t="s">
        <v>98</v>
      </c>
      <c r="P6">
        <v>0.8</v>
      </c>
    </row>
    <row r="7" spans="1:16" ht="12.75">
      <c r="A7" t="s">
        <v>266</v>
      </c>
      <c r="B7" s="1" t="s">
        <v>171</v>
      </c>
      <c r="C7" s="4">
        <f>+(2.96+1.1+1.85)*3</f>
        <v>17.73</v>
      </c>
      <c r="D7" s="4">
        <f>+ROUNDUP(C7*(POWER((100/(2.54*12)),2)),2)</f>
        <v>190.85</v>
      </c>
      <c r="E7" t="s">
        <v>55</v>
      </c>
      <c r="F7" s="31">
        <f>+N42</f>
        <v>1617.57</v>
      </c>
      <c r="H7">
        <v>0</v>
      </c>
      <c r="J7" t="s">
        <v>272</v>
      </c>
      <c r="K7">
        <v>63</v>
      </c>
      <c r="M7" t="s">
        <v>84</v>
      </c>
      <c r="N7">
        <v>0.1</v>
      </c>
      <c r="O7" t="s">
        <v>99</v>
      </c>
      <c r="P7">
        <v>0.1</v>
      </c>
    </row>
    <row r="8" spans="4:14" ht="12.75">
      <c r="D8" s="4">
        <f>+D4+D7</f>
        <v>766.34</v>
      </c>
      <c r="E8" t="s">
        <v>267</v>
      </c>
      <c r="F8" s="31">
        <f>+N45</f>
        <v>1583.3333333333333</v>
      </c>
      <c r="H8">
        <v>0</v>
      </c>
      <c r="J8" t="s">
        <v>273</v>
      </c>
      <c r="K8">
        <v>136</v>
      </c>
      <c r="M8" t="s">
        <v>86</v>
      </c>
      <c r="N8">
        <v>0.45</v>
      </c>
    </row>
    <row r="9" spans="2:16" ht="12.75">
      <c r="B9" t="s">
        <v>178</v>
      </c>
      <c r="C9" t="s">
        <v>179</v>
      </c>
      <c r="D9" s="4"/>
      <c r="E9" t="s">
        <v>294</v>
      </c>
      <c r="F9">
        <f>245*5</f>
        <v>1225</v>
      </c>
      <c r="H9">
        <f>205*5</f>
        <v>1025</v>
      </c>
      <c r="J9" t="s">
        <v>285</v>
      </c>
      <c r="K9">
        <f>+F41</f>
        <v>51.05</v>
      </c>
      <c r="L9">
        <f>+(K9-32)*5/9</f>
        <v>10.583333333333332</v>
      </c>
      <c r="M9" t="s">
        <v>88</v>
      </c>
      <c r="N9">
        <v>0.68</v>
      </c>
      <c r="O9" t="s">
        <v>97</v>
      </c>
      <c r="P9">
        <v>0.68</v>
      </c>
    </row>
    <row r="10" spans="5:16" ht="12.75">
      <c r="E10" t="s">
        <v>291</v>
      </c>
      <c r="F10">
        <f>3413*0.7*1.25</f>
        <v>2986.375</v>
      </c>
      <c r="H10">
        <v>0</v>
      </c>
      <c r="M10" t="s">
        <v>89</v>
      </c>
      <c r="N10">
        <f>SUM(N3:N9)</f>
        <v>3.66</v>
      </c>
      <c r="O10" t="s">
        <v>89</v>
      </c>
      <c r="P10">
        <f>+P3+P4+P5+P6+P7+P8*2+P9</f>
        <v>2.3600000000000003</v>
      </c>
    </row>
    <row r="11" spans="3:16" ht="27" customHeight="1">
      <c r="C11">
        <f>2*D6</f>
        <v>665</v>
      </c>
      <c r="E11" s="1" t="s">
        <v>268</v>
      </c>
      <c r="F11">
        <v>0</v>
      </c>
      <c r="G11">
        <v>0</v>
      </c>
      <c r="H11">
        <v>0</v>
      </c>
      <c r="M11" s="6" t="s">
        <v>90</v>
      </c>
      <c r="N11" s="4">
        <f>1/N10</f>
        <v>0.27322404371584696</v>
      </c>
      <c r="O11" s="6" t="s">
        <v>96</v>
      </c>
      <c r="P11" s="4">
        <f>1/P10</f>
        <v>0.42372881355932196</v>
      </c>
    </row>
    <row r="12" spans="3:8" ht="26.25" customHeight="1">
      <c r="C12" s="4">
        <f>+C11-F35</f>
        <v>-6.842318244170201</v>
      </c>
      <c r="E12" s="1" t="s">
        <v>290</v>
      </c>
      <c r="F12">
        <f>3*795*0.7</f>
        <v>1669.5</v>
      </c>
      <c r="H12">
        <v>0</v>
      </c>
    </row>
    <row r="13" spans="5:16" ht="12.75">
      <c r="E13" t="s">
        <v>94</v>
      </c>
      <c r="F13" s="14">
        <f>(F3+F5+F6+F7+F8+F9+F10+F11+F12)</f>
        <v>16325.768333333335</v>
      </c>
      <c r="H13" s="17">
        <f>+H9+H11+H12</f>
        <v>1025</v>
      </c>
      <c r="L13" t="s">
        <v>114</v>
      </c>
      <c r="M13" t="s">
        <v>88</v>
      </c>
      <c r="N13">
        <v>0.68</v>
      </c>
      <c r="O13" t="s">
        <v>88</v>
      </c>
      <c r="P13">
        <v>0.61</v>
      </c>
    </row>
    <row r="14" spans="6:16" ht="12.75">
      <c r="F14" s="4"/>
      <c r="M14" t="s">
        <v>109</v>
      </c>
      <c r="N14">
        <v>0.45</v>
      </c>
      <c r="O14" t="s">
        <v>84</v>
      </c>
      <c r="P14">
        <v>0.1</v>
      </c>
    </row>
    <row r="15" spans="5:16" ht="12.75">
      <c r="E15" s="6" t="s">
        <v>157</v>
      </c>
      <c r="I15" s="4">
        <f>+H13+F13</f>
        <v>17350.768333333333</v>
      </c>
      <c r="L15" t="s">
        <v>115</v>
      </c>
      <c r="M15" t="s">
        <v>111</v>
      </c>
      <c r="N15">
        <v>0.85</v>
      </c>
      <c r="O15" t="s">
        <v>240</v>
      </c>
      <c r="P15">
        <v>2.22</v>
      </c>
    </row>
    <row r="16" spans="3:16" ht="12.75">
      <c r="C16" s="4">
        <f>+D4+D7</f>
        <v>766.34</v>
      </c>
      <c r="E16" t="s">
        <v>79</v>
      </c>
      <c r="F16" s="4">
        <f>+D3</f>
        <v>55.22</v>
      </c>
      <c r="M16" t="s">
        <v>85</v>
      </c>
      <c r="N16">
        <v>1.72</v>
      </c>
      <c r="O16" t="s">
        <v>292</v>
      </c>
      <c r="P16">
        <v>0.85</v>
      </c>
    </row>
    <row r="17" spans="5:16" ht="12.75">
      <c r="E17" t="s">
        <v>80</v>
      </c>
      <c r="F17" s="4">
        <f>+D4</f>
        <v>575.49</v>
      </c>
      <c r="M17" t="s">
        <v>112</v>
      </c>
      <c r="N17">
        <f>SUM(N13:N16)</f>
        <v>3.7</v>
      </c>
      <c r="O17" t="s">
        <v>112</v>
      </c>
      <c r="P17" s="4">
        <f>+P13+P14+P15+P16</f>
        <v>3.7800000000000002</v>
      </c>
    </row>
    <row r="18" spans="13:16" ht="12.75">
      <c r="M18" s="6" t="s">
        <v>110</v>
      </c>
      <c r="N18" s="4">
        <f>1/N17</f>
        <v>0.27027027027027023</v>
      </c>
      <c r="O18" s="6" t="s">
        <v>239</v>
      </c>
      <c r="P18" s="4">
        <f>1/P17</f>
        <v>0.26455026455026454</v>
      </c>
    </row>
    <row r="19" ht="12.75">
      <c r="Q19" t="s">
        <v>142</v>
      </c>
    </row>
    <row r="20" spans="5:18" ht="12.75">
      <c r="E20" t="s">
        <v>77</v>
      </c>
      <c r="F20">
        <v>0.73</v>
      </c>
      <c r="G20" t="s">
        <v>71</v>
      </c>
      <c r="Q20" t="s">
        <v>143</v>
      </c>
      <c r="R20">
        <v>75</v>
      </c>
    </row>
    <row r="21" spans="5:18" ht="12.75">
      <c r="E21" t="s">
        <v>75</v>
      </c>
      <c r="F21">
        <f>+K4</f>
        <v>92</v>
      </c>
      <c r="Q21" t="s">
        <v>144</v>
      </c>
      <c r="R21">
        <v>76</v>
      </c>
    </row>
    <row r="22" spans="5:18" ht="12.75">
      <c r="E22" t="s">
        <v>76</v>
      </c>
      <c r="F22">
        <f>+K3</f>
        <v>74</v>
      </c>
      <c r="M22" s="6" t="s">
        <v>176</v>
      </c>
      <c r="Q22" t="s">
        <v>145</v>
      </c>
      <c r="R22">
        <v>72</v>
      </c>
    </row>
    <row r="23" spans="5:18" ht="12.75">
      <c r="E23" t="s">
        <v>121</v>
      </c>
      <c r="F23">
        <f>+K5</f>
        <v>92</v>
      </c>
      <c r="H23" t="s">
        <v>122</v>
      </c>
      <c r="M23" t="s">
        <v>102</v>
      </c>
      <c r="Q23" t="s">
        <v>146</v>
      </c>
      <c r="R23">
        <v>80.5</v>
      </c>
    </row>
    <row r="24" spans="2:18" ht="12.75">
      <c r="B24" s="4">
        <f>+F3+F5+F6+F7+F8+F9+F10+F12</f>
        <v>16325.768333333335</v>
      </c>
      <c r="E24" t="s">
        <v>50</v>
      </c>
      <c r="F24" s="4">
        <f>+N11</f>
        <v>0.27322404371584696</v>
      </c>
      <c r="M24">
        <f>+F29-F22</f>
        <v>18</v>
      </c>
      <c r="N24" s="5">
        <f>ROUNDUP((M24*F25*D7),2)</f>
        <v>1455.64</v>
      </c>
      <c r="Q24" t="s">
        <v>147</v>
      </c>
      <c r="R24">
        <v>74</v>
      </c>
    </row>
    <row r="25" spans="5:18" ht="12.75">
      <c r="E25" t="s">
        <v>63</v>
      </c>
      <c r="F25" s="4">
        <f>+P11</f>
        <v>0.42372881355932196</v>
      </c>
      <c r="Q25" t="s">
        <v>148</v>
      </c>
      <c r="R25">
        <v>87</v>
      </c>
    </row>
    <row r="26" spans="5:18" ht="12.75">
      <c r="E26" t="s">
        <v>105</v>
      </c>
      <c r="F26" s="4">
        <v>0.48</v>
      </c>
      <c r="M26" s="6" t="s">
        <v>174</v>
      </c>
      <c r="Q26" t="s">
        <v>149</v>
      </c>
      <c r="R26">
        <v>90</v>
      </c>
    </row>
    <row r="27" spans="5:18" ht="12.75">
      <c r="E27" t="s">
        <v>107</v>
      </c>
      <c r="F27" s="4">
        <v>332.5</v>
      </c>
      <c r="M27" t="s">
        <v>102</v>
      </c>
      <c r="Q27" t="s">
        <v>150</v>
      </c>
      <c r="R27">
        <v>91.5</v>
      </c>
    </row>
    <row r="28" spans="5:18" ht="12.75">
      <c r="E28" t="s">
        <v>113</v>
      </c>
      <c r="F28" s="4">
        <f>+N18</f>
        <v>0.27027027027027023</v>
      </c>
      <c r="M28">
        <v>18</v>
      </c>
      <c r="N28" s="5">
        <f>+ROUNDUP((M28*D3*F20),2)</f>
        <v>725.6</v>
      </c>
      <c r="Q28" t="s">
        <v>151</v>
      </c>
      <c r="R28">
        <v>92</v>
      </c>
    </row>
    <row r="29" spans="5:18" ht="12.75">
      <c r="E29" t="s">
        <v>175</v>
      </c>
      <c r="F29">
        <f>+K6</f>
        <v>92</v>
      </c>
      <c r="Q29" t="s">
        <v>152</v>
      </c>
      <c r="R29">
        <v>91.5</v>
      </c>
    </row>
    <row r="30" spans="5:18" ht="15.75">
      <c r="E30" s="74" t="s">
        <v>132</v>
      </c>
      <c r="F30" s="7">
        <v>0.1</v>
      </c>
      <c r="G30" s="7"/>
      <c r="H30" s="7"/>
      <c r="I30" s="7"/>
      <c r="J30" s="394"/>
      <c r="K30" s="394"/>
      <c r="L30" s="394"/>
      <c r="M30" s="6" t="s">
        <v>101</v>
      </c>
      <c r="Q30" t="s">
        <v>153</v>
      </c>
      <c r="R30">
        <v>90</v>
      </c>
    </row>
    <row r="31" spans="11:14" ht="12.75">
      <c r="K31" s="8"/>
      <c r="M31" t="s">
        <v>102</v>
      </c>
      <c r="N31" t="s">
        <v>48</v>
      </c>
    </row>
    <row r="32" spans="5:15" ht="12.75">
      <c r="E32" s="2" t="s">
        <v>258</v>
      </c>
      <c r="F32" s="4">
        <f>+F13/(F13+H13)</f>
        <v>0.9409248063078092</v>
      </c>
      <c r="G32" s="4"/>
      <c r="H32" s="3" t="s">
        <v>293</v>
      </c>
      <c r="I32" s="4">
        <f>0.244*(65-74)/F32+27.5</f>
        <v>25.16612593771748</v>
      </c>
      <c r="L32" s="4"/>
      <c r="M32">
        <f>+F23-F22</f>
        <v>18</v>
      </c>
      <c r="N32" s="5">
        <f>+ROUNDUP((M32*D4*F25),2)</f>
        <v>4389.34</v>
      </c>
      <c r="O32" s="4">
        <f>+N32+N24</f>
        <v>5844.9800000000005</v>
      </c>
    </row>
    <row r="33" spans="5:12" ht="12.75">
      <c r="E33" s="60" t="s">
        <v>270</v>
      </c>
      <c r="F33" s="61">
        <v>49</v>
      </c>
      <c r="G33" s="4"/>
      <c r="H33" s="3"/>
      <c r="I33" s="4"/>
      <c r="L33" s="4"/>
    </row>
    <row r="34" spans="5:12" ht="12.75">
      <c r="E34" s="64" t="s">
        <v>284</v>
      </c>
      <c r="F34" s="65">
        <f>+$F$30*($K$3-$F$33)+$F$33</f>
        <v>51.5</v>
      </c>
      <c r="G34" s="4"/>
      <c r="H34" s="3"/>
      <c r="I34" s="4"/>
      <c r="L34" s="4"/>
    </row>
    <row r="35" spans="5:13" ht="12.75">
      <c r="E35" t="s">
        <v>269</v>
      </c>
      <c r="F35" s="4">
        <f>+F13/(1.08*(K3-F33)*(1-F30))</f>
        <v>671.8423182441702</v>
      </c>
      <c r="G35" s="4"/>
      <c r="H35" s="3">
        <f>+F13/((1.08*(K3-F34)))</f>
        <v>671.8423182441702</v>
      </c>
      <c r="I35" s="4"/>
      <c r="L35" s="4"/>
      <c r="M35" s="6" t="s">
        <v>106</v>
      </c>
    </row>
    <row r="36" spans="5:14" ht="12.75">
      <c r="E36" t="s">
        <v>254</v>
      </c>
      <c r="F36" s="4">
        <f>1.08*F35*(K4-K3)*F30</f>
        <v>1306.061466666667</v>
      </c>
      <c r="G36" s="4"/>
      <c r="H36" s="3"/>
      <c r="I36" s="4"/>
      <c r="L36" s="4"/>
      <c r="M36" t="s">
        <v>102</v>
      </c>
      <c r="N36" t="s">
        <v>48</v>
      </c>
    </row>
    <row r="37" spans="5:14" ht="12.75">
      <c r="E37" t="s">
        <v>271</v>
      </c>
      <c r="F37" s="4">
        <f>0.685*F35*(K8-K7)*F30</f>
        <v>3359.5475123799733</v>
      </c>
      <c r="G37" s="4"/>
      <c r="H37" s="3"/>
      <c r="I37" s="4"/>
      <c r="L37" s="4"/>
      <c r="M37">
        <f>+F23-F22</f>
        <v>18</v>
      </c>
      <c r="N37" s="5">
        <f>+ROUNDUP((D5*F26*M37),2)</f>
        <v>673.41</v>
      </c>
    </row>
    <row r="38" spans="6:12" ht="12" customHeight="1">
      <c r="F38" s="3"/>
      <c r="G38" s="4"/>
      <c r="H38" s="4"/>
      <c r="I38" s="4"/>
      <c r="L38" s="4"/>
    </row>
    <row r="39" spans="2:13" ht="12.75">
      <c r="B39" s="4"/>
      <c r="E39" t="s">
        <v>274</v>
      </c>
      <c r="F39" s="4">
        <f>+(F13+F36)/(F13+H13+F36+F37)</f>
        <v>0.8008506372247488</v>
      </c>
      <c r="G39" s="4"/>
      <c r="H39" s="4"/>
      <c r="I39" s="4"/>
      <c r="L39" s="4"/>
      <c r="M39" s="6" t="s">
        <v>108</v>
      </c>
    </row>
    <row r="40" spans="5:14" ht="12.75">
      <c r="E40" s="62" t="s">
        <v>270</v>
      </c>
      <c r="F40" s="61">
        <v>48.5</v>
      </c>
      <c r="G40" s="4"/>
      <c r="H40" s="3" t="s">
        <v>293</v>
      </c>
      <c r="I40" s="4">
        <f>0.244*(65-74)/F39+27.5</f>
        <v>24.757915648778187</v>
      </c>
      <c r="L40" s="4"/>
      <c r="M40" t="s">
        <v>102</v>
      </c>
      <c r="N40" t="s">
        <v>48</v>
      </c>
    </row>
    <row r="41" spans="5:12" ht="12.75">
      <c r="E41" s="64" t="s">
        <v>284</v>
      </c>
      <c r="F41" s="65">
        <f>+F30*(K3-F40)+F40</f>
        <v>51.05</v>
      </c>
      <c r="G41" s="4"/>
      <c r="H41" s="3"/>
      <c r="I41" s="4"/>
      <c r="L41" s="4"/>
    </row>
    <row r="42" spans="5:15" ht="12.75">
      <c r="E42" t="s">
        <v>254</v>
      </c>
      <c r="F42" s="4">
        <f>+F35*1.08*(K4-K3)*(1-F30)</f>
        <v>11754.553200000004</v>
      </c>
      <c r="G42" s="4"/>
      <c r="H42">
        <f>+(F41-32)*5/9</f>
        <v>10.583333333333332</v>
      </c>
      <c r="I42" s="4"/>
      <c r="L42" s="4"/>
      <c r="M42">
        <f>+F23-F22</f>
        <v>18</v>
      </c>
      <c r="N42" s="5">
        <f>+ROUNDUP((F28*M42*F27),2)</f>
        <v>1617.57</v>
      </c>
      <c r="O42" s="4"/>
    </row>
    <row r="43" spans="5:14" ht="12.75">
      <c r="E43" t="s">
        <v>271</v>
      </c>
      <c r="F43" s="4">
        <f>0.685*F35*(K8-K7)*(1-F30)</f>
        <v>30235.92761141976</v>
      </c>
      <c r="G43" s="4"/>
      <c r="H43" s="3"/>
      <c r="I43" s="4"/>
      <c r="L43" s="4"/>
      <c r="M43" s="6" t="s">
        <v>177</v>
      </c>
      <c r="N43" s="11"/>
    </row>
    <row r="44" spans="6:14" ht="12.75">
      <c r="F44" s="3"/>
      <c r="G44" s="4"/>
      <c r="H44" s="3"/>
      <c r="I44" s="4"/>
      <c r="L44" s="4"/>
      <c r="M44" t="s">
        <v>102</v>
      </c>
      <c r="N44" t="s">
        <v>48</v>
      </c>
    </row>
    <row r="45" spans="5:14" ht="12.75">
      <c r="E45" s="32" t="s">
        <v>275</v>
      </c>
      <c r="F45" s="5">
        <f>+F13+H13+F36+F37+F42+F43</f>
        <v>64006.85812379974</v>
      </c>
      <c r="G45" s="4"/>
      <c r="H45" s="3"/>
      <c r="I45" s="4"/>
      <c r="L45" s="4"/>
      <c r="M45">
        <v>18</v>
      </c>
      <c r="N45" s="5">
        <f>+F27*P18*M45</f>
        <v>1583.3333333333333</v>
      </c>
    </row>
    <row r="46" spans="6:12" ht="12.75">
      <c r="F46" s="3"/>
      <c r="G46" s="4"/>
      <c r="H46" s="4"/>
      <c r="I46" s="4"/>
      <c r="L46" s="4"/>
    </row>
    <row r="47" spans="4:14" ht="12.75">
      <c r="D47" s="1" t="s">
        <v>277</v>
      </c>
      <c r="F47" s="3"/>
      <c r="G47" s="4"/>
      <c r="H47" s="4"/>
      <c r="I47" s="4"/>
      <c r="L47" s="4"/>
      <c r="N47" s="4">
        <f>+ROUNDUP((N32+N37+N42+N45+N28+N24),2)</f>
        <v>10444.9</v>
      </c>
    </row>
    <row r="48" spans="4:12" ht="25.5">
      <c r="D48" s="1" t="s">
        <v>278</v>
      </c>
      <c r="E48" s="2"/>
      <c r="F48" s="3">
        <f>3.5*0.6</f>
        <v>2.1</v>
      </c>
      <c r="G48" s="4" t="s">
        <v>279</v>
      </c>
      <c r="H48" s="3"/>
      <c r="I48" s="4"/>
      <c r="L48" s="4"/>
    </row>
    <row r="49" spans="4:12" ht="15" customHeight="1">
      <c r="D49" s="1" t="s">
        <v>280</v>
      </c>
      <c r="E49" s="63">
        <v>4</v>
      </c>
      <c r="F49" s="3">
        <f>+E49*F48</f>
        <v>8.4</v>
      </c>
      <c r="G49" s="4" t="s">
        <v>269</v>
      </c>
      <c r="H49" s="3"/>
      <c r="I49" s="4"/>
      <c r="L49" s="4"/>
    </row>
    <row r="50" spans="4:12" ht="39.75" customHeight="1">
      <c r="D50" s="1" t="s">
        <v>283</v>
      </c>
      <c r="E50" s="63">
        <v>90</v>
      </c>
      <c r="F50" s="3"/>
      <c r="G50" s="4"/>
      <c r="H50" s="3"/>
      <c r="I50" s="4"/>
      <c r="L50" s="9"/>
    </row>
    <row r="51" spans="4:12" ht="12.75">
      <c r="D51" s="1" t="s">
        <v>281</v>
      </c>
      <c r="E51" s="63"/>
      <c r="F51" s="3">
        <f>+(F49/13.5)*0.244*(K5-K3)</f>
        <v>2.7328</v>
      </c>
      <c r="G51" s="4"/>
      <c r="H51" s="3"/>
      <c r="I51" s="4"/>
      <c r="L51" s="10"/>
    </row>
    <row r="52" spans="4:9" ht="12.75">
      <c r="D52" s="1" t="s">
        <v>282</v>
      </c>
      <c r="E52" s="63"/>
      <c r="F52" s="3">
        <f>+(F49/13.5)*(E50-K7)*(3/20)</f>
        <v>2.52</v>
      </c>
      <c r="G52" s="4"/>
      <c r="H52" s="3"/>
      <c r="I52" s="4"/>
    </row>
    <row r="53" spans="5:9" ht="12.75">
      <c r="E53" s="63"/>
      <c r="F53" s="3"/>
      <c r="G53" s="4"/>
      <c r="H53" s="4"/>
      <c r="I53" s="4"/>
    </row>
    <row r="54" spans="5:9" ht="12.75">
      <c r="E54" s="63"/>
      <c r="F54" s="3"/>
      <c r="G54" s="4"/>
      <c r="H54" s="4"/>
      <c r="I54" s="4"/>
    </row>
    <row r="55" ht="12.75">
      <c r="A55" t="s">
        <v>124</v>
      </c>
    </row>
    <row r="56" spans="1:6" ht="12.75">
      <c r="A56" t="s">
        <v>296</v>
      </c>
      <c r="B56">
        <v>2</v>
      </c>
      <c r="F56" t="s">
        <v>125</v>
      </c>
    </row>
    <row r="57" spans="3:5" ht="25.5">
      <c r="C57" s="1" t="s">
        <v>297</v>
      </c>
      <c r="D57" s="1" t="s">
        <v>298</v>
      </c>
      <c r="E57" s="1"/>
    </row>
    <row r="58" spans="1:7" ht="25.5">
      <c r="A58" t="s">
        <v>299</v>
      </c>
      <c r="C58">
        <f>+K4</f>
        <v>92</v>
      </c>
      <c r="D58">
        <v>80</v>
      </c>
      <c r="F58" s="1" t="s">
        <v>323</v>
      </c>
      <c r="G58">
        <v>0.1</v>
      </c>
    </row>
    <row r="59" spans="1:3" ht="12.75">
      <c r="A59" t="s">
        <v>300</v>
      </c>
      <c r="C59">
        <f>+K3</f>
        <v>74</v>
      </c>
    </row>
    <row r="60" spans="1:2" ht="12.75">
      <c r="A60" t="s">
        <v>129</v>
      </c>
      <c r="B60" t="s">
        <v>316</v>
      </c>
    </row>
    <row r="61" spans="1:3" ht="12.75">
      <c r="A61" t="s">
        <v>317</v>
      </c>
      <c r="C61">
        <v>332.5</v>
      </c>
    </row>
    <row r="62" spans="1:10" ht="12.75">
      <c r="A62" s="352" t="s">
        <v>301</v>
      </c>
      <c r="B62" s="352"/>
      <c r="C62" t="s">
        <v>302</v>
      </c>
      <c r="D62" t="s">
        <v>49</v>
      </c>
      <c r="E62" t="s">
        <v>303</v>
      </c>
      <c r="F62" t="s">
        <v>38</v>
      </c>
      <c r="G62" s="8" t="s">
        <v>93</v>
      </c>
      <c r="H62" t="s">
        <v>304</v>
      </c>
      <c r="I62" t="s">
        <v>305</v>
      </c>
      <c r="J62" s="77"/>
    </row>
    <row r="63" ht="12.75">
      <c r="A63" s="6" t="s">
        <v>306</v>
      </c>
    </row>
    <row r="64" spans="1:3" ht="12.75" hidden="1">
      <c r="A64" t="s">
        <v>22</v>
      </c>
      <c r="C64">
        <v>0</v>
      </c>
    </row>
    <row r="65" spans="1:3" ht="12.75" hidden="1">
      <c r="A65" t="s">
        <v>307</v>
      </c>
      <c r="C65">
        <v>0</v>
      </c>
    </row>
    <row r="66" spans="1:3" ht="12.75" hidden="1">
      <c r="A66" t="s">
        <v>308</v>
      </c>
      <c r="C66">
        <v>0</v>
      </c>
    </row>
    <row r="67" spans="1:3" ht="12.75" hidden="1">
      <c r="A67" t="s">
        <v>309</v>
      </c>
      <c r="C67">
        <v>0</v>
      </c>
    </row>
    <row r="68" spans="1:3" ht="12.75" hidden="1">
      <c r="A68" t="s">
        <v>310</v>
      </c>
      <c r="C68">
        <v>0</v>
      </c>
    </row>
    <row r="69" spans="1:8" ht="12.75">
      <c r="A69" t="s">
        <v>311</v>
      </c>
      <c r="C69" s="4">
        <f>+D4+D7</f>
        <v>766.34</v>
      </c>
      <c r="E69" s="4">
        <f>+P11</f>
        <v>0.42372881355932196</v>
      </c>
      <c r="G69">
        <f>+M24</f>
        <v>18</v>
      </c>
      <c r="H69" s="4">
        <f>+G69*E69*C69</f>
        <v>5844.966101694914</v>
      </c>
    </row>
    <row r="70" spans="1:8" ht="12.75">
      <c r="A70" t="s">
        <v>312</v>
      </c>
      <c r="C70" s="4">
        <f>+D3</f>
        <v>55.22</v>
      </c>
      <c r="E70">
        <f>+F20</f>
        <v>0.73</v>
      </c>
      <c r="G70">
        <f>+M28</f>
        <v>18</v>
      </c>
      <c r="H70" s="4">
        <f aca="true" t="shared" si="0" ref="H70:H79">+G70*E70*C70</f>
        <v>725.5908000000001</v>
      </c>
    </row>
    <row r="71" spans="1:8" ht="12.75">
      <c r="A71" t="s">
        <v>318</v>
      </c>
      <c r="C71" s="4">
        <f>+D5</f>
        <v>77.94000000000001</v>
      </c>
      <c r="E71" s="4">
        <f>+F26</f>
        <v>0.48</v>
      </c>
      <c r="G71">
        <f>+M42</f>
        <v>18</v>
      </c>
      <c r="H71" s="4">
        <f t="shared" si="0"/>
        <v>673.4016000000001</v>
      </c>
    </row>
    <row r="72" spans="1:8" ht="12.75" hidden="1">
      <c r="A72" s="6" t="s">
        <v>181</v>
      </c>
      <c r="H72" s="4">
        <f t="shared" si="0"/>
        <v>0</v>
      </c>
    </row>
    <row r="73" spans="1:8" ht="12.75" hidden="1">
      <c r="A73" t="s">
        <v>22</v>
      </c>
      <c r="C73">
        <v>0</v>
      </c>
      <c r="E73">
        <f>IF('[1]U vidrio'!A63&gt;0,'[1]U vidrio'!H63,IF('[1]U vidrio'!A65&gt;0,'[1]U vidrio'!H65,IF('[1]U vidrio'!A66&gt;0,'[1]U vidrio'!H66,IF('[1]U vidrio'!A69&gt;0,'[1]U vidrio'!H69,IF('[1]U vidrio'!A70&gt;0,'[1]U vidrio'!H70,IF('[1]U vidrio'!A72&gt;0,'[1]U vidrio'!H72,IF('[1]U vidrio'!A73&gt;0,'[1]U vidrio'!H73,IF('[1]U vidrio'!A75&gt;0,'[1]U vidrio'!H75,))))))))</f>
        <v>0</v>
      </c>
      <c r="H73" s="4">
        <f t="shared" si="0"/>
        <v>0</v>
      </c>
    </row>
    <row r="74" spans="1:8" ht="12.75" hidden="1">
      <c r="A74" t="s">
        <v>307</v>
      </c>
      <c r="C74">
        <v>0</v>
      </c>
      <c r="E74">
        <f>IF('[1]U vidrio'!A63&gt;0,'[1]U vidrio'!H63,IF('[1]U vidrio'!A65&gt;0,'[1]U vidrio'!H65,IF('[1]U vidrio'!A66&gt;0,'[1]U vidrio'!H66,IF('[1]U vidrio'!A69&gt;0,'[1]U vidrio'!H69,IF('[1]U vidrio'!A70&gt;0,'[1]U vidrio'!H70,IF('[1]U vidrio'!A72&gt;0,'[1]U vidrio'!H72,IF('[1]U vidrio'!A73&gt;0,'[1]U vidrio'!H73,IF('[1]U vidrio'!A75&gt;0,'[1]U vidrio'!H75,))))))))</f>
        <v>0</v>
      </c>
      <c r="H74" s="4">
        <f t="shared" si="0"/>
        <v>0</v>
      </c>
    </row>
    <row r="75" spans="1:8" ht="12.75" hidden="1">
      <c r="A75" t="s">
        <v>308</v>
      </c>
      <c r="C75">
        <v>0</v>
      </c>
      <c r="E75">
        <f>IF('[1]U vidrio'!A63&gt;0,'[1]U vidrio'!H63,IF('[1]U vidrio'!A65&gt;0,'[1]U vidrio'!H65,IF('[1]U vidrio'!A66&gt;0,'[1]U vidrio'!H66,IF('[1]U vidrio'!A69&gt;0,'[1]U vidrio'!H69,IF('[1]U vidrio'!A70&gt;0,'[1]U vidrio'!H70,IF('[1]U vidrio'!A72&gt;0,'[1]U vidrio'!H72,IF('[1]U vidrio'!A73&gt;0,'[1]U vidrio'!H73,IF('[1]U vidrio'!A75&gt;0,'[1]U vidrio'!H75,))))))))</f>
        <v>0</v>
      </c>
      <c r="H75" s="4">
        <f t="shared" si="0"/>
        <v>0</v>
      </c>
    </row>
    <row r="76" spans="1:8" ht="12.75" hidden="1">
      <c r="A76" t="s">
        <v>309</v>
      </c>
      <c r="C76">
        <v>0</v>
      </c>
      <c r="E76">
        <f>IF('[1]U vidrio'!A63&gt;0,'[1]U vidrio'!H63,IF('[1]U vidrio'!A65&gt;0,'[1]U vidrio'!H65,IF('[1]U vidrio'!A66&gt;0,'[1]U vidrio'!H66,IF('[1]U vidrio'!A69&gt;0,'[1]U vidrio'!H69,IF('[1]U vidrio'!A70&gt;0,'[1]U vidrio'!H70,IF('[1]U vidrio'!A72&gt;0,'[1]U vidrio'!H72,IF('[1]U vidrio'!A73&gt;0,'[1]U vidrio'!H73,IF('[1]U vidrio'!A75&gt;0,'[1]U vidrio'!H75,))))))))</f>
        <v>0</v>
      </c>
      <c r="H76" s="4">
        <f t="shared" si="0"/>
        <v>0</v>
      </c>
    </row>
    <row r="77" spans="1:8" ht="12.75" hidden="1">
      <c r="A77" t="s">
        <v>310</v>
      </c>
      <c r="C77">
        <v>0</v>
      </c>
      <c r="E77">
        <f>IF('[1]U vidrio'!A63&gt;0,'[1]U vidrio'!H63,IF('[1]U vidrio'!A65&gt;0,'[1]U vidrio'!H65,IF('[1]U vidrio'!A66&gt;0,'[1]U vidrio'!H66,IF('[1]U vidrio'!A69&gt;0,'[1]U vidrio'!H69,IF('[1]U vidrio'!A70&gt;0,'[1]U vidrio'!H70,IF('[1]U vidrio'!A72&gt;0,'[1]U vidrio'!H72,IF('[1]U vidrio'!A73&gt;0,'[1]U vidrio'!H73,IF('[1]U vidrio'!A75&gt;0,'[1]U vidrio'!H75,))))))))</f>
        <v>0</v>
      </c>
      <c r="H77" s="4">
        <f t="shared" si="0"/>
        <v>0</v>
      </c>
    </row>
    <row r="78" spans="1:8" ht="12.75">
      <c r="A78" s="6" t="s">
        <v>133</v>
      </c>
      <c r="C78" s="4">
        <f>+D6</f>
        <v>332.5</v>
      </c>
      <c r="E78" s="4">
        <f>+P18</f>
        <v>0.26455026455026454</v>
      </c>
      <c r="G78">
        <f>+M45</f>
        <v>18</v>
      </c>
      <c r="H78" s="4">
        <f t="shared" si="0"/>
        <v>1583.3333333333333</v>
      </c>
    </row>
    <row r="79" spans="1:8" ht="12.75">
      <c r="A79" s="6" t="s">
        <v>55</v>
      </c>
      <c r="C79" s="4">
        <f>+D6</f>
        <v>332.5</v>
      </c>
      <c r="E79" s="4">
        <f>+N18</f>
        <v>0.27027027027027023</v>
      </c>
      <c r="G79">
        <f>+M45</f>
        <v>18</v>
      </c>
      <c r="H79" s="4">
        <f t="shared" si="0"/>
        <v>1617.5675675675673</v>
      </c>
    </row>
    <row r="80" spans="1:3" ht="12.75">
      <c r="A80" s="6" t="s">
        <v>276</v>
      </c>
      <c r="C80">
        <v>0</v>
      </c>
    </row>
    <row r="81" spans="1:6" ht="12.75">
      <c r="A81" s="6"/>
      <c r="C81" t="s">
        <v>319</v>
      </c>
      <c r="D81" t="s">
        <v>320</v>
      </c>
      <c r="E81" t="s">
        <v>321</v>
      </c>
      <c r="F81" t="s">
        <v>322</v>
      </c>
    </row>
    <row r="82" spans="1:9" ht="12.75">
      <c r="A82" s="6" t="s">
        <v>134</v>
      </c>
      <c r="C82">
        <v>5</v>
      </c>
      <c r="H82" s="4">
        <f>245*C82</f>
        <v>1225</v>
      </c>
      <c r="I82">
        <f>205*C82</f>
        <v>1025</v>
      </c>
    </row>
    <row r="83" spans="1:8" ht="12.75">
      <c r="A83" s="6" t="s">
        <v>324</v>
      </c>
      <c r="C83">
        <v>7</v>
      </c>
      <c r="D83">
        <f>1.25*3413</f>
        <v>4266.25</v>
      </c>
      <c r="E83" t="s">
        <v>260</v>
      </c>
      <c r="F83">
        <v>0.1</v>
      </c>
      <c r="H83">
        <f>+D83*C83*F83</f>
        <v>2986.375</v>
      </c>
    </row>
    <row r="84" spans="1:8" ht="12.75">
      <c r="A84" s="6" t="s">
        <v>313</v>
      </c>
      <c r="C84">
        <v>3</v>
      </c>
      <c r="D84">
        <v>0.7</v>
      </c>
      <c r="F84">
        <v>795</v>
      </c>
      <c r="H84">
        <f>+F84*D84*C84</f>
        <v>1669.5</v>
      </c>
    </row>
    <row r="85" spans="1:9" ht="12.75">
      <c r="A85" s="6" t="s">
        <v>325</v>
      </c>
      <c r="H85" s="9">
        <f>SUM(H69:H84)</f>
        <v>16325.734402595814</v>
      </c>
      <c r="I85" s="6">
        <f>SUM(I69:I84)</f>
        <v>1025</v>
      </c>
    </row>
    <row r="86" spans="1:9" ht="12.75">
      <c r="A86" s="6" t="s">
        <v>258</v>
      </c>
      <c r="D86" s="9">
        <f>+H85/(H85+I85)</f>
        <v>0.9409246907815814</v>
      </c>
      <c r="H86" s="9"/>
      <c r="I86" s="6"/>
    </row>
    <row r="87" spans="1:9" ht="12.75">
      <c r="A87" s="6" t="s">
        <v>270</v>
      </c>
      <c r="D87" s="9">
        <v>51.9</v>
      </c>
      <c r="H87" s="9"/>
      <c r="I87" s="6"/>
    </row>
    <row r="88" spans="1:4" ht="12.75">
      <c r="A88" s="6" t="s">
        <v>136</v>
      </c>
      <c r="D88">
        <f>+H85/(1.08*($C$59-H87)*(1-$G$58))</f>
        <v>226.9732844315957</v>
      </c>
    </row>
    <row r="89" ht="12.75">
      <c r="A89" s="6" t="s">
        <v>314</v>
      </c>
    </row>
    <row r="90" ht="12.75">
      <c r="A90" s="6" t="s">
        <v>269</v>
      </c>
    </row>
    <row r="91" ht="12.75">
      <c r="A91" s="6" t="s">
        <v>315</v>
      </c>
    </row>
    <row r="92" spans="5:9" ht="12.75">
      <c r="E92" s="2"/>
      <c r="F92" s="3"/>
      <c r="G92" s="4"/>
      <c r="H92" s="3"/>
      <c r="I92" s="4"/>
    </row>
    <row r="93" spans="5:9" ht="12.75">
      <c r="E93" s="2"/>
      <c r="F93" s="3"/>
      <c r="G93" s="4"/>
      <c r="H93" s="4"/>
      <c r="I93" s="4"/>
    </row>
    <row r="94" spans="5:9" ht="12.75">
      <c r="E94" s="2"/>
      <c r="F94" s="3"/>
      <c r="G94" s="4"/>
      <c r="H94" s="4"/>
      <c r="I94" s="4"/>
    </row>
    <row r="95" spans="5:9" ht="12.75">
      <c r="E95" s="2"/>
      <c r="F95" s="3"/>
      <c r="G95" s="4"/>
      <c r="H95" s="3"/>
      <c r="I95" s="4"/>
    </row>
    <row r="96" spans="5:9" ht="12.75">
      <c r="E96" s="2"/>
      <c r="F96" s="3"/>
      <c r="G96" s="4"/>
      <c r="H96" s="3"/>
      <c r="I96" s="4"/>
    </row>
    <row r="97" spans="5:9" ht="12.75">
      <c r="E97" s="2"/>
      <c r="F97" s="3"/>
      <c r="G97" s="4"/>
      <c r="H97" s="3"/>
      <c r="I97" s="4"/>
    </row>
    <row r="98" spans="5:9" ht="12.75">
      <c r="E98" s="2"/>
      <c r="F98" s="3"/>
      <c r="G98" s="4"/>
      <c r="H98" s="3"/>
      <c r="I98" s="4"/>
    </row>
    <row r="99" spans="5:9" ht="12.75">
      <c r="E99" s="2"/>
      <c r="F99" s="3"/>
      <c r="G99" s="4"/>
      <c r="H99" s="3"/>
      <c r="I99" s="4"/>
    </row>
    <row r="100" spans="5:9" ht="12.75">
      <c r="E100" s="2"/>
      <c r="F100" s="3"/>
      <c r="G100" s="4"/>
      <c r="H100" s="4"/>
      <c r="I100" s="4"/>
    </row>
    <row r="101" spans="5:9" ht="12.75">
      <c r="E101" s="2"/>
      <c r="F101" s="3"/>
      <c r="G101" s="4"/>
      <c r="H101" s="4"/>
      <c r="I101" s="4"/>
    </row>
    <row r="102" spans="5:9" ht="12.75">
      <c r="E102" s="2"/>
      <c r="F102" s="3"/>
      <c r="G102" s="4"/>
      <c r="H102" s="3"/>
      <c r="I102" s="4"/>
    </row>
    <row r="103" spans="5:9" ht="12.75">
      <c r="E103" s="2"/>
      <c r="F103" s="3"/>
      <c r="G103" s="4"/>
      <c r="H103" s="3"/>
      <c r="I103" s="4"/>
    </row>
    <row r="104" spans="5:9" ht="12.75">
      <c r="E104" s="2"/>
      <c r="F104" s="3"/>
      <c r="G104" s="4"/>
      <c r="H104" s="3"/>
      <c r="I104" s="4"/>
    </row>
    <row r="105" spans="5:9" ht="12.75">
      <c r="E105" s="2"/>
      <c r="F105" s="3"/>
      <c r="G105" s="4"/>
      <c r="H105" s="3"/>
      <c r="I105" s="4"/>
    </row>
    <row r="106" spans="5:9" ht="12.75">
      <c r="E106" s="2"/>
      <c r="F106" s="3"/>
      <c r="G106" s="4"/>
      <c r="H106" s="3"/>
      <c r="I106" s="4"/>
    </row>
    <row r="107" spans="5:9" ht="12.75">
      <c r="E107" s="2"/>
      <c r="F107" s="3"/>
      <c r="G107" s="4"/>
      <c r="H107" s="4"/>
      <c r="I107" s="4"/>
    </row>
    <row r="108" spans="5:9" ht="12.75">
      <c r="E108" s="2"/>
      <c r="F108" s="3"/>
      <c r="G108" s="4"/>
      <c r="H108" s="4"/>
      <c r="I108" s="4"/>
    </row>
    <row r="109" spans="5:9" ht="12.75">
      <c r="E109" s="2"/>
      <c r="F109" s="3"/>
      <c r="G109" s="4"/>
      <c r="H109" s="3"/>
      <c r="I109" s="4"/>
    </row>
    <row r="110" spans="5:9" ht="12.75">
      <c r="E110" s="2"/>
      <c r="F110" s="3"/>
      <c r="G110" s="4"/>
      <c r="H110" s="3"/>
      <c r="I110" s="4"/>
    </row>
    <row r="111" spans="5:9" ht="12.75">
      <c r="E111" s="2"/>
      <c r="F111" s="3"/>
      <c r="G111" s="4"/>
      <c r="H111" s="3"/>
      <c r="I111" s="4"/>
    </row>
    <row r="112" spans="5:9" ht="12.75">
      <c r="E112" s="2"/>
      <c r="F112" s="3"/>
      <c r="G112" s="4"/>
      <c r="H112" s="3"/>
      <c r="I112" s="4"/>
    </row>
    <row r="113" spans="5:9" ht="12.75">
      <c r="E113" s="2"/>
      <c r="F113" s="3"/>
      <c r="G113" s="4"/>
      <c r="H113" s="3"/>
      <c r="I113" s="4"/>
    </row>
    <row r="114" spans="5:9" ht="12.75">
      <c r="E114" s="2"/>
      <c r="F114" s="3"/>
      <c r="G114" s="4"/>
      <c r="H114" s="4"/>
      <c r="I114" s="4"/>
    </row>
    <row r="115" spans="5:9" ht="12.75">
      <c r="E115" s="2"/>
      <c r="F115" s="3"/>
      <c r="G115" s="4"/>
      <c r="H115" s="4"/>
      <c r="I115" s="4"/>
    </row>
    <row r="116" spans="5:9" ht="12.75">
      <c r="E116" s="2"/>
      <c r="F116" s="3"/>
      <c r="G116" s="4"/>
      <c r="H116" s="3"/>
      <c r="I116" s="4"/>
    </row>
    <row r="117" spans="5:9" ht="12.75">
      <c r="E117" s="2"/>
      <c r="F117" s="3"/>
      <c r="G117" s="4"/>
      <c r="H117" s="3"/>
      <c r="I117" s="4"/>
    </row>
    <row r="118" spans="5:9" ht="12.75">
      <c r="E118" s="2"/>
      <c r="F118" s="3"/>
      <c r="G118" s="4"/>
      <c r="H118" s="3"/>
      <c r="I118" s="4"/>
    </row>
    <row r="119" spans="5:9" ht="12.75">
      <c r="E119" s="2"/>
      <c r="F119" s="3"/>
      <c r="G119" s="4"/>
      <c r="H119" s="3"/>
      <c r="I119" s="4"/>
    </row>
    <row r="120" spans="5:9" ht="12.75">
      <c r="E120" s="2"/>
      <c r="F120" s="3"/>
      <c r="G120" s="4"/>
      <c r="H120" s="3"/>
      <c r="I120" s="4"/>
    </row>
    <row r="121" spans="5:9" ht="12.75">
      <c r="E121" s="2"/>
      <c r="F121" s="3"/>
      <c r="G121" s="4"/>
      <c r="H121" s="4"/>
      <c r="I121" s="4"/>
    </row>
    <row r="122" spans="7:9" ht="12.75">
      <c r="G122" s="9"/>
      <c r="H122" s="9"/>
      <c r="I122" s="9"/>
    </row>
    <row r="123" spans="7:9" ht="16.5" customHeight="1">
      <c r="G123" s="12"/>
      <c r="H123" s="10"/>
      <c r="I123" s="12"/>
    </row>
    <row r="124" ht="12.75">
      <c r="H124" s="13"/>
    </row>
  </sheetData>
  <mergeCells count="2">
    <mergeCell ref="J30:L30"/>
    <mergeCell ref="A62:B62"/>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Zevallos</dc:creator>
  <cp:keywords/>
  <dc:description/>
  <cp:lastModifiedBy>Patricia Zevallos</cp:lastModifiedBy>
  <cp:lastPrinted>2007-11-25T21:45:01Z</cp:lastPrinted>
  <dcterms:created xsi:type="dcterms:W3CDTF">2007-04-15T23:26:23Z</dcterms:created>
  <dcterms:modified xsi:type="dcterms:W3CDTF">2007-11-27T04:40:49Z</dcterms:modified>
  <cp:category/>
  <cp:version/>
  <cp:contentType/>
  <cp:contentStatus/>
</cp:coreProperties>
</file>