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455" tabRatio="926" firstSheet="7" activeTab="12"/>
  </bookViews>
  <sheets>
    <sheet name="INVERSIONES" sheetId="1" r:id="rId1"/>
    <sheet name="VALOR DESECHO" sheetId="2" r:id="rId2"/>
    <sheet name="COSTOS DE PRESTACION" sheetId="3" r:id="rId3"/>
    <sheet name="PUBLICIDAD ANTES-POST" sheetId="4" r:id="rId4"/>
    <sheet name="RESUMEN DE C Y G" sheetId="5" r:id="rId5"/>
    <sheet name="CAPITAL DE TRABAJO" sheetId="6" r:id="rId6"/>
    <sheet name="FLUJO  COSTOS DE PRESTACION" sheetId="7" r:id="rId7"/>
    <sheet name="costos fijos" sheetId="8" r:id="rId8"/>
    <sheet name="INGRESOS" sheetId="9" r:id="rId9"/>
    <sheet name="ESTADO DE PERDIDAS Y GANANCIAS" sheetId="10" r:id="rId10"/>
    <sheet name="WACC" sheetId="11" r:id="rId11"/>
    <sheet name="indices" sheetId="12" r:id="rId12"/>
    <sheet name="FLUJO DE CAJA" sheetId="13" r:id="rId13"/>
    <sheet name="BALANCE PROYECTADORA" sheetId="14" r:id="rId14"/>
    <sheet name="SERV. DEUDA" sheetId="15" r:id="rId15"/>
  </sheets>
  <externalReferences>
    <externalReference r:id="rId18"/>
  </externalReferences>
  <definedNames>
    <definedName name="_xlnm.Print_Area" localSheetId="2">'COSTOS DE PRESTACION'!$A$1:$E$114</definedName>
    <definedName name="_xlnm.Print_Area" localSheetId="0">'INVERSIONES'!$A$1:$G$178</definedName>
    <definedName name="_xlnm.Print_Area" localSheetId="1">'VALOR DESECHO'!$A$26:$E$97</definedName>
  </definedNames>
  <calcPr fullCalcOnLoad="1"/>
</workbook>
</file>

<file path=xl/comments11.xml><?xml version="1.0" encoding="utf-8"?>
<comments xmlns="http://schemas.openxmlformats.org/spreadsheetml/2006/main">
  <authors>
    <author>XCADENA</author>
  </authors>
  <commentList>
    <comment ref="A7" authorId="0">
      <text>
        <r>
          <rPr>
            <b/>
            <sz val="8"/>
            <rFont val="Tahoma"/>
            <family val="2"/>
          </rPr>
          <t>XCADENA:</t>
        </r>
        <r>
          <rPr>
            <sz val="8"/>
            <rFont val="Tahoma"/>
            <family val="2"/>
          </rPr>
          <t xml:space="preserve">
BETA APLANCADO</t>
        </r>
      </text>
    </comment>
    <comment ref="A3" authorId="0">
      <text>
        <r>
          <rPr>
            <b/>
            <sz val="8"/>
            <rFont val="Tahoma"/>
            <family val="2"/>
          </rPr>
          <t>XCADENA:</t>
        </r>
        <r>
          <rPr>
            <sz val="8"/>
            <rFont val="Tahoma"/>
            <family val="2"/>
          </rPr>
          <t xml:space="preserve">
BETA DESAPALANCADO</t>
        </r>
      </text>
    </comment>
  </commentList>
</comments>
</file>

<file path=xl/comments3.xml><?xml version="1.0" encoding="utf-8"?>
<comments xmlns="http://schemas.openxmlformats.org/spreadsheetml/2006/main">
  <authors>
    <author>Rodger Salazar</author>
  </authors>
  <commentList>
    <comment ref="A27" authorId="0">
      <text>
        <r>
          <rPr>
            <b/>
            <sz val="8"/>
            <color indexed="8"/>
            <rFont val="Tahoma"/>
            <family val="2"/>
          </rPr>
          <t>Rodger Salazar:</t>
        </r>
        <r>
          <rPr>
            <sz val="8"/>
            <color indexed="8"/>
            <rFont val="Tahoma"/>
            <family val="2"/>
          </rPr>
          <t xml:space="preserve">
ES EL INSUMO QUE SUFRIRA EL PROCESO DE TRANSFORMACION
</t>
        </r>
      </text>
    </comment>
    <comment ref="A36" authorId="0">
      <text>
        <r>
          <rPr>
            <b/>
            <sz val="8"/>
            <color indexed="8"/>
            <rFont val="Tahoma"/>
            <family val="2"/>
          </rPr>
          <t>Rodger Salazar:</t>
        </r>
        <r>
          <rPr>
            <sz val="8"/>
            <color indexed="8"/>
            <rFont val="Tahoma"/>
            <family val="2"/>
          </rPr>
          <t xml:space="preserve">
ES EL INSUMO QUE SUFRIRA EL PROCESO DE TRANSFORMACION
</t>
        </r>
      </text>
    </comment>
    <comment ref="A44" authorId="0">
      <text>
        <r>
          <rPr>
            <b/>
            <sz val="8"/>
            <color indexed="8"/>
            <rFont val="Tahoma"/>
            <family val="2"/>
          </rPr>
          <t>Rodger Salazar:</t>
        </r>
        <r>
          <rPr>
            <sz val="8"/>
            <color indexed="8"/>
            <rFont val="Tahoma"/>
            <family val="2"/>
          </rPr>
          <t xml:space="preserve">
DEPRECIACION DE EDIFICACIONES, EQUIPOS, MUEBLES,VEHICULOS Y OTRAS INSTALACIONES LIGADAS AL PROCESO DE PRODUCCION
</t>
        </r>
      </text>
    </comment>
    <comment ref="A84" authorId="0">
      <text>
        <r>
          <rPr>
            <b/>
            <sz val="8"/>
            <color indexed="8"/>
            <rFont val="Tahoma"/>
            <family val="2"/>
          </rPr>
          <t>Rodger Salazar:</t>
        </r>
        <r>
          <rPr>
            <sz val="8"/>
            <color indexed="8"/>
            <rFont val="Tahoma"/>
            <family val="2"/>
          </rPr>
          <t xml:space="preserve">
ES EL INSUMO QUE SUFRIRA EL PROCESO DE TRANSFORMACION
</t>
        </r>
      </text>
    </comment>
    <comment ref="A87" authorId="0">
      <text>
        <r>
          <rPr>
            <b/>
            <sz val="8"/>
            <color indexed="8"/>
            <rFont val="Tahoma"/>
            <family val="2"/>
          </rPr>
          <t>Rodger Salazar:</t>
        </r>
        <r>
          <rPr>
            <sz val="8"/>
            <color indexed="8"/>
            <rFont val="Tahoma"/>
            <family val="2"/>
          </rPr>
          <t xml:space="preserve">
ES EL INSUMO QUE SUFRIRA EL PROCESO DE TRANSFORMACION
</t>
        </r>
      </text>
    </comment>
  </commentList>
</comments>
</file>

<file path=xl/sharedStrings.xml><?xml version="1.0" encoding="utf-8"?>
<sst xmlns="http://schemas.openxmlformats.org/spreadsheetml/2006/main" count="1196" uniqueCount="582">
  <si>
    <t>PRESUPUESTO DE INVERSIONES</t>
  </si>
  <si>
    <t>FASE SEGUNDA</t>
  </si>
  <si>
    <t>A.- TERRENOS</t>
  </si>
  <si>
    <t>Cantidad</t>
  </si>
  <si>
    <t>Descripción</t>
  </si>
  <si>
    <t>Unidad</t>
  </si>
  <si>
    <t>Precio Unitario</t>
  </si>
  <si>
    <t>Total</t>
  </si>
  <si>
    <t>APORTE DEL PROMOTOR</t>
  </si>
  <si>
    <t>PRESTAMO</t>
  </si>
  <si>
    <t xml:space="preserve"> Terreno</t>
  </si>
  <si>
    <t>Ha.</t>
  </si>
  <si>
    <t>TOTAL</t>
  </si>
  <si>
    <t>B.- CONSTRUCCIONES Y OBRAS CIVILES</t>
  </si>
  <si>
    <t>Instalaciones Electricas (Acometida, Postes, transformadores, generador, luminaria)</t>
  </si>
  <si>
    <t>global</t>
  </si>
  <si>
    <t>Dotacion de Agua Potable ( Acometida, Cisternas, bombas)</t>
  </si>
  <si>
    <t>Dotacion de Agua para Riego (Cedege)</t>
  </si>
  <si>
    <t>metros</t>
  </si>
  <si>
    <t>Estación de bombeo y Lineas de conduccion para riego</t>
  </si>
  <si>
    <t>m2</t>
  </si>
  <si>
    <t>Construir Parqueo</t>
  </si>
  <si>
    <t xml:space="preserve">Cerramiento Principal: Puerta, pileta, recubrimiento </t>
  </si>
  <si>
    <t>ml</t>
  </si>
  <si>
    <t>Construccion de Lobby de recepcion (Punto de Venta)</t>
  </si>
  <si>
    <t>Construccion Vestuarios</t>
  </si>
  <si>
    <t>Construccion de suites</t>
  </si>
  <si>
    <t>Construccion de Cabañas familiares</t>
  </si>
  <si>
    <t>Construccion de Reservorio</t>
  </si>
  <si>
    <t>C.- MAQUINARIA Y EQUIPO</t>
  </si>
  <si>
    <t>Podadora de cesped</t>
  </si>
  <si>
    <t>Compresor de aire</t>
  </si>
  <si>
    <t>Lavadora Industrial de ropa</t>
  </si>
  <si>
    <t>Secadora Industrial de ropa</t>
  </si>
  <si>
    <t>Frigorificos</t>
  </si>
  <si>
    <t>Equipo de cocina industrial</t>
  </si>
  <si>
    <t>Calentador de agua</t>
  </si>
  <si>
    <t>Bombas de 3Hp, 80 Hp, 1,5Hp</t>
  </si>
  <si>
    <t>Global</t>
  </si>
  <si>
    <t>Sistema de Climatización Restaurante</t>
  </si>
  <si>
    <t xml:space="preserve">Equipos de audio </t>
  </si>
  <si>
    <t>Infocus para conferencias</t>
  </si>
  <si>
    <t>Televisores Pantalla gigante y plana</t>
  </si>
  <si>
    <t>Generador de Energia electrica</t>
  </si>
  <si>
    <t>Soldadora</t>
  </si>
  <si>
    <t>Carretones</t>
  </si>
  <si>
    <t>Juegos Infantiles</t>
  </si>
  <si>
    <t>Tanque  Acero Inoxidable</t>
  </si>
  <si>
    <t>Contenedores de 4 m3 Para deposito de Basura</t>
  </si>
  <si>
    <t>D.- VEHÍCULOS</t>
  </si>
  <si>
    <t>Camionetas</t>
  </si>
  <si>
    <t>E.- MUEBLES</t>
  </si>
  <si>
    <t>Muebles de oficina (escritorio , sillas, archivadores)</t>
  </si>
  <si>
    <t>puestos</t>
  </si>
  <si>
    <t>Mobiliario Urbano: bancas</t>
  </si>
  <si>
    <t>Mobiliario Urbano: Postes y focos de iluminacion</t>
  </si>
  <si>
    <t>Colchones 2 plazas</t>
  </si>
  <si>
    <t>Utensilios Pecuarios</t>
  </si>
  <si>
    <t>TV 21"</t>
  </si>
  <si>
    <t>DVD</t>
  </si>
  <si>
    <t>Acondicionador de Aire</t>
  </si>
  <si>
    <t>Botes</t>
  </si>
  <si>
    <t>Cañas de Pescar</t>
  </si>
  <si>
    <t>Chalecos Salvavidas niños</t>
  </si>
  <si>
    <t>Chalecos Salvavidas Adultos</t>
  </si>
  <si>
    <t>Carpas</t>
  </si>
  <si>
    <t>Perezosas</t>
  </si>
  <si>
    <t>Bicicletas</t>
  </si>
  <si>
    <t>F.- DOTACIONES</t>
  </si>
  <si>
    <t>Herramientas mantenimiento (piscinas)</t>
  </si>
  <si>
    <t>Herramientas de jardineria</t>
  </si>
  <si>
    <t>Utilitarios de cocina: Vajillas, utensilios, etc</t>
  </si>
  <si>
    <t>Tanques de 40 gal. Para Basura</t>
  </si>
  <si>
    <t>Utilitarios de Agricultura</t>
  </si>
  <si>
    <t>Kit de herramientas para mantenimiento y servicios generales</t>
  </si>
  <si>
    <t>Utilitarios de primeros auxilios</t>
  </si>
  <si>
    <t>G.- ANIMALES Y PLANTAS</t>
  </si>
  <si>
    <t>Perros</t>
  </si>
  <si>
    <t>Avestruces</t>
  </si>
  <si>
    <t>Arboles frutales, medicinales,ornamentales.</t>
  </si>
  <si>
    <t>Jardines de versalles</t>
  </si>
  <si>
    <t>A.- ESTUDIOS TÉCNICOS Y JURÍDICOS</t>
  </si>
  <si>
    <t>Consultoria Pecuaria</t>
  </si>
  <si>
    <t>Estudio Hidráulico  y diseño Arquitectónico</t>
  </si>
  <si>
    <t>B.- ESTUDIOS ECONÓMICOS Y AMBIENTALES</t>
  </si>
  <si>
    <t>Estudio Mecánica de Suelos</t>
  </si>
  <si>
    <t>Estudio Topográfico</t>
  </si>
  <si>
    <t>C.- GASTOS DE LA ORGANIZACIÓN</t>
  </si>
  <si>
    <t>Constitucion y registro de compañía</t>
  </si>
  <si>
    <t>Montaje de Bombas de 3Hp, 80 Hp, 1,5Hp</t>
  </si>
  <si>
    <t>Montaje de Sistema de Climatización Restaurante</t>
  </si>
  <si>
    <t>Montaje de Generador de Energia electrica</t>
  </si>
  <si>
    <t>Montaje de Juegos Infantiles</t>
  </si>
  <si>
    <t>Instalaciones de equipos telefonico</t>
  </si>
  <si>
    <t>Instalación de equipos Internet</t>
  </si>
  <si>
    <t>Instalación de equipos Cable</t>
  </si>
  <si>
    <t>F.- USO DE PATENTES Y LICENCIAS</t>
  </si>
  <si>
    <t>Permiso Municipal</t>
  </si>
  <si>
    <t>Licencia de Turismos Cetur</t>
  </si>
  <si>
    <t>Inducción Personal campo</t>
  </si>
  <si>
    <t>Capacitacion personal operativo</t>
  </si>
  <si>
    <t>meses</t>
  </si>
  <si>
    <t>Gastos administrativos durante periodo preoperacional</t>
  </si>
  <si>
    <t xml:space="preserve">A.- EFECTIVO Y BANCOS     </t>
  </si>
  <si>
    <t>Efectivo y Bancos</t>
  </si>
  <si>
    <t>dias</t>
  </si>
  <si>
    <t>0</t>
  </si>
  <si>
    <t>INVERSION</t>
  </si>
  <si>
    <t>mes</t>
  </si>
  <si>
    <t>1.-  COSTOS DE OPERACIÓN MENSUALES</t>
  </si>
  <si>
    <t>A.- COSTOS DIRECTOS</t>
  </si>
  <si>
    <t>A1.- MATERIA PRIMA</t>
  </si>
  <si>
    <t>cantidad</t>
  </si>
  <si>
    <t>P.unitario</t>
  </si>
  <si>
    <t>Subtotal</t>
  </si>
  <si>
    <t>Insumos para la preparacion de menus</t>
  </si>
  <si>
    <t>A2.- MATERIALES DIRECTOS</t>
  </si>
  <si>
    <t>Alimentacion de Animales</t>
  </si>
  <si>
    <t>A3.- MANO DE OBRA DIRECTA</t>
  </si>
  <si>
    <t>Salario basico /mes</t>
  </si>
  <si>
    <t>Salario Mes cargas sociales</t>
  </si>
  <si>
    <t>Auxiliar de cocina</t>
  </si>
  <si>
    <t>Alimentacion de Personal de Operativo</t>
  </si>
  <si>
    <t>diarios</t>
  </si>
  <si>
    <t>TOTAL DE COSTOS DIRECTOS</t>
  </si>
  <si>
    <t xml:space="preserve">A.- </t>
  </si>
  <si>
    <t>B.- GASTOS DE PRESTACION DE SERVICIO</t>
  </si>
  <si>
    <t>B1.- MATERIALES INDIRECTOS</t>
  </si>
  <si>
    <t>Diesel</t>
  </si>
  <si>
    <t>Gas</t>
  </si>
  <si>
    <t>cilindros</t>
  </si>
  <si>
    <t>Lubricantes</t>
  </si>
  <si>
    <t>Peajes</t>
  </si>
  <si>
    <t>Pomas</t>
  </si>
  <si>
    <t>Papeleria/fundas</t>
  </si>
  <si>
    <t>Utiles de aseo</t>
  </si>
  <si>
    <t>B2.- MANO DE OBRA INDIRECTA</t>
  </si>
  <si>
    <t>TOTAL DE GASTOS DE FABRICACION O PRODUCCION</t>
  </si>
  <si>
    <t xml:space="preserve">B.- </t>
  </si>
  <si>
    <t>C.- OTROS GASTOS INDIRECTOS</t>
  </si>
  <si>
    <t>C1.- DEPRECIACION DE INSTALACIONES DEL COMPLEJO TURISTICO</t>
  </si>
  <si>
    <t>% dep.</t>
  </si>
  <si>
    <t>tiempo /años</t>
  </si>
  <si>
    <t>Valor Activo</t>
  </si>
  <si>
    <t>Depreciacion Mensual</t>
  </si>
  <si>
    <t>Edificaciones</t>
  </si>
  <si>
    <t>Equipos Y maquinarias</t>
  </si>
  <si>
    <t>Mobiliarios</t>
  </si>
  <si>
    <t>Vehiculos</t>
  </si>
  <si>
    <t>C2.- SERVICIOS</t>
  </si>
  <si>
    <t>Agua Potable</t>
  </si>
  <si>
    <t>m3</t>
  </si>
  <si>
    <t>Luz</t>
  </si>
  <si>
    <t>Kwh</t>
  </si>
  <si>
    <t>Telefonos celulares</t>
  </si>
  <si>
    <t>C3.- MANTENIMIENTO</t>
  </si>
  <si>
    <t>% de mantenimiento</t>
  </si>
  <si>
    <t>Vehiculos y maquinarias</t>
  </si>
  <si>
    <t>Muebles y enseres</t>
  </si>
  <si>
    <t>mensual</t>
  </si>
  <si>
    <t xml:space="preserve">C5.- IMPUESTO DE INSTALACIONES </t>
  </si>
  <si>
    <t>Impuesto Predial. Uso de funcionamiento</t>
  </si>
  <si>
    <t>Impuesto a la camara de turismo del Ecuador</t>
  </si>
  <si>
    <t>Impuesto al Vehiculos matriculacion</t>
  </si>
  <si>
    <t>C6.- AMORTIZACIONES DE DIFERIDOS</t>
  </si>
  <si>
    <t>Monto</t>
  </si>
  <si>
    <t>Gastos de montaje</t>
  </si>
  <si>
    <t>Instalacion, pruebas en marcha</t>
  </si>
  <si>
    <t>Uso de patentes y licencias</t>
  </si>
  <si>
    <t>Capacitacion</t>
  </si>
  <si>
    <t>Gastos financieros durante la ejecucion</t>
  </si>
  <si>
    <t>TOTAL DE OTROS GASTOS INDIRECTOS</t>
  </si>
  <si>
    <t xml:space="preserve">C.- </t>
  </si>
  <si>
    <t>2.- GASTOS DE ADMINISTRACION</t>
  </si>
  <si>
    <t>A.- SUELDOS PERSONAL EJECUTIVO</t>
  </si>
  <si>
    <t>Mobiliario de oficina</t>
  </si>
  <si>
    <t>Estudios tecnicos y juridicos</t>
  </si>
  <si>
    <t>Estudios economicos y ambientales</t>
  </si>
  <si>
    <t>Gastos de organización</t>
  </si>
  <si>
    <t>% seg</t>
  </si>
  <si>
    <t>Unidad/mes</t>
  </si>
  <si>
    <t>P. unitario</t>
  </si>
  <si>
    <t>Papeleria</t>
  </si>
  <si>
    <t>Utiles de oficina</t>
  </si>
  <si>
    <t>Comunicaciones (telefonos,fax, internet)</t>
  </si>
  <si>
    <t>Transporte</t>
  </si>
  <si>
    <t>3.-  GASTOS DE VENTAS</t>
  </si>
  <si>
    <t>A.- GASTOS DE COMERCIALIZACION</t>
  </si>
  <si>
    <t>Costo/mes</t>
  </si>
  <si>
    <t>4.-  TOTAL DE PRESTACION DEL SERVICIO</t>
  </si>
  <si>
    <t>Requerimiento de Capital de Trabajo</t>
  </si>
  <si>
    <t>Factor Caja (ciclo de caja)</t>
  </si>
  <si>
    <t>VALOR USD $</t>
  </si>
  <si>
    <t>A.- CAPITAL DE TRABAJO OPERATIVO</t>
  </si>
  <si>
    <t>Materiales directos</t>
  </si>
  <si>
    <t>Materiales Indirectos</t>
  </si>
  <si>
    <t>Suministro y servicios</t>
  </si>
  <si>
    <t>Mano de Obra directa</t>
  </si>
  <si>
    <t>Mano de Obra Indirecta</t>
  </si>
  <si>
    <t>Mantenimiento y seguros (activos fijos operativos)</t>
  </si>
  <si>
    <t>SUBTOTAL</t>
  </si>
  <si>
    <t>Requerimiento diario</t>
  </si>
  <si>
    <t>Requerimiento ciclo de caja</t>
  </si>
  <si>
    <t>Inventario inicial</t>
  </si>
  <si>
    <t>CAPITAL DE TRABAJO OPERATIVO</t>
  </si>
  <si>
    <t>B.- CAPITAL DE TRABAJO ADMINISTRACION Y VENTAS</t>
  </si>
  <si>
    <t>Gastos administrativos que representan desembolsos</t>
  </si>
  <si>
    <t>Gastos de ventas que representan desembolsos</t>
  </si>
  <si>
    <t>CAPITAL DE TRABAJO ADMINISTRACION Y VENTAS</t>
  </si>
  <si>
    <t>CAPITAL DE TRABAJO</t>
  </si>
  <si>
    <t xml:space="preserve">Costos y Gastos </t>
  </si>
  <si>
    <t>A.- VARIABLES</t>
  </si>
  <si>
    <t>Comisiones sobre ventas</t>
  </si>
  <si>
    <t>TOTAL VARIABLES</t>
  </si>
  <si>
    <t>B.- FIJOS</t>
  </si>
  <si>
    <t>Mantenimiento y seguros</t>
  </si>
  <si>
    <t>Depreciaciones de activos fijos</t>
  </si>
  <si>
    <t>Amortizaciones de activos diferidos</t>
  </si>
  <si>
    <t>Gastos financieros</t>
  </si>
  <si>
    <t>Gastos de administracion</t>
  </si>
  <si>
    <t>Gastos de ventas (excepto comisiones)</t>
  </si>
  <si>
    <t>TOTAL FIJOS</t>
  </si>
  <si>
    <t>RESUMEN DE COSTOS Y GASTOS</t>
  </si>
  <si>
    <t>FLUJO DE OPERACIÓN</t>
  </si>
  <si>
    <t>PERIODO &gt;&gt;&gt;&gt;&gt;&gt;&gt;&gt;&gt;&gt;&gt;&gt;&gt;&gt;&gt;&gt;&gt;&gt;&gt;&gt;&gt;</t>
  </si>
  <si>
    <t>COSTOS DE PRESTACION DE SERVICIO</t>
  </si>
  <si>
    <t>COSTOS DIRECTOS</t>
  </si>
  <si>
    <t>MATERIA PRIMA</t>
  </si>
  <si>
    <t>MATERIALES DIRECTOS</t>
  </si>
  <si>
    <t>MANO DE OBRA</t>
  </si>
  <si>
    <t>PRESTACIONES</t>
  </si>
  <si>
    <t>OTROS MATERIALES DIRECTOS</t>
  </si>
  <si>
    <t>MATERIALES INDIRECTOS</t>
  </si>
  <si>
    <t>MANO DE OBRA INDIRECTA</t>
  </si>
  <si>
    <t>OTROS GASTOS INDIRECTOS</t>
  </si>
  <si>
    <t>MANTENIMIENTO</t>
  </si>
  <si>
    <t>IMPUESTOS</t>
  </si>
  <si>
    <t>AMORTIZACION DE DIFERIDOS</t>
  </si>
  <si>
    <t>OTROS</t>
  </si>
  <si>
    <t>VENTAS</t>
  </si>
  <si>
    <t>DEPRECIACION INSTALACIONES</t>
  </si>
  <si>
    <t xml:space="preserve">SERVICIOS </t>
  </si>
  <si>
    <t>GASTOS ADMINISTRATIVOS</t>
  </si>
  <si>
    <t>SUELDOS</t>
  </si>
  <si>
    <t>DEPRECIACION ADMINISTRATIVA</t>
  </si>
  <si>
    <t>SEGUROS</t>
  </si>
  <si>
    <t>OTROS IMPUESTOS</t>
  </si>
  <si>
    <t>GASTOS DE  VENTAS</t>
  </si>
  <si>
    <t>GASTOS DE COMERCIALIZACION</t>
  </si>
  <si>
    <t>GASTOS FINANCIEROS</t>
  </si>
  <si>
    <t>Precio</t>
  </si>
  <si>
    <t>ESTADO DE PERDIDA Y GANANCIAS</t>
  </si>
  <si>
    <t xml:space="preserve"> VENTAS NETAS   (+)</t>
  </si>
  <si>
    <t>COSTOS DE VENTAS  (-)</t>
  </si>
  <si>
    <t xml:space="preserve">UTILIDAD OPERACIONAL </t>
  </si>
  <si>
    <t>INTERESES DEL CREDITO</t>
  </si>
  <si>
    <t>UTILIDAD OPERACIONAL ANTES DE PARTICIPACION</t>
  </si>
  <si>
    <t>PARTICIPACION DE UTILIDADES 15%    (-)</t>
  </si>
  <si>
    <t>UTILIDAD ANTES DEL IMPUESTO A LA RENTA</t>
  </si>
  <si>
    <t>IMPUESTO A LA RENTA 25% (-)</t>
  </si>
  <si>
    <t>UTILIDAD NETA</t>
  </si>
  <si>
    <t>RESERVA LEGAL 10%</t>
  </si>
  <si>
    <t>UTILIDAD DISTRIBUIBLE</t>
  </si>
  <si>
    <t>% DE DISTRIBUCION DE UTILIDADES</t>
  </si>
  <si>
    <t>UTILIDAD DISTRIBUIDA</t>
  </si>
  <si>
    <t>SALDOS QUE NO HAN SIDO RETENIDOS</t>
  </si>
  <si>
    <t>TIR</t>
  </si>
  <si>
    <t>A</t>
  </si>
  <si>
    <t>B</t>
  </si>
  <si>
    <t>EGRESOS OPERACIONALES</t>
  </si>
  <si>
    <t>D</t>
  </si>
  <si>
    <t>E</t>
  </si>
  <si>
    <t>F</t>
  </si>
  <si>
    <t>SALDO INICIAL DE CAJA</t>
  </si>
  <si>
    <t>SALDO FINAL DE CAJA  (G+H)</t>
  </si>
  <si>
    <t>ACTIVO CORRIENTE</t>
  </si>
  <si>
    <t>Activos fijos operativos</t>
  </si>
  <si>
    <t>Activos fijos  administracion y ventas</t>
  </si>
  <si>
    <t>PASIVO CORRIENTE</t>
  </si>
  <si>
    <t>PATRIMONIO</t>
  </si>
  <si>
    <t>Capital social pagado</t>
  </si>
  <si>
    <t>Reserva legal 10%</t>
  </si>
  <si>
    <t>Futuras capitalizaciones</t>
  </si>
  <si>
    <t>Utilidad retenida</t>
  </si>
  <si>
    <t>TOTAL PATRIMONIO</t>
  </si>
  <si>
    <t>ACTIVO</t>
  </si>
  <si>
    <t>TABLA DE AMORTIZACION</t>
  </si>
  <si>
    <t>MONTO INICIAL</t>
  </si>
  <si>
    <t>PLAZO</t>
  </si>
  <si>
    <t>GRACIA TOTAL</t>
  </si>
  <si>
    <t>GRACIA PARCIAL</t>
  </si>
  <si>
    <t>INTERES NOMINAL</t>
  </si>
  <si>
    <t>PERIODO DE PAGO</t>
  </si>
  <si>
    <t>Trimestral</t>
  </si>
  <si>
    <t>TRIMESTRES</t>
  </si>
  <si>
    <t>PRINCIPAL</t>
  </si>
  <si>
    <t>AMORTIZACION</t>
  </si>
  <si>
    <t>INTERES</t>
  </si>
  <si>
    <t>CUOTA</t>
  </si>
  <si>
    <t>Año de gracia</t>
  </si>
  <si>
    <t>interes</t>
  </si>
  <si>
    <t>capital</t>
  </si>
  <si>
    <t>Meses</t>
  </si>
  <si>
    <t>menus/mes</t>
  </si>
  <si>
    <t>lantanas</t>
  </si>
  <si>
    <t>tierra sembrado</t>
  </si>
  <si>
    <t>purpura</t>
  </si>
  <si>
    <t>yersey</t>
  </si>
  <si>
    <t>yersey vacas</t>
  </si>
  <si>
    <t>holstein</t>
  </si>
  <si>
    <t>brahman toro</t>
  </si>
  <si>
    <t>brahman vaca</t>
  </si>
  <si>
    <t>bronk suites</t>
  </si>
  <si>
    <t>holstein roja</t>
  </si>
  <si>
    <t>Ganado Vacuno</t>
  </si>
  <si>
    <t>Ganado Equino</t>
  </si>
  <si>
    <t>Lámparas de mesa</t>
  </si>
  <si>
    <t>Veladores</t>
  </si>
  <si>
    <t>Bombas de 205 hp</t>
  </si>
  <si>
    <t>Juegos de sillas - mesa</t>
  </si>
  <si>
    <t>INDICADORES FINANCIEROS DE EFICIENCIA</t>
  </si>
  <si>
    <t>VENTAS NETAS</t>
  </si>
  <si>
    <t>ACTIVO TOTAL</t>
  </si>
  <si>
    <t>INDICADORES FINANCIEROS DE ENDEUDAMIENTO</t>
  </si>
  <si>
    <t>PASIVO TOTAL</t>
  </si>
  <si>
    <t>Indice de solidez</t>
  </si>
  <si>
    <t>UTILIDAD OPERACIONAL</t>
  </si>
  <si>
    <t>INDICADORES FINANCIEROS DE RENTABILIDAD</t>
  </si>
  <si>
    <t>ACTIVOS</t>
  </si>
  <si>
    <t>ROE</t>
  </si>
  <si>
    <t>ROA</t>
  </si>
  <si>
    <t>Rentabilidad Global</t>
  </si>
  <si>
    <t>Juego de Cama de 2 plazas</t>
  </si>
  <si>
    <t xml:space="preserve">1.- INVERSIONES ACTIVOS FIJOS  OPERATIVOS </t>
  </si>
  <si>
    <t xml:space="preserve">2.- INVERSIONES DIFERIDAS </t>
  </si>
  <si>
    <t>3.- CAPITAL DE TRABAJO</t>
  </si>
  <si>
    <t>4.- TOTAL DE INVERSIONES</t>
  </si>
  <si>
    <t>Const. Restaurante - sala de Convenciones (Casa Blanca)</t>
  </si>
  <si>
    <t>Mejoramiento de Vias de acceso interno (Muro de albarrada)</t>
  </si>
  <si>
    <t>A4.- OTROS MATERIALES DIRECTOS</t>
  </si>
  <si>
    <t>B.- DEPRECIACIONES ADMINISTRATIVAS</t>
  </si>
  <si>
    <t>C.- AMORTIZACION DE DIFERIDOS</t>
  </si>
  <si>
    <t>D.- SEGUROS DEL AREA ADMINISTRATIVAS</t>
  </si>
  <si>
    <t>E.- OTROS IMPUESTOS</t>
  </si>
  <si>
    <t>E.- OTROS</t>
  </si>
  <si>
    <t xml:space="preserve">PERIODO </t>
  </si>
  <si>
    <t>RESUMEN DE COSTOS Y GASTOS/sf</t>
  </si>
  <si>
    <t>Construccion de Garitas para vigilancia</t>
  </si>
  <si>
    <t>Juegos de Comedor para restaurante</t>
  </si>
  <si>
    <t>Literas</t>
  </si>
  <si>
    <t>Colchones 1 1/2 plazas</t>
  </si>
  <si>
    <t>Bicicletas acuaticas</t>
  </si>
  <si>
    <t>FIJOS OPERATIVOS</t>
  </si>
  <si>
    <t>FIJOS AD. VENTAS</t>
  </si>
  <si>
    <t>Construccion Piscina Familiar</t>
  </si>
  <si>
    <t>Administrador</t>
  </si>
  <si>
    <t>B.- GASTOS DE MONTAJE</t>
  </si>
  <si>
    <t>C.- INSTALACIÓN ,PRUEBAS Y PUESTA EN MARCHA</t>
  </si>
  <si>
    <t>D.- CAPACITACIÓN</t>
  </si>
  <si>
    <t>E.- GASTOS FINANCIEROS DURANTE LA EJECUCION</t>
  </si>
  <si>
    <t>INVERTIDO</t>
  </si>
  <si>
    <t>Construccion Canchas de basket, tenis, Volley, futbol</t>
  </si>
  <si>
    <t>COSTOS INDIRECTOS DE PREST.</t>
  </si>
  <si>
    <t>FLUJO DE CAJA</t>
  </si>
  <si>
    <t>Año 0</t>
  </si>
  <si>
    <t>INGRESOS OPERACIONALES</t>
  </si>
  <si>
    <t>Ingresos Totales</t>
  </si>
  <si>
    <t>COSTOS DE OPERACIÓN</t>
  </si>
  <si>
    <t>GASTOS FINANCIEROS-CFN</t>
  </si>
  <si>
    <t>FLUJO OPERATIVO</t>
  </si>
  <si>
    <t>GASTOS DE VENTAS</t>
  </si>
  <si>
    <t>FLUJO NO OPERATIVO</t>
  </si>
  <si>
    <t>INGRESOS NO OPERATIVOS</t>
  </si>
  <si>
    <t>EGRESOS NO OPERATIVOS</t>
  </si>
  <si>
    <t>IMPUESTO A LA RENTA</t>
  </si>
  <si>
    <t>REPARTICION A TRABAJADORES</t>
  </si>
  <si>
    <t>Utilidad Distribuida</t>
  </si>
  <si>
    <t>FLUJO NETO GENERADO</t>
  </si>
  <si>
    <t>Cuadro # 38</t>
  </si>
  <si>
    <t>BALANCE GENERAL PROYECTADO</t>
  </si>
  <si>
    <t>CONCEPTOS</t>
  </si>
  <si>
    <t>Caja</t>
  </si>
  <si>
    <t>Total Activo Corriente</t>
  </si>
  <si>
    <t>(-) Deprec. Acumulada de Maq.</t>
  </si>
  <si>
    <t>(-) Deprec. Acumulada de Muebles y Enseres</t>
  </si>
  <si>
    <t>(-) Deprec.Vehiculo</t>
  </si>
  <si>
    <t>TOTAL DE ACTIVOS FIJOS</t>
  </si>
  <si>
    <t>PASIVO</t>
  </si>
  <si>
    <t>Obligaciones por Pagar CFN</t>
  </si>
  <si>
    <t>TOTAL PASIVO Y PATRIMONIO</t>
  </si>
  <si>
    <t>Activo Diferido</t>
  </si>
  <si>
    <t>TOTAL PASIVO CORRIENTE</t>
  </si>
  <si>
    <t>Recapitalizacion</t>
  </si>
  <si>
    <t>VAN</t>
  </si>
  <si>
    <t>PERIODO &gt;&gt;&gt;&gt;&gt;&gt;&gt;&gt;&gt;&gt;&gt;</t>
  </si>
  <si>
    <t>Rotación de Activo Total</t>
  </si>
  <si>
    <t>Suma Flujos</t>
  </si>
  <si>
    <t xml:space="preserve">Construccion de lago (22,500 m2 espejo de agua)  y Obras Hidraulicas. Incluye Muelle flotante </t>
  </si>
  <si>
    <t>Establos vacuno-sala de ordeño -caballos-gallinero</t>
  </si>
  <si>
    <t>Juego(100uni) de vajilla</t>
  </si>
  <si>
    <t>PROYECCION DE LOS INGRESOS</t>
  </si>
  <si>
    <t>PROYECCIÓN DE LA DEMANDA ANUAL</t>
  </si>
  <si>
    <t>AÑO 1</t>
  </si>
  <si>
    <t>AÑO 6</t>
  </si>
  <si>
    <t>AÑO 2</t>
  </si>
  <si>
    <t>AÑO 7</t>
  </si>
  <si>
    <t>AÑO 3</t>
  </si>
  <si>
    <t>AÑO 8</t>
  </si>
  <si>
    <t>AÑO 4</t>
  </si>
  <si>
    <t>AÑO 9</t>
  </si>
  <si>
    <t>AÑO 5</t>
  </si>
  <si>
    <t>AÑO 10</t>
  </si>
  <si>
    <t>Porcentaje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</si>
  <si>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</si>
  <si>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</si>
  <si>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</si>
  <si>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</si>
  <si>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</si>
  <si>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</si>
  <si>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</si>
  <si>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</si>
  <si>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</si>
  <si>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</si>
  <si>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</si>
  <si>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</si>
  <si>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Capacidad</t>
  </si>
  <si>
    <t># Eventos</t>
  </si>
  <si>
    <t>Eventos Sociales</t>
  </si>
  <si>
    <t>Eventos Empresarales</t>
  </si>
  <si>
    <t>DEMANDA DE EVENTOS</t>
  </si>
  <si>
    <t>INGRESOS</t>
  </si>
  <si>
    <t>Frecuencia</t>
  </si>
  <si>
    <t>Paquete Basico</t>
  </si>
  <si>
    <t>Paquete Estandar</t>
  </si>
  <si>
    <t>Paquete Completo</t>
  </si>
  <si>
    <t>Paquete Estrella</t>
  </si>
  <si>
    <t>Ingreso Total</t>
  </si>
  <si>
    <t>beta-unle</t>
  </si>
  <si>
    <t>L(P/A)</t>
  </si>
  <si>
    <t>CAPM</t>
  </si>
  <si>
    <t>WACC</t>
  </si>
  <si>
    <t>T</t>
  </si>
  <si>
    <t>Información</t>
  </si>
  <si>
    <t>%</t>
  </si>
  <si>
    <r>
      <t xml:space="preserve">rf </t>
    </r>
    <r>
      <rPr>
        <b/>
        <sz val="5"/>
        <color indexed="8"/>
        <rFont val="MS Sans Serif"/>
        <family val="2"/>
      </rPr>
      <t>1</t>
    </r>
  </si>
  <si>
    <r>
      <rPr>
        <sz val="5"/>
        <color indexed="8"/>
        <rFont val="MS Sans Serif"/>
        <family val="2"/>
      </rPr>
      <t>1</t>
    </r>
    <r>
      <rPr>
        <sz val="10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>Reserva Federal (USA)</t>
    </r>
  </si>
  <si>
    <r>
      <t xml:space="preserve">Ri </t>
    </r>
    <r>
      <rPr>
        <b/>
        <sz val="5"/>
        <color indexed="8"/>
        <rFont val="MS Sans Serif"/>
        <family val="2"/>
      </rPr>
      <t>1</t>
    </r>
  </si>
  <si>
    <r>
      <rPr>
        <sz val="5"/>
        <color indexed="8"/>
        <rFont val="MS Sans Serif"/>
        <family val="2"/>
      </rPr>
      <t>1</t>
    </r>
    <r>
      <rPr>
        <sz val="10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>CAPM</t>
    </r>
  </si>
  <si>
    <t>BETA a</t>
  </si>
  <si>
    <r>
      <t xml:space="preserve">B </t>
    </r>
    <r>
      <rPr>
        <b/>
        <sz val="5"/>
        <color indexed="8"/>
        <rFont val="MS Sans Serif"/>
        <family val="2"/>
      </rPr>
      <t>2</t>
    </r>
  </si>
  <si>
    <r>
      <rPr>
        <sz val="5"/>
        <color indexed="8"/>
        <rFont val="MS Sans Serif"/>
        <family val="2"/>
      </rPr>
      <t>2</t>
    </r>
    <r>
      <rPr>
        <sz val="8"/>
        <color indexed="8"/>
        <rFont val="MS Sans Serif"/>
        <family val="2"/>
      </rPr>
      <t xml:space="preserve"> Damodaran.com</t>
    </r>
  </si>
  <si>
    <r>
      <t xml:space="preserve">rd </t>
    </r>
    <r>
      <rPr>
        <b/>
        <sz val="5"/>
        <color indexed="8"/>
        <rFont val="MS Sans Serif"/>
        <family val="2"/>
      </rPr>
      <t>2</t>
    </r>
  </si>
  <si>
    <r>
      <rPr>
        <sz val="5"/>
        <color indexed="8"/>
        <rFont val="MS Sans Serif"/>
        <family val="2"/>
      </rPr>
      <t>2</t>
    </r>
    <r>
      <rPr>
        <sz val="8"/>
        <color indexed="8"/>
        <rFont val="MS Sans Serif"/>
        <family val="2"/>
      </rPr>
      <t xml:space="preserve"> Banco Central Ecuador</t>
    </r>
  </si>
  <si>
    <t>Rf_usa</t>
  </si>
  <si>
    <r>
      <t xml:space="preserve">rm </t>
    </r>
    <r>
      <rPr>
        <b/>
        <sz val="5"/>
        <color indexed="8"/>
        <rFont val="MS Sans Serif"/>
        <family val="2"/>
      </rPr>
      <t>3</t>
    </r>
  </si>
  <si>
    <r>
      <rPr>
        <sz val="5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>Yahoo Finance</t>
    </r>
  </si>
  <si>
    <r>
      <t xml:space="preserve">L (D/A) </t>
    </r>
    <r>
      <rPr>
        <b/>
        <sz val="5"/>
        <color indexed="8"/>
        <rFont val="MS Sans Serif"/>
        <family val="2"/>
      </rPr>
      <t>3</t>
    </r>
  </si>
  <si>
    <r>
      <rPr>
        <sz val="5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>Indice de Endeudamiento</t>
    </r>
  </si>
  <si>
    <t>Rpais</t>
  </si>
  <si>
    <r>
      <t xml:space="preserve">RP_Ecu </t>
    </r>
    <r>
      <rPr>
        <b/>
        <sz val="5"/>
        <color indexed="8"/>
        <rFont val="MS Sans Serif"/>
        <family val="2"/>
      </rPr>
      <t>4</t>
    </r>
  </si>
  <si>
    <r>
      <rPr>
        <sz val="5"/>
        <color indexed="8"/>
        <rFont val="MS Sans Serif"/>
        <family val="2"/>
      </rPr>
      <t>4</t>
    </r>
    <r>
      <rPr>
        <sz val="10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>Banco Central Ecuador</t>
    </r>
  </si>
  <si>
    <r>
      <t xml:space="preserve">T </t>
    </r>
    <r>
      <rPr>
        <b/>
        <sz val="5"/>
        <color indexed="8"/>
        <rFont val="MS Sans Serif"/>
        <family val="2"/>
      </rPr>
      <t>4</t>
    </r>
  </si>
  <si>
    <r>
      <rPr>
        <sz val="5"/>
        <color indexed="8"/>
        <rFont val="MS Sans Serif"/>
        <family val="2"/>
      </rPr>
      <t>4</t>
    </r>
    <r>
      <rPr>
        <sz val="10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>SRI</t>
    </r>
  </si>
  <si>
    <t>Rm</t>
  </si>
  <si>
    <t>Ri</t>
  </si>
  <si>
    <t>Rentabilidad</t>
  </si>
  <si>
    <t>Date</t>
  </si>
  <si>
    <t>walt disney</t>
  </si>
  <si>
    <t>INVERSION ACTIVO FIJO</t>
  </si>
  <si>
    <t>INVERSION ACTIVO DIFERIDO</t>
  </si>
  <si>
    <t>CREDITO CFN</t>
  </si>
  <si>
    <t>Eventos Religioso</t>
  </si>
  <si>
    <t>Arriendo de oficinas</t>
  </si>
  <si>
    <t>Gerente General</t>
  </si>
  <si>
    <t>Gerente de Marketing</t>
  </si>
  <si>
    <t>Asistente de gerencia</t>
  </si>
  <si>
    <t>Contador General</t>
  </si>
  <si>
    <t>Recepcionista</t>
  </si>
  <si>
    <t>Cocinera</t>
  </si>
  <si>
    <t>Mesero</t>
  </si>
  <si>
    <t>Limpieza y Mantenimiento</t>
  </si>
  <si>
    <t>Camarera</t>
  </si>
  <si>
    <t>Guardia de Seguridad</t>
  </si>
  <si>
    <t>Controlador</t>
  </si>
  <si>
    <t>Encargado de Boleteria</t>
  </si>
  <si>
    <t>Veterinaro zootecnista</t>
  </si>
  <si>
    <t>Ing. Agronomo</t>
  </si>
  <si>
    <t>Paquete colegial</t>
  </si>
  <si>
    <t>Eventos Religiosos</t>
  </si>
  <si>
    <t>Vida Util</t>
  </si>
  <si>
    <t>Valor de Desecho</t>
  </si>
  <si>
    <t>AÑOS</t>
  </si>
  <si>
    <t>Publicidad antes de la Apertura</t>
  </si>
  <si>
    <t>DIARIO</t>
  </si>
  <si>
    <t>MEDIDAS</t>
  </si>
  <si>
    <t>UBICACION</t>
  </si>
  <si>
    <t>DIAS  DE</t>
  </si>
  <si>
    <t>No.  DE</t>
  </si>
  <si>
    <t>VALOR</t>
  </si>
  <si>
    <t>PUBLICACION</t>
  </si>
  <si>
    <t>Avisos</t>
  </si>
  <si>
    <t>UNITARIO  ($)</t>
  </si>
  <si>
    <t>TOTAL  ($)</t>
  </si>
  <si>
    <t>EL UNIVERSO</t>
  </si>
  <si>
    <t>4 col. x 34.3 cms.  (19.6 x 34.3)</t>
  </si>
  <si>
    <t>Página Interior Secc. Vida y Estilo *F/C*</t>
  </si>
  <si>
    <t>Roba página a lo alto</t>
  </si>
  <si>
    <t>PROVEEDOR</t>
  </si>
  <si>
    <t>DESCRIPCION</t>
  </si>
  <si>
    <t>No. de objetos</t>
  </si>
  <si>
    <t>AMC Graficas</t>
  </si>
  <si>
    <t xml:space="preserve">Volantes de 20 cmx 25 cm </t>
  </si>
  <si>
    <t>Marthita S.A</t>
  </si>
  <si>
    <t>Camisetas</t>
  </si>
  <si>
    <t>SIP</t>
  </si>
  <si>
    <t>Pag web con todos sus beneficios</t>
  </si>
  <si>
    <t>Publicidad despues de la Apertura</t>
  </si>
  <si>
    <t>MEDIO</t>
  </si>
  <si>
    <t xml:space="preserve">TAMAÑO </t>
  </si>
  <si>
    <t>PERIODO</t>
  </si>
  <si>
    <t xml:space="preserve">No </t>
  </si>
  <si>
    <t xml:space="preserve">Costo Unitario </t>
  </si>
  <si>
    <t xml:space="preserve">Inversión </t>
  </si>
  <si>
    <t>CARAS</t>
  </si>
  <si>
    <t xml:space="preserve">Alquiler </t>
  </si>
  <si>
    <t xml:space="preserve">Total </t>
  </si>
  <si>
    <t>ZAZAPEC</t>
  </si>
  <si>
    <t>10 x 4</t>
  </si>
  <si>
    <t>Guayaquil</t>
  </si>
  <si>
    <t xml:space="preserve"> </t>
  </si>
  <si>
    <t>Av. Pedro Menéndez Gilbert y Rafael Mendoza (antes del Puente vía  Samborondon)</t>
  </si>
  <si>
    <t>1 AÑO</t>
  </si>
  <si>
    <t>GIROVISUAL</t>
  </si>
  <si>
    <t>Juan Tanca Marengo y Alberto Borges</t>
  </si>
  <si>
    <t>Gastos de publicidad previo apertura</t>
  </si>
  <si>
    <t>VALOR DE DESECHO</t>
  </si>
  <si>
    <t>Gasto de publicidad de lanzamiento</t>
  </si>
  <si>
    <t>Gastos de Publicidad (diarios, revistas, vallas, puntos de venta,pagina web)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</si>
  <si>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</si>
  <si>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</si>
  <si>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</si>
  <si>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</si>
  <si>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</si>
  <si>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</si>
  <si>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</si>
  <si>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</si>
  <si>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</si>
  <si>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</si>
  <si>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</si>
  <si>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</si>
  <si>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</t>
  </si>
  <si>
    <t>SALDO</t>
  </si>
  <si>
    <t>COSTO VARIABLE</t>
  </si>
  <si>
    <t>TOTAL DE GASTOS DE ADMINISTRACION</t>
  </si>
  <si>
    <t>Servicio de Internet</t>
  </si>
  <si>
    <t>Costo Fijo</t>
  </si>
  <si>
    <t>Precio Promedio</t>
  </si>
  <si>
    <t>Ingresos</t>
  </si>
  <si>
    <t>PUNTO DE EQUILIBRIO</t>
  </si>
  <si>
    <t>C. Variable Unitario</t>
  </si>
  <si>
    <t>SADO ACUMULADO</t>
  </si>
  <si>
    <t>TMAR</t>
  </si>
  <si>
    <t>AÑO</t>
  </si>
  <si>
    <t>SALDO INVERSION</t>
  </si>
  <si>
    <t>RENTABILIDAD EXIGIDA</t>
  </si>
  <si>
    <t>RECUPERACION INVERSION</t>
  </si>
  <si>
    <t>PAYBACK</t>
  </si>
  <si>
    <t>Ingresos Publicidad</t>
  </si>
  <si>
    <t>MENSUAL  ($)</t>
  </si>
  <si>
    <t>DOS MESES  ($)</t>
  </si>
  <si>
    <t>Obsequios(activaciones)</t>
  </si>
  <si>
    <t>Soporte tecnico mensual</t>
  </si>
  <si>
    <t>Gigantogrias S.A</t>
  </si>
  <si>
    <t>Gigantografias 1,60m *0,8m</t>
  </si>
  <si>
    <t xml:space="preserve">Creativos S.A </t>
  </si>
  <si>
    <t>Activacion de la marca</t>
  </si>
  <si>
    <t>Mensual  ($)</t>
  </si>
  <si>
    <t>OBsequios(Activacion)</t>
  </si>
  <si>
    <t>SIP Agencia</t>
  </si>
  <si>
    <t>GASTO DE PUPLICIDAD ANUAL</t>
  </si>
  <si>
    <t>Mantenimiento pagina web</t>
  </si>
  <si>
    <t>TOTAL ANUAL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</si>
</sst>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.00_);\(&quot;$&quot;#,##0.00\)"/>
    <numFmt numFmtId="173" formatCode="&quot;$&quot;#,##0.00"/>
    <numFmt numFmtId="174" formatCode="[$$-300A]\ #,##0.00"/>
    <numFmt numFmtId="175" formatCode="0.000%"/>
    <numFmt numFmtId="176" formatCode="_(* #,##0_);_(* \(#,##0\);_(* &quot;-&quot;??_);_(@_)"/>
    <numFmt numFmtId="177" formatCode="_-* #,##0\ _€_-;\-* #,##0\ _€_-;_-* &quot;-&quot;??\ _€_-;_-@_-"/>
    <numFmt numFmtId="178" formatCode="#,##0.0"/>
    <numFmt numFmtId="179" formatCode="#,##0.000"/>
    <numFmt numFmtId="180" formatCode="_ [$€-2]\ * #,##0.00_ ;_ [$€-2]\ * \-#,##0.00_ ;_ [$€-2]\ * &quot;-&quot;??_ "/>
    <numFmt numFmtId="181" formatCode="_-* #,##0.00\ _€_-;\-* #,##0.00\ _€_-;_-* &quot;-&quot;??\ _€_-;_-@_-"/>
    <numFmt numFmtId="182" formatCode="[$$-409]#,##0.00"/>
  </numFmts>
  <fonts count="138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b/>
      <sz val="18"/>
      <color indexed="9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6"/>
      <color indexed="9"/>
      <name val="Tahoma"/>
      <family val="2"/>
    </font>
    <font>
      <b/>
      <u val="single"/>
      <sz val="12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9"/>
      <name val="Verdana"/>
      <family val="2"/>
    </font>
    <font>
      <b/>
      <u val="single"/>
      <sz val="11"/>
      <color indexed="8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4"/>
      <name val="Tahoma"/>
      <family val="2"/>
    </font>
    <font>
      <b/>
      <sz val="14"/>
      <color indexed="9"/>
      <name val="Tahoma"/>
      <family val="2"/>
    </font>
    <font>
      <b/>
      <sz val="11"/>
      <name val="Verdana"/>
      <family val="2"/>
    </font>
    <font>
      <sz val="14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color indexed="12"/>
      <name val="Tahoma"/>
      <family val="2"/>
    </font>
    <font>
      <b/>
      <sz val="16"/>
      <color indexed="9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6"/>
      <name val="Tahoma"/>
      <family val="2"/>
    </font>
    <font>
      <b/>
      <sz val="10"/>
      <color indexed="56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9"/>
      <name val="Arial"/>
      <family val="2"/>
    </font>
    <font>
      <b/>
      <sz val="12"/>
      <color indexed="18"/>
      <name val="Tahoma"/>
      <family val="2"/>
    </font>
    <font>
      <b/>
      <sz val="18"/>
      <color indexed="18"/>
      <name val="Tahoma"/>
      <family val="2"/>
    </font>
    <font>
      <b/>
      <sz val="18"/>
      <color indexed="56"/>
      <name val="Tahoma"/>
      <family val="2"/>
    </font>
    <font>
      <b/>
      <sz val="10"/>
      <color indexed="56"/>
      <name val="Verdana"/>
      <family val="2"/>
    </font>
    <font>
      <b/>
      <sz val="18"/>
      <color indexed="56"/>
      <name val="Arial"/>
      <family val="2"/>
    </font>
    <font>
      <b/>
      <u val="single"/>
      <sz val="14"/>
      <color indexed="56"/>
      <name val="Tahoma"/>
      <family val="2"/>
    </font>
    <font>
      <b/>
      <sz val="10"/>
      <color indexed="18"/>
      <name val="Verdana"/>
      <family val="2"/>
    </font>
    <font>
      <b/>
      <sz val="10"/>
      <color indexed="9"/>
      <name val="Tahoma"/>
      <family val="2"/>
    </font>
    <font>
      <b/>
      <sz val="14"/>
      <color indexed="1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5"/>
      <color indexed="8"/>
      <name val="MS Sans Serif"/>
      <family val="2"/>
    </font>
    <font>
      <sz val="5"/>
      <color indexed="8"/>
      <name val="MS Sans Serif"/>
      <family val="2"/>
    </font>
    <font>
      <sz val="8"/>
      <color indexed="8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MS Sans Serif"/>
      <family val="2"/>
    </font>
    <font>
      <sz val="10"/>
      <color indexed="8"/>
      <name val="Arial"/>
      <family val="2"/>
    </font>
    <font>
      <sz val="12"/>
      <color indexed="56"/>
      <name val="Verdana"/>
      <family val="2"/>
    </font>
    <font>
      <sz val="10"/>
      <color indexed="56"/>
      <name val="Verdana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sz val="8"/>
      <color indexed="9"/>
      <name val="Arial"/>
      <family val="2"/>
    </font>
    <font>
      <b/>
      <sz val="8"/>
      <color indexed="18"/>
      <name val="Verdana"/>
      <family val="2"/>
    </font>
    <font>
      <b/>
      <sz val="12"/>
      <color indexed="56"/>
      <name val="Tahom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2"/>
      <color indexed="9"/>
      <name val="Arial "/>
      <family val="0"/>
    </font>
    <font>
      <b/>
      <sz val="12"/>
      <color indexed="9"/>
      <name val="Arial Black"/>
      <family val="2"/>
    </font>
    <font>
      <b/>
      <i/>
      <sz val="12"/>
      <color indexed="9"/>
      <name val="Arial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57"/>
      </bottom>
    </border>
    <border>
      <left style="thin">
        <color indexed="57"/>
      </left>
      <right>
        <color indexed="63"/>
      </right>
      <top style="double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 style="hair">
        <color indexed="55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6" tint="0.5999900102615356"/>
      </right>
      <top style="thin">
        <color theme="6" tint="0.5999900102615356"/>
      </top>
      <bottom>
        <color indexed="63"/>
      </bottom>
    </border>
    <border>
      <left>
        <color indexed="63"/>
      </left>
      <right style="thin">
        <color theme="6" tint="0.5999900102615356"/>
      </right>
      <top>
        <color indexed="63"/>
      </top>
      <bottom style="thin">
        <color theme="6" tint="0.5999900102615356"/>
      </bottom>
    </border>
    <border>
      <left>
        <color indexed="63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>
        <color indexed="63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6" tint="0.5999900102615356"/>
      </right>
      <top>
        <color indexed="63"/>
      </top>
      <bottom style="thin">
        <color theme="6" tint="0.5999900102615356"/>
      </bottom>
    </border>
    <border>
      <left style="medium"/>
      <right style="medium"/>
      <top style="medium"/>
      <bottom style="medium"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medium">
        <color indexed="4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20" borderId="0" applyNumberFormat="0" applyBorder="0" applyAlignment="0" applyProtection="0"/>
    <xf numFmtId="0" fontId="122" fillId="21" borderId="1" applyNumberFormat="0" applyAlignment="0" applyProtection="0"/>
    <xf numFmtId="0" fontId="123" fillId="22" borderId="2" applyNumberFormat="0" applyAlignment="0" applyProtection="0"/>
    <xf numFmtId="0" fontId="124" fillId="0" borderId="3" applyNumberFormat="0" applyFill="0" applyAlignment="0" applyProtection="0"/>
    <xf numFmtId="0" fontId="125" fillId="0" borderId="0" applyNumberFormat="0" applyFill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6" fillId="29" borderId="1" applyNumberFormat="0" applyAlignment="0" applyProtection="0"/>
    <xf numFmtId="180" fontId="75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7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9" fillId="21" borderId="5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25" fillId="0" borderId="8" applyNumberFormat="0" applyFill="0" applyAlignment="0" applyProtection="0"/>
    <xf numFmtId="0" fontId="135" fillId="0" borderId="9" applyNumberFormat="0" applyFill="0" applyAlignment="0" applyProtection="0"/>
  </cellStyleXfs>
  <cellXfs count="891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11" fillId="33" borderId="12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12" fillId="0" borderId="16" xfId="0" applyNumberFormat="1" applyFont="1" applyBorder="1" applyAlignment="1">
      <alignment horizontal="right" wrapText="1"/>
    </xf>
    <xf numFmtId="4" fontId="10" fillId="33" borderId="17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/>
    </xf>
    <xf numFmtId="43" fontId="13" fillId="0" borderId="0" xfId="49" applyFont="1" applyAlignment="1">
      <alignment/>
    </xf>
    <xf numFmtId="43" fontId="13" fillId="0" borderId="10" xfId="49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4" fontId="6" fillId="0" borderId="10" xfId="0" applyNumberFormat="1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4" fontId="10" fillId="33" borderId="0" xfId="0" applyNumberFormat="1" applyFont="1" applyFill="1" applyAlignment="1">
      <alignment/>
    </xf>
    <xf numFmtId="4" fontId="11" fillId="33" borderId="0" xfId="0" applyNumberFormat="1" applyFont="1" applyFill="1" applyAlignment="1">
      <alignment/>
    </xf>
    <xf numFmtId="43" fontId="13" fillId="0" borderId="10" xfId="49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3" fontId="12" fillId="0" borderId="10" xfId="49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73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0" fillId="33" borderId="19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right" wrapText="1"/>
    </xf>
    <xf numFmtId="4" fontId="5" fillId="0" borderId="15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17" fillId="33" borderId="21" xfId="0" applyNumberFormat="1" applyFont="1" applyFill="1" applyBorder="1" applyAlignment="1">
      <alignment horizontal="left"/>
    </xf>
    <xf numFmtId="4" fontId="9" fillId="33" borderId="21" xfId="0" applyNumberFormat="1" applyFont="1" applyFill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17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3" fillId="0" borderId="21" xfId="0" applyFont="1" applyBorder="1" applyAlignment="1">
      <alignment horizontal="center"/>
    </xf>
    <xf numFmtId="0" fontId="26" fillId="34" borderId="0" xfId="0" applyFont="1" applyFill="1" applyAlignment="1">
      <alignment/>
    </xf>
    <xf numFmtId="4" fontId="30" fillId="34" borderId="0" xfId="0" applyNumberFormat="1" applyFont="1" applyFill="1" applyAlignment="1">
      <alignment/>
    </xf>
    <xf numFmtId="4" fontId="26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33" fillId="0" borderId="22" xfId="0" applyFont="1" applyBorder="1" applyAlignment="1">
      <alignment horizontal="center"/>
    </xf>
    <xf numFmtId="17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7" fontId="20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30" fillId="34" borderId="0" xfId="0" applyFont="1" applyFill="1" applyAlignment="1">
      <alignment/>
    </xf>
    <xf numFmtId="4" fontId="33" fillId="0" borderId="22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3" fillId="0" borderId="25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172" fontId="0" fillId="0" borderId="23" xfId="0" applyNumberFormat="1" applyFont="1" applyBorder="1" applyAlignment="1">
      <alignment horizontal="center"/>
    </xf>
    <xf numFmtId="0" fontId="33" fillId="0" borderId="15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8" fillId="0" borderId="22" xfId="0" applyFont="1" applyBorder="1" applyAlignment="1">
      <alignment/>
    </xf>
    <xf numFmtId="177" fontId="0" fillId="0" borderId="21" xfId="49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77" fontId="0" fillId="0" borderId="26" xfId="0" applyNumberFormat="1" applyFont="1" applyBorder="1" applyAlignment="1">
      <alignment/>
    </xf>
    <xf numFmtId="177" fontId="0" fillId="0" borderId="26" xfId="49" applyNumberFormat="1" applyFont="1" applyBorder="1" applyAlignment="1">
      <alignment/>
    </xf>
    <xf numFmtId="0" fontId="30" fillId="0" borderId="0" xfId="0" applyFont="1" applyAlignment="1">
      <alignment/>
    </xf>
    <xf numFmtId="43" fontId="13" fillId="0" borderId="10" xfId="49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43" fontId="6" fillId="0" borderId="10" xfId="49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/>
    </xf>
    <xf numFmtId="4" fontId="49" fillId="35" borderId="15" xfId="0" applyNumberFormat="1" applyFont="1" applyFill="1" applyBorder="1" applyAlignment="1">
      <alignment horizontal="left"/>
    </xf>
    <xf numFmtId="4" fontId="49" fillId="35" borderId="0" xfId="0" applyNumberFormat="1" applyFont="1" applyFill="1" applyAlignment="1">
      <alignment horizontal="left"/>
    </xf>
    <xf numFmtId="4" fontId="12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12" fillId="0" borderId="22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left" wrapText="1"/>
    </xf>
    <xf numFmtId="4" fontId="6" fillId="0" borderId="27" xfId="0" applyNumberFormat="1" applyFont="1" applyBorder="1" applyAlignment="1">
      <alignment horizontal="center" wrapText="1"/>
    </xf>
    <xf numFmtId="43" fontId="6" fillId="0" borderId="22" xfId="49" applyFont="1" applyBorder="1" applyAlignment="1">
      <alignment horizontal="right" wrapText="1"/>
    </xf>
    <xf numFmtId="4" fontId="12" fillId="0" borderId="15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10" xfId="0" applyNumberFormat="1" applyFont="1" applyBorder="1" applyAlignment="1">
      <alignment horizontal="left" wrapText="1"/>
    </xf>
    <xf numFmtId="4" fontId="12" fillId="0" borderId="1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6" fillId="0" borderId="28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wrapText="1"/>
    </xf>
    <xf numFmtId="43" fontId="13" fillId="0" borderId="10" xfId="49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right" vertical="center" wrapText="1"/>
    </xf>
    <xf numFmtId="4" fontId="6" fillId="36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73" fontId="8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12" fillId="37" borderId="14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43" fontId="2" fillId="0" borderId="0" xfId="49" applyFont="1" applyAlignment="1">
      <alignment/>
    </xf>
    <xf numFmtId="4" fontId="9" fillId="38" borderId="29" xfId="0" applyNumberFormat="1" applyFont="1" applyFill="1" applyBorder="1" applyAlignment="1">
      <alignment horizontal="left"/>
    </xf>
    <xf numFmtId="4" fontId="9" fillId="38" borderId="17" xfId="0" applyNumberFormat="1" applyFont="1" applyFill="1" applyBorder="1" applyAlignment="1">
      <alignment horizontal="left"/>
    </xf>
    <xf numFmtId="4" fontId="10" fillId="38" borderId="17" xfId="0" applyNumberFormat="1" applyFont="1" applyFill="1" applyBorder="1" applyAlignment="1">
      <alignment horizontal="center"/>
    </xf>
    <xf numFmtId="4" fontId="10" fillId="38" borderId="17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4" fontId="12" fillId="0" borderId="10" xfId="0" applyNumberFormat="1" applyFont="1" applyBorder="1" applyAlignment="1">
      <alignment wrapText="1"/>
    </xf>
    <xf numFmtId="4" fontId="12" fillId="0" borderId="16" xfId="0" applyNumberFormat="1" applyFont="1" applyBorder="1" applyAlignment="1">
      <alignment wrapText="1"/>
    </xf>
    <xf numFmtId="4" fontId="11" fillId="38" borderId="18" xfId="0" applyNumberFormat="1" applyFont="1" applyFill="1" applyBorder="1" applyAlignment="1">
      <alignment/>
    </xf>
    <xf numFmtId="43" fontId="6" fillId="0" borderId="10" xfId="49" applyFont="1" applyBorder="1" applyAlignment="1">
      <alignment vertical="center" wrapText="1"/>
    </xf>
    <xf numFmtId="43" fontId="12" fillId="0" borderId="21" xfId="49" applyFont="1" applyBorder="1" applyAlignment="1">
      <alignment wrapText="1"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3" fontId="13" fillId="0" borderId="10" xfId="49" applyFont="1" applyBorder="1" applyAlignment="1">
      <alignment/>
    </xf>
    <xf numFmtId="4" fontId="12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6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9" applyFont="1" applyAlignment="1">
      <alignment/>
    </xf>
    <xf numFmtId="0" fontId="33" fillId="37" borderId="14" xfId="0" applyFont="1" applyFill="1" applyBorder="1" applyAlignment="1">
      <alignment horizontal="center"/>
    </xf>
    <xf numFmtId="43" fontId="0" fillId="37" borderId="10" xfId="0" applyNumberFormat="1" applyFont="1" applyFill="1" applyBorder="1" applyAlignment="1">
      <alignment/>
    </xf>
    <xf numFmtId="43" fontId="33" fillId="37" borderId="10" xfId="49" applyFont="1" applyFill="1" applyBorder="1" applyAlignment="1">
      <alignment/>
    </xf>
    <xf numFmtId="177" fontId="33" fillId="37" borderId="1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3" fillId="0" borderId="16" xfId="0" applyFont="1" applyBorder="1" applyAlignment="1">
      <alignment horizontal="center" vertical="center"/>
    </xf>
    <xf numFmtId="44" fontId="0" fillId="0" borderId="0" xfId="51" applyFont="1" applyAlignment="1">
      <alignment/>
    </xf>
    <xf numFmtId="174" fontId="0" fillId="0" borderId="0" xfId="0" applyNumberFormat="1" applyAlignment="1">
      <alignment/>
    </xf>
    <xf numFmtId="4" fontId="47" fillId="0" borderId="0" xfId="0" applyNumberFormat="1" applyFont="1" applyBorder="1" applyAlignment="1">
      <alignment horizontal="right"/>
    </xf>
    <xf numFmtId="4" fontId="47" fillId="0" borderId="3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47" fillId="0" borderId="31" xfId="0" applyNumberFormat="1" applyFont="1" applyBorder="1" applyAlignment="1">
      <alignment/>
    </xf>
    <xf numFmtId="4" fontId="51" fillId="39" borderId="2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52" fillId="39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4" fontId="51" fillId="39" borderId="22" xfId="0" applyNumberFormat="1" applyFont="1" applyFill="1" applyBorder="1" applyAlignment="1">
      <alignment/>
    </xf>
    <xf numFmtId="0" fontId="53" fillId="39" borderId="32" xfId="0" applyFont="1" applyFill="1" applyBorder="1" applyAlignment="1">
      <alignment/>
    </xf>
    <xf numFmtId="0" fontId="53" fillId="39" borderId="27" xfId="0" applyFont="1" applyFill="1" applyBorder="1" applyAlignment="1">
      <alignment/>
    </xf>
    <xf numFmtId="0" fontId="53" fillId="39" borderId="33" xfId="0" applyFont="1" applyFill="1" applyBorder="1" applyAlignment="1">
      <alignment/>
    </xf>
    <xf numFmtId="0" fontId="53" fillId="39" borderId="21" xfId="0" applyFont="1" applyFill="1" applyBorder="1" applyAlignment="1">
      <alignment horizontal="center"/>
    </xf>
    <xf numFmtId="0" fontId="53" fillId="39" borderId="21" xfId="0" applyFont="1" applyFill="1" applyBorder="1" applyAlignment="1">
      <alignment/>
    </xf>
    <xf numFmtId="4" fontId="30" fillId="0" borderId="34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28" xfId="0" applyNumberFormat="1" applyBorder="1" applyAlignment="1">
      <alignment/>
    </xf>
    <xf numFmtId="43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6" fillId="0" borderId="10" xfId="49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3" fontId="13" fillId="0" borderId="10" xfId="49" applyFont="1" applyFill="1" applyBorder="1" applyAlignment="1">
      <alignment horizontal="right" vertical="center"/>
    </xf>
    <xf numFmtId="4" fontId="9" fillId="40" borderId="15" xfId="0" applyNumberFormat="1" applyFont="1" applyFill="1" applyBorder="1" applyAlignment="1">
      <alignment horizontal="left"/>
    </xf>
    <xf numFmtId="4" fontId="9" fillId="40" borderId="22" xfId="0" applyNumberFormat="1" applyFont="1" applyFill="1" applyBorder="1" applyAlignment="1">
      <alignment horizontal="right"/>
    </xf>
    <xf numFmtId="4" fontId="17" fillId="40" borderId="21" xfId="0" applyNumberFormat="1" applyFont="1" applyFill="1" applyBorder="1" applyAlignment="1">
      <alignment/>
    </xf>
    <xf numFmtId="4" fontId="58" fillId="34" borderId="14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173" fontId="60" fillId="34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1" fillId="34" borderId="21" xfId="0" applyFont="1" applyFill="1" applyBorder="1" applyAlignment="1">
      <alignment horizontal="center" vertical="center"/>
    </xf>
    <xf numFmtId="3" fontId="6" fillId="36" borderId="14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43" fontId="13" fillId="36" borderId="10" xfId="49" applyFont="1" applyFill="1" applyBorder="1" applyAlignment="1">
      <alignment vertical="center"/>
    </xf>
    <xf numFmtId="0" fontId="2" fillId="36" borderId="0" xfId="0" applyFont="1" applyFill="1" applyAlignment="1">
      <alignment/>
    </xf>
    <xf numFmtId="4" fontId="6" fillId="36" borderId="10" xfId="0" applyNumberFormat="1" applyFont="1" applyFill="1" applyBorder="1" applyAlignment="1">
      <alignment horizontal="right" vertical="center" wrapText="1"/>
    </xf>
    <xf numFmtId="4" fontId="6" fillId="36" borderId="10" xfId="0" applyNumberFormat="1" applyFont="1" applyFill="1" applyBorder="1" applyAlignment="1">
      <alignment vertical="center" wrapText="1"/>
    </xf>
    <xf numFmtId="3" fontId="6" fillId="36" borderId="14" xfId="0" applyNumberFormat="1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top" wrapText="1"/>
    </xf>
    <xf numFmtId="4" fontId="6" fillId="36" borderId="10" xfId="0" applyNumberFormat="1" applyFont="1" applyFill="1" applyBorder="1" applyAlignment="1">
      <alignment horizontal="right" vertical="top" wrapText="1"/>
    </xf>
    <xf numFmtId="4" fontId="6" fillId="36" borderId="10" xfId="0" applyNumberFormat="1" applyFont="1" applyFill="1" applyBorder="1" applyAlignment="1">
      <alignment vertical="top" wrapText="1"/>
    </xf>
    <xf numFmtId="3" fontId="6" fillId="36" borderId="14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/>
    </xf>
    <xf numFmtId="43" fontId="13" fillId="36" borderId="10" xfId="49" applyFont="1" applyFill="1" applyBorder="1" applyAlignment="1">
      <alignment/>
    </xf>
    <xf numFmtId="43" fontId="13" fillId="36" borderId="10" xfId="49" applyFont="1" applyFill="1" applyBorder="1" applyAlignment="1">
      <alignment horizontal="right"/>
    </xf>
    <xf numFmtId="43" fontId="13" fillId="36" borderId="10" xfId="49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13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17" fillId="40" borderId="22" xfId="0" applyNumberFormat="1" applyFont="1" applyFill="1" applyBorder="1" applyAlignment="1">
      <alignment/>
    </xf>
    <xf numFmtId="4" fontId="12" fillId="0" borderId="2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43" fontId="46" fillId="0" borderId="0" xfId="49" applyFont="1" applyFill="1" applyAlignment="1">
      <alignment horizontal="center"/>
    </xf>
    <xf numFmtId="0" fontId="42" fillId="0" borderId="0" xfId="0" applyFont="1" applyFill="1" applyAlignment="1">
      <alignment/>
    </xf>
    <xf numFmtId="43" fontId="43" fillId="0" borderId="0" xfId="49" applyFont="1" applyFill="1" applyAlignment="1">
      <alignment/>
    </xf>
    <xf numFmtId="0" fontId="14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left" wrapText="1"/>
    </xf>
    <xf numFmtId="4" fontId="6" fillId="0" borderId="22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right" wrapText="1"/>
    </xf>
    <xf numFmtId="43" fontId="12" fillId="0" borderId="22" xfId="49" applyFont="1" applyFill="1" applyBorder="1" applyAlignment="1">
      <alignment wrapText="1"/>
    </xf>
    <xf numFmtId="4" fontId="9" fillId="40" borderId="22" xfId="0" applyNumberFormat="1" applyFont="1" applyFill="1" applyBorder="1" applyAlignment="1">
      <alignment horizontal="left"/>
    </xf>
    <xf numFmtId="43" fontId="12" fillId="0" borderId="0" xfId="49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73" fontId="16" fillId="34" borderId="0" xfId="0" applyNumberFormat="1" applyFont="1" applyFill="1" applyBorder="1" applyAlignment="1">
      <alignment/>
    </xf>
    <xf numFmtId="43" fontId="4" fillId="0" borderId="0" xfId="49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4" fontId="49" fillId="35" borderId="0" xfId="0" applyNumberFormat="1" applyFont="1" applyFill="1" applyBorder="1" applyAlignment="1">
      <alignment horizontal="left"/>
    </xf>
    <xf numFmtId="4" fontId="7" fillId="35" borderId="0" xfId="0" applyNumberFormat="1" applyFont="1" applyFill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173" fontId="60" fillId="34" borderId="0" xfId="0" applyNumberFormat="1" applyFont="1" applyFill="1" applyBorder="1" applyAlignment="1">
      <alignment/>
    </xf>
    <xf numFmtId="43" fontId="12" fillId="0" borderId="22" xfId="49" applyFont="1" applyBorder="1" applyAlignment="1">
      <alignment horizontal="center"/>
    </xf>
    <xf numFmtId="0" fontId="6" fillId="0" borderId="22" xfId="0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9" fontId="23" fillId="0" borderId="0" xfId="0" applyNumberFormat="1" applyFont="1" applyFill="1" applyAlignment="1">
      <alignment/>
    </xf>
    <xf numFmtId="4" fontId="33" fillId="0" borderId="0" xfId="0" applyNumberFormat="1" applyFont="1" applyBorder="1" applyAlignment="1">
      <alignment horizontal="left"/>
    </xf>
    <xf numFmtId="4" fontId="0" fillId="0" borderId="30" xfId="0" applyNumberFormat="1" applyFont="1" applyBorder="1" applyAlignment="1">
      <alignment/>
    </xf>
    <xf numFmtId="0" fontId="66" fillId="34" borderId="28" xfId="0" applyFont="1" applyFill="1" applyBorder="1" applyAlignment="1">
      <alignment/>
    </xf>
    <xf numFmtId="0" fontId="66" fillId="34" borderId="16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166" fontId="0" fillId="0" borderId="30" xfId="51" applyNumberFormat="1" applyFont="1" applyBorder="1" applyAlignment="1">
      <alignment horizontal="center"/>
    </xf>
    <xf numFmtId="4" fontId="0" fillId="0" borderId="36" xfId="51" applyNumberFormat="1" applyFont="1" applyBorder="1" applyAlignment="1">
      <alignment horizontal="center"/>
    </xf>
    <xf numFmtId="4" fontId="0" fillId="0" borderId="31" xfId="51" applyNumberFormat="1" applyFont="1" applyBorder="1" applyAlignment="1">
      <alignment horizontal="center"/>
    </xf>
    <xf numFmtId="4" fontId="0" fillId="0" borderId="30" xfId="51" applyNumberFormat="1" applyFont="1" applyBorder="1" applyAlignment="1">
      <alignment horizontal="center"/>
    </xf>
    <xf numFmtId="4" fontId="0" fillId="0" borderId="37" xfId="51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left"/>
    </xf>
    <xf numFmtId="4" fontId="0" fillId="0" borderId="38" xfId="51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33" fillId="0" borderId="30" xfId="51" applyNumberFormat="1" applyFont="1" applyBorder="1" applyAlignment="1">
      <alignment horizontal="center"/>
    </xf>
    <xf numFmtId="43" fontId="0" fillId="0" borderId="0" xfId="49" applyFont="1" applyAlignment="1">
      <alignment/>
    </xf>
    <xf numFmtId="4" fontId="33" fillId="0" borderId="38" xfId="51" applyNumberFormat="1" applyFont="1" applyBorder="1" applyAlignment="1">
      <alignment horizontal="center"/>
    </xf>
    <xf numFmtId="0" fontId="33" fillId="0" borderId="30" xfId="0" applyFont="1" applyBorder="1" applyAlignment="1">
      <alignment horizontal="left"/>
    </xf>
    <xf numFmtId="44" fontId="36" fillId="0" borderId="30" xfId="51" applyFont="1" applyBorder="1" applyAlignment="1">
      <alignment horizontal="center"/>
    </xf>
    <xf numFmtId="44" fontId="36" fillId="0" borderId="30" xfId="51" applyFont="1" applyBorder="1" applyAlignment="1">
      <alignment/>
    </xf>
    <xf numFmtId="0" fontId="33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33" fillId="0" borderId="30" xfId="0" applyFont="1" applyBorder="1" applyAlignment="1">
      <alignment/>
    </xf>
    <xf numFmtId="0" fontId="33" fillId="0" borderId="30" xfId="0" applyFont="1" applyFill="1" applyBorder="1" applyAlignment="1">
      <alignment horizontal="left"/>
    </xf>
    <xf numFmtId="0" fontId="40" fillId="0" borderId="30" xfId="0" applyFont="1" applyBorder="1" applyAlignment="1">
      <alignment vertical="center" wrapText="1"/>
    </xf>
    <xf numFmtId="4" fontId="13" fillId="0" borderId="30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 indent="1"/>
    </xf>
    <xf numFmtId="4" fontId="13" fillId="0" borderId="30" xfId="0" applyNumberFormat="1" applyFont="1" applyBorder="1" applyAlignment="1">
      <alignment/>
    </xf>
    <xf numFmtId="0" fontId="40" fillId="34" borderId="30" xfId="0" applyFont="1" applyFill="1" applyBorder="1" applyAlignment="1">
      <alignment horizontal="left" vertical="center" wrapText="1"/>
    </xf>
    <xf numFmtId="0" fontId="33" fillId="0" borderId="37" xfId="0" applyFont="1" applyBorder="1" applyAlignment="1">
      <alignment/>
    </xf>
    <xf numFmtId="4" fontId="33" fillId="0" borderId="39" xfId="51" applyNumberFormat="1" applyFont="1" applyBorder="1" applyAlignment="1">
      <alignment horizontal="center"/>
    </xf>
    <xf numFmtId="4" fontId="13" fillId="0" borderId="37" xfId="0" applyNumberFormat="1" applyFont="1" applyBorder="1" applyAlignment="1">
      <alignment/>
    </xf>
    <xf numFmtId="4" fontId="13" fillId="0" borderId="3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indent="2"/>
    </xf>
    <xf numFmtId="0" fontId="0" fillId="0" borderId="31" xfId="0" applyFont="1" applyBorder="1" applyAlignment="1">
      <alignment/>
    </xf>
    <xf numFmtId="4" fontId="13" fillId="0" borderId="30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33" fillId="0" borderId="37" xfId="0" applyNumberFormat="1" applyFont="1" applyBorder="1" applyAlignment="1">
      <alignment horizontal="right"/>
    </xf>
    <xf numFmtId="0" fontId="33" fillId="0" borderId="31" xfId="0" applyFont="1" applyBorder="1" applyAlignment="1">
      <alignment horizontal="left"/>
    </xf>
    <xf numFmtId="4" fontId="40" fillId="0" borderId="36" xfId="0" applyNumberFormat="1" applyFont="1" applyFill="1" applyBorder="1" applyAlignment="1">
      <alignment horizontal="center"/>
    </xf>
    <xf numFmtId="0" fontId="71" fillId="34" borderId="4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33" fillId="0" borderId="38" xfId="0" applyFont="1" applyBorder="1" applyAlignment="1">
      <alignment/>
    </xf>
    <xf numFmtId="0" fontId="33" fillId="0" borderId="31" xfId="0" applyFont="1" applyFill="1" applyBorder="1" applyAlignment="1">
      <alignment horizontal="left"/>
    </xf>
    <xf numFmtId="10" fontId="0" fillId="0" borderId="31" xfId="57" applyNumberFormat="1" applyFont="1" applyBorder="1" applyAlignment="1">
      <alignment horizontal="center"/>
    </xf>
    <xf numFmtId="0" fontId="71" fillId="34" borderId="39" xfId="0" applyFont="1" applyFill="1" applyBorder="1" applyAlignment="1">
      <alignment horizontal="left"/>
    </xf>
    <xf numFmtId="4" fontId="72" fillId="34" borderId="39" xfId="0" applyNumberFormat="1" applyFont="1" applyFill="1" applyBorder="1" applyAlignment="1">
      <alignment/>
    </xf>
    <xf numFmtId="4" fontId="72" fillId="34" borderId="39" xfId="51" applyNumberFormat="1" applyFont="1" applyFill="1" applyBorder="1" applyAlignment="1">
      <alignment horizontal="center"/>
    </xf>
    <xf numFmtId="4" fontId="72" fillId="34" borderId="40" xfId="0" applyNumberFormat="1" applyFont="1" applyFill="1" applyBorder="1" applyAlignment="1">
      <alignment/>
    </xf>
    <xf numFmtId="4" fontId="33" fillId="0" borderId="39" xfId="0" applyNumberFormat="1" applyFont="1" applyBorder="1" applyAlignment="1">
      <alignment/>
    </xf>
    <xf numFmtId="179" fontId="33" fillId="0" borderId="37" xfId="0" applyNumberFormat="1" applyFont="1" applyBorder="1" applyAlignment="1">
      <alignment horizontal="right"/>
    </xf>
    <xf numFmtId="4" fontId="33" fillId="0" borderId="36" xfId="0" applyNumberFormat="1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4" fontId="33" fillId="0" borderId="34" xfId="0" applyNumberFormat="1" applyFont="1" applyBorder="1" applyAlignment="1">
      <alignment horizontal="center" vertical="center"/>
    </xf>
    <xf numFmtId="4" fontId="33" fillId="0" borderId="41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42" xfId="0" applyFont="1" applyBorder="1" applyAlignment="1">
      <alignment horizontal="center"/>
    </xf>
    <xf numFmtId="0" fontId="74" fillId="0" borderId="0" xfId="0" applyFont="1" applyAlignment="1">
      <alignment/>
    </xf>
    <xf numFmtId="0" fontId="41" fillId="0" borderId="43" xfId="0" applyFont="1" applyBorder="1" applyAlignment="1">
      <alignment/>
    </xf>
    <xf numFmtId="0" fontId="74" fillId="0" borderId="44" xfId="0" applyFont="1" applyBorder="1" applyAlignment="1">
      <alignment horizontal="center"/>
    </xf>
    <xf numFmtId="0" fontId="74" fillId="0" borderId="45" xfId="0" applyFont="1" applyBorder="1" applyAlignment="1">
      <alignment wrapText="1"/>
    </xf>
    <xf numFmtId="0" fontId="41" fillId="0" borderId="45" xfId="0" applyFont="1" applyBorder="1" applyAlignment="1">
      <alignment/>
    </xf>
    <xf numFmtId="0" fontId="74" fillId="0" borderId="46" xfId="0" applyFont="1" applyBorder="1" applyAlignment="1">
      <alignment horizontal="center"/>
    </xf>
    <xf numFmtId="0" fontId="74" fillId="0" borderId="19" xfId="0" applyFont="1" applyBorder="1" applyAlignment="1">
      <alignment wrapText="1"/>
    </xf>
    <xf numFmtId="0" fontId="41" fillId="0" borderId="19" xfId="0" applyFont="1" applyBorder="1" applyAlignment="1">
      <alignment/>
    </xf>
    <xf numFmtId="4" fontId="41" fillId="0" borderId="47" xfId="0" applyNumberFormat="1" applyFont="1" applyBorder="1" applyAlignment="1">
      <alignment horizontal="center"/>
    </xf>
    <xf numFmtId="4" fontId="41" fillId="0" borderId="4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43" fontId="6" fillId="36" borderId="10" xfId="49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75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/>
      <protection/>
    </xf>
    <xf numFmtId="8" fontId="0" fillId="35" borderId="0" xfId="0" applyNumberFormat="1" applyFont="1" applyFill="1" applyBorder="1" applyAlignment="1" applyProtection="1">
      <alignment/>
      <protection/>
    </xf>
    <xf numFmtId="9" fontId="0" fillId="35" borderId="0" xfId="0" applyNumberFormat="1" applyFont="1" applyFill="1" applyBorder="1" applyAlignment="1" applyProtection="1">
      <alignment/>
      <protection/>
    </xf>
    <xf numFmtId="0" fontId="76" fillId="35" borderId="0" xfId="54" applyNumberFormat="1" applyFont="1" applyFill="1" applyBorder="1" applyAlignment="1" applyProtection="1">
      <alignment/>
      <protection/>
    </xf>
    <xf numFmtId="0" fontId="75" fillId="35" borderId="0" xfId="54" applyNumberFormat="1" applyFont="1" applyFill="1" applyBorder="1" applyAlignment="1" applyProtection="1">
      <alignment/>
      <protection/>
    </xf>
    <xf numFmtId="0" fontId="75" fillId="35" borderId="49" xfId="54" applyNumberFormat="1" applyFont="1" applyFill="1" applyBorder="1" applyAlignment="1" applyProtection="1">
      <alignment/>
      <protection/>
    </xf>
    <xf numFmtId="9" fontId="75" fillId="35" borderId="0" xfId="54" applyNumberFormat="1" applyFont="1" applyFill="1" applyBorder="1" applyAlignment="1" applyProtection="1">
      <alignment/>
      <protection/>
    </xf>
    <xf numFmtId="0" fontId="75" fillId="35" borderId="50" xfId="54" applyNumberFormat="1" applyFont="1" applyFill="1" applyBorder="1" applyAlignment="1" applyProtection="1">
      <alignment/>
      <protection/>
    </xf>
    <xf numFmtId="0" fontId="80" fillId="33" borderId="51" xfId="54" applyNumberFormat="1" applyFont="1" applyFill="1" applyBorder="1" applyAlignment="1" applyProtection="1">
      <alignment horizontal="center"/>
      <protection/>
    </xf>
    <xf numFmtId="0" fontId="80" fillId="33" borderId="52" xfId="54" applyNumberFormat="1" applyFont="1" applyFill="1" applyBorder="1" applyAlignment="1" applyProtection="1">
      <alignment horizontal="right"/>
      <protection/>
    </xf>
    <xf numFmtId="0" fontId="75" fillId="35" borderId="53" xfId="54" applyNumberFormat="1" applyFont="1" applyFill="1" applyBorder="1" applyAlignment="1" applyProtection="1">
      <alignment/>
      <protection/>
    </xf>
    <xf numFmtId="0" fontId="75" fillId="35" borderId="54" xfId="54" applyNumberFormat="1" applyFont="1" applyFill="1" applyBorder="1" applyAlignment="1" applyProtection="1">
      <alignment/>
      <protection/>
    </xf>
    <xf numFmtId="0" fontId="80" fillId="33" borderId="55" xfId="54" applyNumberFormat="1" applyFont="1" applyFill="1" applyBorder="1" applyAlignment="1" applyProtection="1">
      <alignment horizontal="center"/>
      <protection/>
    </xf>
    <xf numFmtId="0" fontId="80" fillId="33" borderId="56" xfId="54" applyNumberFormat="1" applyFont="1" applyFill="1" applyBorder="1" applyAlignment="1" applyProtection="1">
      <alignment horizontal="right"/>
      <protection/>
    </xf>
    <xf numFmtId="0" fontId="76" fillId="0" borderId="0" xfId="54" applyNumberFormat="1" applyFont="1" applyFill="1" applyBorder="1" applyAlignment="1" applyProtection="1">
      <alignment/>
      <protection/>
    </xf>
    <xf numFmtId="10" fontId="75" fillId="0" borderId="0" xfId="54" applyNumberFormat="1" applyFont="1" applyFill="1" applyBorder="1" applyAlignment="1" applyProtection="1">
      <alignment/>
      <protection/>
    </xf>
    <xf numFmtId="0" fontId="75" fillId="35" borderId="55" xfId="54" applyNumberFormat="1" applyFont="1" applyFill="1" applyBorder="1" applyAlignment="1" applyProtection="1">
      <alignment/>
      <protection/>
    </xf>
    <xf numFmtId="10" fontId="75" fillId="0" borderId="54" xfId="54" applyNumberFormat="1" applyFont="1" applyFill="1" applyBorder="1" applyAlignment="1" applyProtection="1">
      <alignment/>
      <protection/>
    </xf>
    <xf numFmtId="2" fontId="75" fillId="0" borderId="0" xfId="54" applyNumberFormat="1" applyFont="1" applyFill="1" applyBorder="1" applyAlignment="1" applyProtection="1">
      <alignment/>
      <protection/>
    </xf>
    <xf numFmtId="10" fontId="75" fillId="35" borderId="0" xfId="54" applyNumberFormat="1" applyFont="1" applyFill="1" applyBorder="1" applyAlignment="1" applyProtection="1">
      <alignment/>
      <protection/>
    </xf>
    <xf numFmtId="9" fontId="75" fillId="0" borderId="54" xfId="54" applyNumberFormat="1" applyFont="1" applyFill="1" applyBorder="1" applyAlignment="1" applyProtection="1">
      <alignment/>
      <protection/>
    </xf>
    <xf numFmtId="0" fontId="76" fillId="0" borderId="57" xfId="54" applyNumberFormat="1" applyFont="1" applyFill="1" applyBorder="1" applyAlignment="1" applyProtection="1">
      <alignment/>
      <protection/>
    </xf>
    <xf numFmtId="10" fontId="75" fillId="0" borderId="57" xfId="54" applyNumberFormat="1" applyFont="1" applyFill="1" applyBorder="1" applyAlignment="1" applyProtection="1">
      <alignment/>
      <protection/>
    </xf>
    <xf numFmtId="9" fontId="75" fillId="0" borderId="58" xfId="54" applyNumberFormat="1" applyFont="1" applyFill="1" applyBorder="1" applyAlignment="1" applyProtection="1">
      <alignment/>
      <protection/>
    </xf>
    <xf numFmtId="0" fontId="76" fillId="0" borderId="59" xfId="54" applyNumberFormat="1" applyFont="1" applyFill="1" applyBorder="1" applyAlignment="1" applyProtection="1">
      <alignment/>
      <protection/>
    </xf>
    <xf numFmtId="10" fontId="75" fillId="0" borderId="60" xfId="54" applyNumberFormat="1" applyFont="1" applyFill="1" applyBorder="1" applyAlignment="1" applyProtection="1">
      <alignment/>
      <protection/>
    </xf>
    <xf numFmtId="0" fontId="76" fillId="35" borderId="61" xfId="54" applyFont="1" applyFill="1" applyBorder="1" applyAlignment="1">
      <alignment/>
    </xf>
    <xf numFmtId="10" fontId="75" fillId="35" borderId="61" xfId="57" applyNumberFormat="1" applyFont="1" applyFill="1" applyBorder="1" applyAlignment="1">
      <alignment/>
    </xf>
    <xf numFmtId="10" fontId="75" fillId="35" borderId="0" xfId="57" applyNumberFormat="1" applyFont="1" applyFill="1" applyAlignment="1">
      <alignment/>
    </xf>
    <xf numFmtId="14" fontId="75" fillId="35" borderId="61" xfId="54" applyNumberFormat="1" applyFill="1" applyBorder="1" applyAlignment="1">
      <alignment/>
    </xf>
    <xf numFmtId="0" fontId="75" fillId="35" borderId="61" xfId="54" applyFill="1" applyBorder="1" applyAlignment="1">
      <alignment/>
    </xf>
    <xf numFmtId="0" fontId="75" fillId="35" borderId="0" xfId="54" applyFill="1" applyAlignment="1">
      <alignment/>
    </xf>
    <xf numFmtId="10" fontId="75" fillId="0" borderId="54" xfId="57" applyNumberFormat="1" applyFont="1" applyFill="1" applyBorder="1" applyAlignment="1" applyProtection="1">
      <alignment/>
      <protection/>
    </xf>
    <xf numFmtId="181" fontId="33" fillId="37" borderId="1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/>
    </xf>
    <xf numFmtId="4" fontId="39" fillId="41" borderId="0" xfId="0" applyNumberFormat="1" applyFont="1" applyFill="1" applyAlignment="1">
      <alignment horizontal="center"/>
    </xf>
    <xf numFmtId="49" fontId="39" fillId="41" borderId="0" xfId="0" applyNumberFormat="1" applyFont="1" applyFill="1" applyAlignment="1">
      <alignment horizontal="center"/>
    </xf>
    <xf numFmtId="4" fontId="52" fillId="39" borderId="22" xfId="0" applyNumberFormat="1" applyFont="1" applyFill="1" applyBorder="1" applyAlignment="1">
      <alignment/>
    </xf>
    <xf numFmtId="4" fontId="52" fillId="39" borderId="21" xfId="0" applyNumberFormat="1" applyFont="1" applyFill="1" applyBorder="1" applyAlignment="1">
      <alignment horizontal="center"/>
    </xf>
    <xf numFmtId="1" fontId="39" fillId="41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83" fillId="0" borderId="62" xfId="0" applyNumberFormat="1" applyFont="1" applyFill="1" applyBorder="1" applyAlignment="1">
      <alignment horizontal="center" vertical="center" wrapText="1"/>
    </xf>
    <xf numFmtId="3" fontId="84" fillId="0" borderId="63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13" fillId="0" borderId="64" xfId="0" applyFont="1" applyFill="1" applyBorder="1" applyAlignment="1">
      <alignment horizontal="left"/>
    </xf>
    <xf numFmtId="4" fontId="6" fillId="0" borderId="64" xfId="0" applyNumberFormat="1" applyFont="1" applyFill="1" applyBorder="1" applyAlignment="1">
      <alignment horizontal="left" vertical="top" wrapText="1"/>
    </xf>
    <xf numFmtId="4" fontId="6" fillId="0" borderId="64" xfId="0" applyNumberFormat="1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/>
    </xf>
    <xf numFmtId="43" fontId="13" fillId="0" borderId="22" xfId="49" applyFont="1" applyFill="1" applyBorder="1" applyAlignment="1">
      <alignment/>
    </xf>
    <xf numFmtId="4" fontId="6" fillId="0" borderId="6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3" fontId="13" fillId="0" borderId="0" xfId="49" applyFont="1" applyFill="1" applyBorder="1" applyAlignment="1">
      <alignment/>
    </xf>
    <xf numFmtId="43" fontId="12" fillId="0" borderId="0" xfId="49" applyFont="1" applyFill="1" applyBorder="1" applyAlignment="1">
      <alignment wrapText="1"/>
    </xf>
    <xf numFmtId="43" fontId="12" fillId="0" borderId="0" xfId="49" applyFont="1" applyFill="1" applyBorder="1" applyAlignment="1">
      <alignment horizontal="center" wrapText="1"/>
    </xf>
    <xf numFmtId="43" fontId="12" fillId="0" borderId="0" xfId="49" applyNumberFormat="1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3" fillId="0" borderId="0" xfId="0" applyFont="1" applyBorder="1" applyAlignment="1">
      <alignment/>
    </xf>
    <xf numFmtId="0" fontId="88" fillId="35" borderId="44" xfId="0" applyFont="1" applyFill="1" applyBorder="1" applyAlignment="1">
      <alignment/>
    </xf>
    <xf numFmtId="0" fontId="88" fillId="35" borderId="47" xfId="0" applyFont="1" applyFill="1" applyBorder="1" applyAlignment="1">
      <alignment horizontal="center"/>
    </xf>
    <xf numFmtId="0" fontId="88" fillId="35" borderId="45" xfId="0" applyFont="1" applyFill="1" applyBorder="1" applyAlignment="1">
      <alignment/>
    </xf>
    <xf numFmtId="3" fontId="88" fillId="35" borderId="47" xfId="0" applyNumberFormat="1" applyFont="1" applyFill="1" applyBorder="1" applyAlignment="1">
      <alignment/>
    </xf>
    <xf numFmtId="3" fontId="88" fillId="35" borderId="67" xfId="0" applyNumberFormat="1" applyFont="1" applyFill="1" applyBorder="1" applyAlignment="1">
      <alignment/>
    </xf>
    <xf numFmtId="0" fontId="85" fillId="35" borderId="42" xfId="0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9" fillId="35" borderId="68" xfId="0" applyFont="1" applyFill="1" applyBorder="1" applyAlignment="1">
      <alignment horizontal="center"/>
    </xf>
    <xf numFmtId="0" fontId="89" fillId="35" borderId="0" xfId="0" applyFont="1" applyFill="1" applyBorder="1" applyAlignment="1">
      <alignment/>
    </xf>
    <xf numFmtId="3" fontId="89" fillId="35" borderId="68" xfId="0" applyNumberFormat="1" applyFont="1" applyFill="1" applyBorder="1" applyAlignment="1">
      <alignment/>
    </xf>
    <xf numFmtId="3" fontId="89" fillId="35" borderId="43" xfId="0" applyNumberFormat="1" applyFont="1" applyFill="1" applyBorder="1" applyAlignment="1">
      <alignment/>
    </xf>
    <xf numFmtId="0" fontId="89" fillId="35" borderId="0" xfId="0" applyFont="1" applyFill="1" applyBorder="1" applyAlignment="1">
      <alignment horizontal="left" wrapText="1"/>
    </xf>
    <xf numFmtId="0" fontId="89" fillId="35" borderId="68" xfId="0" applyFont="1" applyFill="1" applyBorder="1" applyAlignment="1">
      <alignment wrapText="1"/>
    </xf>
    <xf numFmtId="0" fontId="89" fillId="35" borderId="0" xfId="0" applyFont="1" applyFill="1" applyBorder="1" applyAlignment="1">
      <alignment horizontal="center"/>
    </xf>
    <xf numFmtId="4" fontId="89" fillId="35" borderId="68" xfId="0" applyNumberFormat="1" applyFont="1" applyFill="1" applyBorder="1" applyAlignment="1">
      <alignment horizontal="right" wrapText="1"/>
    </xf>
    <xf numFmtId="4" fontId="85" fillId="35" borderId="43" xfId="0" applyNumberFormat="1" applyFont="1" applyFill="1" applyBorder="1" applyAlignment="1">
      <alignment horizontal="right"/>
    </xf>
    <xf numFmtId="0" fontId="89" fillId="35" borderId="42" xfId="0" applyFont="1" applyFill="1" applyBorder="1" applyAlignment="1">
      <alignment/>
    </xf>
    <xf numFmtId="0" fontId="89" fillId="35" borderId="68" xfId="0" applyFont="1" applyFill="1" applyBorder="1" applyAlignment="1">
      <alignment/>
    </xf>
    <xf numFmtId="4" fontId="89" fillId="35" borderId="68" xfId="0" applyNumberFormat="1" applyFont="1" applyFill="1" applyBorder="1" applyAlignment="1">
      <alignment/>
    </xf>
    <xf numFmtId="4" fontId="89" fillId="35" borderId="43" xfId="0" applyNumberFormat="1" applyFont="1" applyFill="1" applyBorder="1" applyAlignment="1">
      <alignment/>
    </xf>
    <xf numFmtId="0" fontId="89" fillId="35" borderId="0" xfId="0" applyFont="1" applyFill="1" applyBorder="1" applyAlignment="1">
      <alignment horizontal="center" wrapText="1"/>
    </xf>
    <xf numFmtId="0" fontId="89" fillId="35" borderId="46" xfId="0" applyFont="1" applyFill="1" applyBorder="1" applyAlignment="1">
      <alignment/>
    </xf>
    <xf numFmtId="0" fontId="89" fillId="35" borderId="48" xfId="0" applyFont="1" applyFill="1" applyBorder="1" applyAlignment="1">
      <alignment horizontal="center"/>
    </xf>
    <xf numFmtId="0" fontId="89" fillId="35" borderId="19" xfId="0" applyFont="1" applyFill="1" applyBorder="1" applyAlignment="1">
      <alignment/>
    </xf>
    <xf numFmtId="0" fontId="89" fillId="35" borderId="19" xfId="0" applyFont="1" applyFill="1" applyBorder="1" applyAlignment="1">
      <alignment horizontal="center"/>
    </xf>
    <xf numFmtId="4" fontId="89" fillId="35" borderId="48" xfId="0" applyNumberFormat="1" applyFont="1" applyFill="1" applyBorder="1" applyAlignment="1">
      <alignment/>
    </xf>
    <xf numFmtId="0" fontId="3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6" fillId="35" borderId="0" xfId="0" applyFont="1" applyFill="1" applyAlignment="1">
      <alignment/>
    </xf>
    <xf numFmtId="4" fontId="26" fillId="35" borderId="0" xfId="0" applyNumberFormat="1" applyFont="1" applyFill="1" applyAlignment="1">
      <alignment/>
    </xf>
    <xf numFmtId="4" fontId="30" fillId="35" borderId="0" xfId="0" applyNumberFormat="1" applyFont="1" applyFill="1" applyAlignment="1">
      <alignment/>
    </xf>
    <xf numFmtId="0" fontId="30" fillId="35" borderId="42" xfId="0" applyFont="1" applyFill="1" applyBorder="1" applyAlignment="1">
      <alignment horizontal="center"/>
    </xf>
    <xf numFmtId="0" fontId="30" fillId="35" borderId="28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center"/>
    </xf>
    <xf numFmtId="4" fontId="30" fillId="35" borderId="16" xfId="0" applyNumberFormat="1" applyFont="1" applyFill="1" applyBorder="1" applyAlignment="1">
      <alignment horizontal="center"/>
    </xf>
    <xf numFmtId="4" fontId="30" fillId="35" borderId="69" xfId="0" applyNumberFormat="1" applyFont="1" applyFill="1" applyBorder="1" applyAlignment="1">
      <alignment horizontal="center"/>
    </xf>
    <xf numFmtId="0" fontId="20" fillId="35" borderId="28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17" fontId="20" fillId="35" borderId="15" xfId="0" applyNumberFormat="1" applyFont="1" applyFill="1" applyBorder="1" applyAlignment="1">
      <alignment horizontal="center"/>
    </xf>
    <xf numFmtId="4" fontId="20" fillId="35" borderId="16" xfId="0" applyNumberFormat="1" applyFont="1" applyFill="1" applyBorder="1" applyAlignment="1">
      <alignment horizontal="right"/>
    </xf>
    <xf numFmtId="4" fontId="69" fillId="35" borderId="69" xfId="0" applyNumberFormat="1" applyFont="1" applyFill="1" applyBorder="1" applyAlignment="1">
      <alignment horizontal="right"/>
    </xf>
    <xf numFmtId="0" fontId="85" fillId="35" borderId="28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17" fontId="69" fillId="35" borderId="15" xfId="0" applyNumberFormat="1" applyFont="1" applyFill="1" applyBorder="1" applyAlignment="1">
      <alignment horizontal="center"/>
    </xf>
    <xf numFmtId="4" fontId="20" fillId="35" borderId="16" xfId="0" applyNumberFormat="1" applyFont="1" applyFill="1" applyBorder="1" applyAlignment="1">
      <alignment horizontal="center"/>
    </xf>
    <xf numFmtId="4" fontId="69" fillId="35" borderId="69" xfId="0" applyNumberFormat="1" applyFont="1" applyFill="1" applyBorder="1" applyAlignment="1">
      <alignment/>
    </xf>
    <xf numFmtId="0" fontId="86" fillId="35" borderId="46" xfId="0" applyFont="1" applyFill="1" applyBorder="1" applyAlignment="1">
      <alignment/>
    </xf>
    <xf numFmtId="0" fontId="86" fillId="35" borderId="13" xfId="0" applyFont="1" applyFill="1" applyBorder="1" applyAlignment="1">
      <alignment horizontal="center"/>
    </xf>
    <xf numFmtId="0" fontId="86" fillId="35" borderId="19" xfId="0" applyFont="1" applyFill="1" applyBorder="1" applyAlignment="1">
      <alignment horizontal="center"/>
    </xf>
    <xf numFmtId="17" fontId="37" fillId="35" borderId="70" xfId="0" applyNumberFormat="1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4" fontId="25" fillId="35" borderId="26" xfId="0" applyNumberFormat="1" applyFont="1" applyFill="1" applyBorder="1" applyAlignment="1">
      <alignment horizontal="center"/>
    </xf>
    <xf numFmtId="4" fontId="37" fillId="35" borderId="71" xfId="0" applyNumberFormat="1" applyFont="1" applyFill="1" applyBorder="1" applyAlignment="1">
      <alignment/>
    </xf>
    <xf numFmtId="0" fontId="86" fillId="35" borderId="0" xfId="0" applyFont="1" applyFill="1" applyBorder="1" applyAlignment="1">
      <alignment/>
    </xf>
    <xf numFmtId="0" fontId="86" fillId="35" borderId="0" xfId="0" applyFont="1" applyFill="1" applyBorder="1" applyAlignment="1">
      <alignment horizontal="center"/>
    </xf>
    <xf numFmtId="17" fontId="37" fillId="35" borderId="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4" fontId="25" fillId="35" borderId="0" xfId="0" applyNumberFormat="1" applyFont="1" applyFill="1" applyBorder="1" applyAlignment="1">
      <alignment horizontal="center"/>
    </xf>
    <xf numFmtId="4" fontId="37" fillId="35" borderId="0" xfId="0" applyNumberFormat="1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4" fontId="33" fillId="35" borderId="43" xfId="0" applyNumberFormat="1" applyFont="1" applyFill="1" applyBorder="1" applyAlignment="1">
      <alignment horizontal="center"/>
    </xf>
    <xf numFmtId="0" fontId="85" fillId="35" borderId="42" xfId="0" applyFont="1" applyFill="1" applyBorder="1" applyAlignment="1">
      <alignment horizontal="center"/>
    </xf>
    <xf numFmtId="4" fontId="20" fillId="35" borderId="0" xfId="0" applyNumberFormat="1" applyFont="1" applyFill="1" applyBorder="1" applyAlignment="1">
      <alignment horizontal="center"/>
    </xf>
    <xf numFmtId="0" fontId="20" fillId="35" borderId="28" xfId="0" applyFont="1" applyFill="1" applyBorder="1" applyAlignment="1">
      <alignment horizontal="center" wrapText="1"/>
    </xf>
    <xf numFmtId="0" fontId="69" fillId="35" borderId="46" xfId="0" applyFont="1" applyFill="1" applyBorder="1" applyAlignment="1">
      <alignment horizontal="center"/>
    </xf>
    <xf numFmtId="0" fontId="85" fillId="35" borderId="13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4" fontId="68" fillId="35" borderId="66" xfId="0" applyNumberFormat="1" applyFont="1" applyFill="1" applyBorder="1" applyAlignment="1">
      <alignment horizontal="center"/>
    </xf>
    <xf numFmtId="182" fontId="68" fillId="35" borderId="72" xfId="0" applyNumberFormat="1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center"/>
    </xf>
    <xf numFmtId="0" fontId="87" fillId="35" borderId="0" xfId="0" applyFont="1" applyFill="1" applyBorder="1" applyAlignment="1">
      <alignment horizontal="center"/>
    </xf>
    <xf numFmtId="17" fontId="25" fillId="35" borderId="0" xfId="0" applyNumberFormat="1" applyFont="1" applyFill="1" applyBorder="1" applyAlignment="1">
      <alignment horizontal="center"/>
    </xf>
    <xf numFmtId="3" fontId="20" fillId="35" borderId="28" xfId="0" applyNumberFormat="1" applyFont="1" applyFill="1" applyBorder="1" applyAlignment="1">
      <alignment horizontal="center"/>
    </xf>
    <xf numFmtId="0" fontId="69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94" fillId="41" borderId="18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91" fillId="0" borderId="18" xfId="0" applyFont="1" applyBorder="1" applyAlignment="1">
      <alignment horizontal="center"/>
    </xf>
    <xf numFmtId="9" fontId="91" fillId="0" borderId="18" xfId="57" applyFont="1" applyBorder="1" applyAlignment="1">
      <alignment horizontal="center"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42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43" xfId="0" applyFont="1" applyBorder="1" applyAlignment="1">
      <alignment/>
    </xf>
    <xf numFmtId="0" fontId="92" fillId="0" borderId="44" xfId="0" applyFont="1" applyBorder="1" applyAlignment="1">
      <alignment horizontal="center"/>
    </xf>
    <xf numFmtId="0" fontId="92" fillId="0" borderId="45" xfId="0" applyFont="1" applyBorder="1" applyAlignment="1">
      <alignment wrapText="1"/>
    </xf>
    <xf numFmtId="0" fontId="91" fillId="0" borderId="45" xfId="0" applyFont="1" applyBorder="1" applyAlignment="1">
      <alignment/>
    </xf>
    <xf numFmtId="4" fontId="91" fillId="0" borderId="47" xfId="0" applyNumberFormat="1" applyFont="1" applyBorder="1" applyAlignment="1">
      <alignment horizontal="center"/>
    </xf>
    <xf numFmtId="0" fontId="92" fillId="0" borderId="46" xfId="0" applyFont="1" applyBorder="1" applyAlignment="1">
      <alignment horizontal="center"/>
    </xf>
    <xf numFmtId="0" fontId="92" fillId="0" borderId="19" xfId="0" applyFont="1" applyBorder="1" applyAlignment="1">
      <alignment wrapText="1"/>
    </xf>
    <xf numFmtId="0" fontId="91" fillId="0" borderId="19" xfId="0" applyFont="1" applyBorder="1" applyAlignment="1">
      <alignment/>
    </xf>
    <xf numFmtId="4" fontId="91" fillId="0" borderId="48" xfId="0" applyNumberFormat="1" applyFont="1" applyBorder="1" applyAlignment="1">
      <alignment horizontal="center"/>
    </xf>
    <xf numFmtId="0" fontId="92" fillId="0" borderId="42" xfId="0" applyFont="1" applyBorder="1" applyAlignment="1">
      <alignment horizontal="center"/>
    </xf>
    <xf numFmtId="0" fontId="92" fillId="0" borderId="0" xfId="0" applyFont="1" applyAlignment="1">
      <alignment wrapText="1"/>
    </xf>
    <xf numFmtId="0" fontId="91" fillId="0" borderId="0" xfId="0" applyFont="1" applyAlignment="1">
      <alignment/>
    </xf>
    <xf numFmtId="4" fontId="91" fillId="0" borderId="68" xfId="0" applyNumberFormat="1" applyFont="1" applyBorder="1" applyAlignment="1">
      <alignment horizontal="center"/>
    </xf>
    <xf numFmtId="0" fontId="92" fillId="0" borderId="0" xfId="0" applyFont="1" applyAlignment="1">
      <alignment horizontal="center"/>
    </xf>
    <xf numFmtId="9" fontId="91" fillId="0" borderId="12" xfId="57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75" fontId="41" fillId="0" borderId="0" xfId="57" applyNumberFormat="1" applyFont="1" applyAlignment="1">
      <alignment/>
    </xf>
    <xf numFmtId="0" fontId="33" fillId="35" borderId="0" xfId="0" applyFont="1" applyFill="1" applyBorder="1" applyAlignment="1">
      <alignment/>
    </xf>
    <xf numFmtId="0" fontId="36" fillId="35" borderId="0" xfId="0" applyFont="1" applyFill="1" applyBorder="1" applyAlignment="1">
      <alignment/>
    </xf>
    <xf numFmtId="0" fontId="67" fillId="35" borderId="0" xfId="0" applyFont="1" applyFill="1" applyBorder="1" applyAlignment="1">
      <alignment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 wrapText="1"/>
    </xf>
    <xf numFmtId="4" fontId="73" fillId="35" borderId="0" xfId="0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right"/>
    </xf>
    <xf numFmtId="0" fontId="33" fillId="35" borderId="0" xfId="0" applyFont="1" applyFill="1" applyBorder="1" applyAlignment="1">
      <alignment horizontal="left"/>
    </xf>
    <xf numFmtId="0" fontId="36" fillId="35" borderId="0" xfId="0" applyFont="1" applyFill="1" applyAlignment="1">
      <alignment/>
    </xf>
    <xf numFmtId="166" fontId="0" fillId="35" borderId="30" xfId="51" applyNumberFormat="1" applyFont="1" applyFill="1" applyBorder="1" applyAlignment="1">
      <alignment horizontal="center"/>
    </xf>
    <xf numFmtId="4" fontId="0" fillId="35" borderId="36" xfId="51" applyNumberFormat="1" applyFont="1" applyFill="1" applyBorder="1" applyAlignment="1">
      <alignment horizontal="center"/>
    </xf>
    <xf numFmtId="44" fontId="0" fillId="35" borderId="0" xfId="51" applyFont="1" applyFill="1" applyAlignment="1">
      <alignment/>
    </xf>
    <xf numFmtId="166" fontId="0" fillId="35" borderId="0" xfId="51" applyNumberFormat="1" applyFont="1" applyFill="1" applyBorder="1" applyAlignment="1">
      <alignment horizontal="center"/>
    </xf>
    <xf numFmtId="4" fontId="0" fillId="35" borderId="38" xfId="51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" fontId="0" fillId="35" borderId="31" xfId="51" applyNumberFormat="1" applyFont="1" applyFill="1" applyBorder="1" applyAlignment="1">
      <alignment horizontal="center"/>
    </xf>
    <xf numFmtId="4" fontId="0" fillId="35" borderId="30" xfId="51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0" fillId="35" borderId="37" xfId="51" applyNumberFormat="1" applyFont="1" applyFill="1" applyBorder="1" applyAlignment="1">
      <alignment horizontal="center"/>
    </xf>
    <xf numFmtId="0" fontId="33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4" fontId="82" fillId="35" borderId="30" xfId="51" applyNumberFormat="1" applyFont="1" applyFill="1" applyBorder="1" applyAlignment="1">
      <alignment horizontal="center"/>
    </xf>
    <xf numFmtId="4" fontId="0" fillId="35" borderId="0" xfId="51" applyNumberFormat="1" applyFont="1" applyFill="1" applyBorder="1" applyAlignment="1">
      <alignment horizontal="center"/>
    </xf>
    <xf numFmtId="9" fontId="0" fillId="35" borderId="0" xfId="0" applyNumberFormat="1" applyFont="1" applyFill="1" applyBorder="1" applyAlignment="1">
      <alignment horizontal="left"/>
    </xf>
    <xf numFmtId="9" fontId="0" fillId="35" borderId="0" xfId="0" applyNumberFormat="1" applyFont="1" applyFill="1" applyBorder="1" applyAlignment="1">
      <alignment horizontal="left"/>
    </xf>
    <xf numFmtId="4" fontId="0" fillId="35" borderId="0" xfId="0" applyNumberFormat="1" applyFill="1" applyAlignment="1">
      <alignment/>
    </xf>
    <xf numFmtId="9" fontId="33" fillId="35" borderId="0" xfId="57" applyFont="1" applyFill="1" applyBorder="1" applyAlignment="1">
      <alignment horizontal="left"/>
    </xf>
    <xf numFmtId="0" fontId="33" fillId="35" borderId="0" xfId="0" applyFont="1" applyFill="1" applyBorder="1" applyAlignment="1">
      <alignment/>
    </xf>
    <xf numFmtId="0" fontId="40" fillId="35" borderId="0" xfId="0" applyFont="1" applyFill="1" applyBorder="1" applyAlignment="1">
      <alignment vertical="center" wrapText="1"/>
    </xf>
    <xf numFmtId="4" fontId="13" fillId="35" borderId="0" xfId="0" applyNumberFormat="1" applyFont="1" applyFill="1" applyBorder="1" applyAlignment="1">
      <alignment/>
    </xf>
    <xf numFmtId="0" fontId="40" fillId="35" borderId="0" xfId="0" applyFont="1" applyFill="1" applyBorder="1" applyAlignment="1">
      <alignment/>
    </xf>
    <xf numFmtId="4" fontId="13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70" fillId="35" borderId="0" xfId="0" applyFont="1" applyFill="1" applyAlignment="1">
      <alignment/>
    </xf>
    <xf numFmtId="4" fontId="0" fillId="35" borderId="73" xfId="51" applyNumberFormat="1" applyFont="1" applyFill="1" applyBorder="1" applyAlignment="1">
      <alignment horizontal="center"/>
    </xf>
    <xf numFmtId="0" fontId="0" fillId="35" borderId="73" xfId="0" applyFill="1" applyBorder="1" applyAlignment="1">
      <alignment/>
    </xf>
    <xf numFmtId="0" fontId="0" fillId="42" borderId="74" xfId="0" applyFill="1" applyBorder="1" applyAlignment="1">
      <alignment/>
    </xf>
    <xf numFmtId="4" fontId="26" fillId="0" borderId="15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9" fillId="42" borderId="74" xfId="0" applyNumberFormat="1" applyFont="1" applyFill="1" applyBorder="1" applyAlignment="1">
      <alignment/>
    </xf>
    <xf numFmtId="0" fontId="3" fillId="42" borderId="74" xfId="0" applyFont="1" applyFill="1" applyBorder="1" applyAlignment="1">
      <alignment/>
    </xf>
    <xf numFmtId="4" fontId="31" fillId="42" borderId="74" xfId="0" applyNumberFormat="1" applyFont="1" applyFill="1" applyBorder="1" applyAlignment="1">
      <alignment horizontal="right" vertical="center" wrapText="1"/>
    </xf>
    <xf numFmtId="0" fontId="32" fillId="42" borderId="74" xfId="0" applyFont="1" applyFill="1" applyBorder="1" applyAlignment="1">
      <alignment horizontal="left"/>
    </xf>
    <xf numFmtId="174" fontId="3" fillId="42" borderId="74" xfId="49" applyNumberFormat="1" applyFont="1" applyFill="1" applyBorder="1" applyAlignment="1">
      <alignment/>
    </xf>
    <xf numFmtId="4" fontId="22" fillId="42" borderId="74" xfId="0" applyNumberFormat="1" applyFont="1" applyFill="1" applyBorder="1" applyAlignment="1">
      <alignment horizontal="right"/>
    </xf>
    <xf numFmtId="0" fontId="32" fillId="42" borderId="74" xfId="0" applyFont="1" applyFill="1" applyBorder="1" applyAlignment="1">
      <alignment/>
    </xf>
    <xf numFmtId="174" fontId="32" fillId="42" borderId="74" xfId="49" applyNumberFormat="1" applyFont="1" applyFill="1" applyBorder="1" applyAlignment="1">
      <alignment/>
    </xf>
    <xf numFmtId="4" fontId="55" fillId="43" borderId="74" xfId="0" applyNumberFormat="1" applyFont="1" applyFill="1" applyBorder="1" applyAlignment="1">
      <alignment horizontal="left" vertical="center" wrapText="1"/>
    </xf>
    <xf numFmtId="4" fontId="55" fillId="43" borderId="74" xfId="0" applyNumberFormat="1" applyFont="1" applyFill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left" vertical="center" wrapText="1"/>
    </xf>
    <xf numFmtId="3" fontId="25" fillId="0" borderId="74" xfId="0" applyNumberFormat="1" applyFont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right" vertical="center" wrapText="1"/>
    </xf>
    <xf numFmtId="4" fontId="25" fillId="0" borderId="74" xfId="0" applyNumberFormat="1" applyFont="1" applyBorder="1" applyAlignment="1">
      <alignment/>
    </xf>
    <xf numFmtId="4" fontId="37" fillId="35" borderId="74" xfId="0" applyNumberFormat="1" applyFont="1" applyFill="1" applyBorder="1" applyAlignment="1">
      <alignment horizontal="right" vertical="center" wrapText="1"/>
    </xf>
    <xf numFmtId="4" fontId="37" fillId="0" borderId="74" xfId="0" applyNumberFormat="1" applyFont="1" applyBorder="1" applyAlignment="1">
      <alignment horizontal="right" vertical="center" wrapText="1"/>
    </xf>
    <xf numFmtId="4" fontId="28" fillId="0" borderId="74" xfId="0" applyNumberFormat="1" applyFont="1" applyBorder="1" applyAlignment="1">
      <alignment/>
    </xf>
    <xf numFmtId="4" fontId="27" fillId="0" borderId="74" xfId="0" applyNumberFormat="1" applyFont="1" applyBorder="1" applyAlignment="1">
      <alignment/>
    </xf>
    <xf numFmtId="4" fontId="27" fillId="35" borderId="74" xfId="0" applyNumberFormat="1" applyFont="1" applyFill="1" applyBorder="1" applyAlignment="1">
      <alignment horizontal="right" vertical="center" wrapText="1"/>
    </xf>
    <xf numFmtId="4" fontId="27" fillId="0" borderId="74" xfId="0" applyNumberFormat="1" applyFont="1" applyBorder="1" applyAlignment="1">
      <alignment horizontal="right"/>
    </xf>
    <xf numFmtId="4" fontId="96" fillId="0" borderId="74" xfId="0" applyNumberFormat="1" applyFont="1" applyBorder="1" applyAlignment="1">
      <alignment/>
    </xf>
    <xf numFmtId="4" fontId="25" fillId="35" borderId="74" xfId="0" applyNumberFormat="1" applyFont="1" applyFill="1" applyBorder="1" applyAlignment="1">
      <alignment horizontal="left" vertical="center" wrapText="1"/>
    </xf>
    <xf numFmtId="9" fontId="25" fillId="35" borderId="74" xfId="57" applyFont="1" applyFill="1" applyBorder="1" applyAlignment="1">
      <alignment horizontal="center" vertical="center" wrapText="1"/>
    </xf>
    <xf numFmtId="3" fontId="25" fillId="35" borderId="74" xfId="0" applyNumberFormat="1" applyFont="1" applyFill="1" applyBorder="1" applyAlignment="1">
      <alignment horizontal="center" vertical="center" wrapText="1"/>
    </xf>
    <xf numFmtId="4" fontId="25" fillId="35" borderId="74" xfId="0" applyNumberFormat="1" applyFont="1" applyFill="1" applyBorder="1" applyAlignment="1">
      <alignment horizontal="center" vertical="center" wrapText="1"/>
    </xf>
    <xf numFmtId="4" fontId="25" fillId="35" borderId="74" xfId="0" applyNumberFormat="1" applyFont="1" applyFill="1" applyBorder="1" applyAlignment="1">
      <alignment horizontal="right" vertical="center" wrapText="1"/>
    </xf>
    <xf numFmtId="4" fontId="31" fillId="42" borderId="75" xfId="0" applyNumberFormat="1" applyFont="1" applyFill="1" applyBorder="1" applyAlignment="1">
      <alignment horizontal="right" vertical="center" wrapText="1"/>
    </xf>
    <xf numFmtId="10" fontId="25" fillId="0" borderId="74" xfId="57" applyNumberFormat="1" applyFont="1" applyBorder="1" applyAlignment="1">
      <alignment horizontal="center" vertical="center" wrapText="1"/>
    </xf>
    <xf numFmtId="4" fontId="25" fillId="0" borderId="76" xfId="0" applyNumberFormat="1" applyFont="1" applyBorder="1" applyAlignment="1">
      <alignment horizontal="center" vertical="center" wrapText="1"/>
    </xf>
    <xf numFmtId="4" fontId="22" fillId="42" borderId="77" xfId="0" applyNumberFormat="1" applyFont="1" applyFill="1" applyBorder="1" applyAlignment="1">
      <alignment horizontal="right"/>
    </xf>
    <xf numFmtId="4" fontId="22" fillId="42" borderId="78" xfId="0" applyNumberFormat="1" applyFont="1" applyFill="1" applyBorder="1" applyAlignment="1">
      <alignment horizontal="right"/>
    </xf>
    <xf numFmtId="9" fontId="25" fillId="0" borderId="74" xfId="57" applyFont="1" applyBorder="1" applyAlignment="1">
      <alignment horizontal="center" vertical="center" wrapText="1"/>
    </xf>
    <xf numFmtId="175" fontId="25" fillId="0" borderId="74" xfId="57" applyNumberFormat="1" applyFont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center"/>
    </xf>
    <xf numFmtId="4" fontId="29" fillId="42" borderId="79" xfId="0" applyNumberFormat="1" applyFont="1" applyFill="1" applyBorder="1" applyAlignment="1">
      <alignment/>
    </xf>
    <xf numFmtId="4" fontId="26" fillId="0" borderId="74" xfId="0" applyNumberFormat="1" applyFont="1" applyBorder="1" applyAlignment="1">
      <alignment/>
    </xf>
    <xf numFmtId="4" fontId="63" fillId="43" borderId="74" xfId="0" applyNumberFormat="1" applyFont="1" applyFill="1" applyBorder="1" applyAlignment="1">
      <alignment horizontal="center" vertical="center" wrapText="1"/>
    </xf>
    <xf numFmtId="4" fontId="55" fillId="43" borderId="7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/>
    </xf>
    <xf numFmtId="4" fontId="47" fillId="0" borderId="37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wrapText="1"/>
    </xf>
    <xf numFmtId="44" fontId="36" fillId="35" borderId="38" xfId="51" applyFont="1" applyFill="1" applyBorder="1" applyAlignment="1">
      <alignment horizontal="center"/>
    </xf>
    <xf numFmtId="44" fontId="36" fillId="35" borderId="38" xfId="51" applyFont="1" applyFill="1" applyBorder="1" applyAlignment="1">
      <alignment/>
    </xf>
    <xf numFmtId="4" fontId="0" fillId="35" borderId="73" xfId="0" applyNumberFormat="1" applyFill="1" applyBorder="1" applyAlignment="1">
      <alignment/>
    </xf>
    <xf numFmtId="4" fontId="0" fillId="35" borderId="80" xfId="51" applyNumberFormat="1" applyFont="1" applyFill="1" applyBorder="1" applyAlignment="1">
      <alignment horizontal="center"/>
    </xf>
    <xf numFmtId="0" fontId="50" fillId="10" borderId="34" xfId="0" applyFont="1" applyFill="1" applyBorder="1" applyAlignment="1">
      <alignment horizontal="left"/>
    </xf>
    <xf numFmtId="4" fontId="98" fillId="10" borderId="81" xfId="51" applyNumberFormat="1" applyFont="1" applyFill="1" applyBorder="1" applyAlignment="1">
      <alignment horizontal="center"/>
    </xf>
    <xf numFmtId="4" fontId="98" fillId="10" borderId="34" xfId="51" applyNumberFormat="1" applyFont="1" applyFill="1" applyBorder="1" applyAlignment="1">
      <alignment horizontal="center"/>
    </xf>
    <xf numFmtId="0" fontId="50" fillId="10" borderId="82" xfId="0" applyFont="1" applyFill="1" applyBorder="1" applyAlignment="1">
      <alignment horizontal="left"/>
    </xf>
    <xf numFmtId="4" fontId="98" fillId="10" borderId="83" xfId="51" applyNumberFormat="1" applyFont="1" applyFill="1" applyBorder="1" applyAlignment="1">
      <alignment horizontal="center"/>
    </xf>
    <xf numFmtId="4" fontId="98" fillId="10" borderId="84" xfId="51" applyNumberFormat="1" applyFont="1" applyFill="1" applyBorder="1" applyAlignment="1">
      <alignment horizontal="center"/>
    </xf>
    <xf numFmtId="10" fontId="0" fillId="10" borderId="85" xfId="0" applyNumberFormat="1" applyFill="1" applyBorder="1" applyAlignment="1">
      <alignment/>
    </xf>
    <xf numFmtId="10" fontId="0" fillId="10" borderId="86" xfId="0" applyNumberFormat="1" applyFill="1" applyBorder="1" applyAlignment="1">
      <alignment/>
    </xf>
    <xf numFmtId="167" fontId="0" fillId="10" borderId="87" xfId="0" applyNumberFormat="1" applyFill="1" applyBorder="1" applyAlignment="1">
      <alignment/>
    </xf>
    <xf numFmtId="0" fontId="39" fillId="44" borderId="88" xfId="0" applyFont="1" applyFill="1" applyBorder="1" applyAlignment="1">
      <alignment/>
    </xf>
    <xf numFmtId="0" fontId="39" fillId="44" borderId="89" xfId="0" applyFont="1" applyFill="1" applyBorder="1" applyAlignment="1">
      <alignment/>
    </xf>
    <xf numFmtId="0" fontId="39" fillId="44" borderId="90" xfId="0" applyFont="1" applyFill="1" applyBorder="1" applyAlignment="1">
      <alignment/>
    </xf>
    <xf numFmtId="0" fontId="97" fillId="44" borderId="89" xfId="0" applyFont="1" applyFill="1" applyBorder="1" applyAlignment="1">
      <alignment horizontal="center"/>
    </xf>
    <xf numFmtId="0" fontId="17" fillId="44" borderId="89" xfId="0" applyFont="1" applyFill="1" applyBorder="1" applyAlignment="1">
      <alignment horizontal="center" vertical="center"/>
    </xf>
    <xf numFmtId="0" fontId="39" fillId="44" borderId="89" xfId="0" applyFont="1" applyFill="1" applyBorder="1" applyAlignment="1">
      <alignment horizontal="center" vertical="center" wrapText="1"/>
    </xf>
    <xf numFmtId="0" fontId="0" fillId="10" borderId="89" xfId="0" applyFill="1" applyBorder="1" applyAlignment="1">
      <alignment horizontal="center"/>
    </xf>
    <xf numFmtId="4" fontId="0" fillId="35" borderId="89" xfId="0" applyNumberFormat="1" applyFill="1" applyBorder="1" applyAlignment="1">
      <alignment/>
    </xf>
    <xf numFmtId="0" fontId="80" fillId="44" borderId="89" xfId="0" applyNumberFormat="1" applyFont="1" applyFill="1" applyBorder="1" applyAlignment="1" applyProtection="1">
      <alignment/>
      <protection/>
    </xf>
    <xf numFmtId="9" fontId="80" fillId="44" borderId="89" xfId="57" applyFont="1" applyFill="1" applyBorder="1" applyAlignment="1">
      <alignment/>
    </xf>
    <xf numFmtId="0" fontId="80" fillId="44" borderId="89" xfId="0" applyFont="1" applyFill="1" applyBorder="1" applyAlignment="1">
      <alignment/>
    </xf>
    <xf numFmtId="0" fontId="81" fillId="44" borderId="89" xfId="0" applyNumberFormat="1" applyFont="1" applyFill="1" applyBorder="1" applyAlignment="1" applyProtection="1">
      <alignment/>
      <protection/>
    </xf>
    <xf numFmtId="9" fontId="75" fillId="35" borderId="89" xfId="57" applyFont="1" applyFill="1" applyBorder="1" applyAlignment="1" applyProtection="1">
      <alignment/>
      <protection/>
    </xf>
    <xf numFmtId="3" fontId="0" fillId="35" borderId="89" xfId="0" applyNumberFormat="1" applyFont="1" applyFill="1" applyBorder="1" applyAlignment="1" applyProtection="1">
      <alignment/>
      <protection/>
    </xf>
    <xf numFmtId="9" fontId="76" fillId="35" borderId="89" xfId="0" applyNumberFormat="1" applyFont="1" applyFill="1" applyBorder="1" applyAlignment="1" applyProtection="1">
      <alignment/>
      <protection/>
    </xf>
    <xf numFmtId="3" fontId="76" fillId="35" borderId="89" xfId="0" applyNumberFormat="1" applyFont="1" applyFill="1" applyBorder="1" applyAlignment="1" applyProtection="1">
      <alignment/>
      <protection/>
    </xf>
    <xf numFmtId="0" fontId="76" fillId="35" borderId="89" xfId="0" applyNumberFormat="1" applyFont="1" applyFill="1" applyBorder="1" applyAlignment="1" applyProtection="1">
      <alignment/>
      <protection/>
    </xf>
    <xf numFmtId="1" fontId="75" fillId="35" borderId="89" xfId="57" applyNumberFormat="1" applyFont="1" applyFill="1" applyBorder="1" applyAlignment="1">
      <alignment/>
    </xf>
    <xf numFmtId="1" fontId="75" fillId="35" borderId="89" xfId="57" applyNumberFormat="1" applyFont="1" applyFill="1" applyBorder="1" applyAlignment="1" applyProtection="1">
      <alignment/>
      <protection/>
    </xf>
    <xf numFmtId="0" fontId="80" fillId="44" borderId="89" xfId="0" applyNumberFormat="1" applyFont="1" applyFill="1" applyBorder="1" applyAlignment="1" applyProtection="1">
      <alignment horizontal="center"/>
      <protection/>
    </xf>
    <xf numFmtId="17" fontId="80" fillId="44" borderId="89" xfId="0" applyNumberFormat="1" applyFont="1" applyFill="1" applyBorder="1" applyAlignment="1" applyProtection="1">
      <alignment horizontal="center"/>
      <protection/>
    </xf>
    <xf numFmtId="0" fontId="0" fillId="35" borderId="89" xfId="0" applyNumberFormat="1" applyFont="1" applyFill="1" applyBorder="1" applyAlignment="1" applyProtection="1">
      <alignment horizontal="center"/>
      <protection/>
    </xf>
    <xf numFmtId="9" fontId="0" fillId="35" borderId="89" xfId="0" applyNumberFormat="1" applyFont="1" applyFill="1" applyBorder="1" applyAlignment="1" applyProtection="1">
      <alignment horizontal="center"/>
      <protection/>
    </xf>
    <xf numFmtId="4" fontId="0" fillId="35" borderId="89" xfId="0" applyNumberFormat="1" applyFont="1" applyFill="1" applyBorder="1" applyAlignment="1" applyProtection="1">
      <alignment/>
      <protection/>
    </xf>
    <xf numFmtId="1" fontId="0" fillId="35" borderId="89" xfId="0" applyNumberFormat="1" applyFont="1" applyFill="1" applyBorder="1" applyAlignment="1" applyProtection="1">
      <alignment horizontal="center"/>
      <protection/>
    </xf>
    <xf numFmtId="4" fontId="76" fillId="35" borderId="89" xfId="0" applyNumberFormat="1" applyFont="1" applyFill="1" applyBorder="1" applyAlignment="1" applyProtection="1">
      <alignment/>
      <protection/>
    </xf>
    <xf numFmtId="4" fontId="0" fillId="35" borderId="0" xfId="0" applyNumberFormat="1" applyFill="1" applyBorder="1" applyAlignment="1">
      <alignment/>
    </xf>
    <xf numFmtId="0" fontId="0" fillId="45" borderId="0" xfId="0" applyFill="1" applyBorder="1" applyAlignment="1">
      <alignment horizontal="center"/>
    </xf>
    <xf numFmtId="4" fontId="9" fillId="44" borderId="89" xfId="0" applyNumberFormat="1" applyFont="1" applyFill="1" applyBorder="1" applyAlignment="1">
      <alignment horizontal="left"/>
    </xf>
    <xf numFmtId="4" fontId="9" fillId="44" borderId="89" xfId="0" applyNumberFormat="1" applyFont="1" applyFill="1" applyBorder="1" applyAlignment="1">
      <alignment horizontal="right"/>
    </xf>
    <xf numFmtId="4" fontId="17" fillId="44" borderId="89" xfId="0" applyNumberFormat="1" applyFont="1" applyFill="1" applyBorder="1" applyAlignment="1">
      <alignment/>
    </xf>
    <xf numFmtId="4" fontId="17" fillId="44" borderId="89" xfId="0" applyNumberFormat="1" applyFont="1" applyFill="1" applyBorder="1" applyAlignment="1">
      <alignment horizontal="center"/>
    </xf>
    <xf numFmtId="4" fontId="58" fillId="10" borderId="89" xfId="0" applyNumberFormat="1" applyFont="1" applyFill="1" applyBorder="1" applyAlignment="1">
      <alignment horizontal="center" vertical="center" wrapText="1"/>
    </xf>
    <xf numFmtId="3" fontId="6" fillId="0" borderId="89" xfId="0" applyNumberFormat="1" applyFont="1" applyBorder="1" applyAlignment="1">
      <alignment horizontal="center" vertical="center" wrapText="1"/>
    </xf>
    <xf numFmtId="4" fontId="6" fillId="0" borderId="89" xfId="0" applyNumberFormat="1" applyFont="1" applyBorder="1" applyAlignment="1">
      <alignment horizontal="left" vertical="center" wrapText="1"/>
    </xf>
    <xf numFmtId="4" fontId="6" fillId="0" borderId="89" xfId="0" applyNumberFormat="1" applyFont="1" applyBorder="1" applyAlignment="1">
      <alignment horizontal="center" vertical="center" wrapText="1"/>
    </xf>
    <xf numFmtId="43" fontId="6" fillId="0" borderId="89" xfId="49" applyFont="1" applyBorder="1" applyAlignment="1">
      <alignment horizontal="right" vertical="center" wrapText="1"/>
    </xf>
    <xf numFmtId="43" fontId="6" fillId="0" borderId="89" xfId="49" applyFont="1" applyBorder="1" applyAlignment="1">
      <alignment vertical="center" wrapText="1"/>
    </xf>
    <xf numFmtId="176" fontId="6" fillId="0" borderId="89" xfId="49" applyNumberFormat="1" applyFont="1" applyBorder="1" applyAlignment="1">
      <alignment vertical="center" wrapText="1"/>
    </xf>
    <xf numFmtId="176" fontId="6" fillId="0" borderId="89" xfId="49" applyNumberFormat="1" applyFont="1" applyBorder="1" applyAlignment="1">
      <alignment horizontal="center" vertical="center" wrapText="1"/>
    </xf>
    <xf numFmtId="3" fontId="6" fillId="0" borderId="89" xfId="0" applyNumberFormat="1" applyFont="1" applyFill="1" applyBorder="1" applyAlignment="1">
      <alignment horizontal="center" vertical="center" wrapText="1"/>
    </xf>
    <xf numFmtId="4" fontId="6" fillId="0" borderId="89" xfId="0" applyNumberFormat="1" applyFont="1" applyFill="1" applyBorder="1" applyAlignment="1">
      <alignment horizontal="left" vertical="center" wrapText="1"/>
    </xf>
    <xf numFmtId="4" fontId="6" fillId="0" borderId="89" xfId="0" applyNumberFormat="1" applyFont="1" applyFill="1" applyBorder="1" applyAlignment="1">
      <alignment horizontal="center" vertical="center" wrapText="1"/>
    </xf>
    <xf numFmtId="43" fontId="6" fillId="0" borderId="89" xfId="49" applyFont="1" applyFill="1" applyBorder="1" applyAlignment="1">
      <alignment horizontal="right" vertical="center" wrapText="1"/>
    </xf>
    <xf numFmtId="43" fontId="13" fillId="0" borderId="89" xfId="49" applyFont="1" applyFill="1" applyBorder="1" applyAlignment="1">
      <alignment horizontal="right" vertical="center"/>
    </xf>
    <xf numFmtId="3" fontId="6" fillId="0" borderId="89" xfId="0" applyNumberFormat="1" applyFont="1" applyBorder="1" applyAlignment="1">
      <alignment horizontal="center"/>
    </xf>
    <xf numFmtId="43" fontId="13" fillId="0" borderId="89" xfId="49" applyFont="1" applyBorder="1" applyAlignment="1">
      <alignment/>
    </xf>
    <xf numFmtId="43" fontId="13" fillId="0" borderId="89" xfId="49" applyFont="1" applyBorder="1" applyAlignment="1">
      <alignment horizontal="right"/>
    </xf>
    <xf numFmtId="43" fontId="13" fillId="0" borderId="89" xfId="49" applyFont="1" applyBorder="1" applyAlignment="1">
      <alignment/>
    </xf>
    <xf numFmtId="4" fontId="12" fillId="0" borderId="89" xfId="0" applyNumberFormat="1" applyFont="1" applyBorder="1" applyAlignment="1">
      <alignment horizontal="center" wrapText="1"/>
    </xf>
    <xf numFmtId="4" fontId="6" fillId="0" borderId="89" xfId="0" applyNumberFormat="1" applyFont="1" applyBorder="1" applyAlignment="1">
      <alignment horizontal="left" wrapText="1"/>
    </xf>
    <xf numFmtId="4" fontId="6" fillId="0" borderId="89" xfId="0" applyNumberFormat="1" applyFont="1" applyBorder="1" applyAlignment="1">
      <alignment horizontal="center" wrapText="1"/>
    </xf>
    <xf numFmtId="43" fontId="6" fillId="0" borderId="89" xfId="49" applyFont="1" applyBorder="1" applyAlignment="1">
      <alignment horizontal="right" wrapText="1"/>
    </xf>
    <xf numFmtId="43" fontId="12" fillId="0" borderId="89" xfId="49" applyFont="1" applyBorder="1" applyAlignment="1">
      <alignment wrapText="1"/>
    </xf>
    <xf numFmtId="43" fontId="12" fillId="0" borderId="89" xfId="49" applyNumberFormat="1" applyFont="1" applyBorder="1" applyAlignment="1">
      <alignment horizontal="center" vertical="center" wrapText="1"/>
    </xf>
    <xf numFmtId="4" fontId="6" fillId="0" borderId="89" xfId="0" applyNumberFormat="1" applyFont="1" applyFill="1" applyBorder="1" applyAlignment="1">
      <alignment vertical="center" wrapText="1"/>
    </xf>
    <xf numFmtId="4" fontId="6" fillId="0" borderId="89" xfId="0" applyNumberFormat="1" applyFont="1" applyBorder="1" applyAlignment="1">
      <alignment horizontal="right" vertical="center" wrapText="1"/>
    </xf>
    <xf numFmtId="4" fontId="6" fillId="0" borderId="89" xfId="0" applyNumberFormat="1" applyFont="1" applyFill="1" applyBorder="1" applyAlignment="1">
      <alignment horizontal="right" vertical="center" wrapText="1"/>
    </xf>
    <xf numFmtId="4" fontId="6" fillId="0" borderId="89" xfId="0" applyNumberFormat="1" applyFont="1" applyFill="1" applyBorder="1" applyAlignment="1">
      <alignment horizontal="justify" vertical="center" wrapText="1"/>
    </xf>
    <xf numFmtId="4" fontId="6" fillId="0" borderId="89" xfId="0" applyNumberFormat="1" applyFont="1" applyBorder="1" applyAlignment="1">
      <alignment horizontal="right" wrapText="1"/>
    </xf>
    <xf numFmtId="43" fontId="12" fillId="0" borderId="89" xfId="49" applyFont="1" applyFill="1" applyBorder="1" applyAlignment="1">
      <alignment wrapText="1"/>
    </xf>
    <xf numFmtId="43" fontId="12" fillId="0" borderId="89" xfId="49" applyFont="1" applyFill="1" applyBorder="1" applyAlignment="1">
      <alignment horizontal="center" wrapText="1"/>
    </xf>
    <xf numFmtId="4" fontId="6" fillId="0" borderId="89" xfId="0" applyNumberFormat="1" applyFont="1" applyBorder="1" applyAlignment="1">
      <alignment vertical="center" wrapText="1"/>
    </xf>
    <xf numFmtId="4" fontId="12" fillId="0" borderId="89" xfId="0" applyNumberFormat="1" applyFont="1" applyBorder="1" applyAlignment="1">
      <alignment wrapText="1"/>
    </xf>
    <xf numFmtId="3" fontId="6" fillId="0" borderId="89" xfId="0" applyNumberFormat="1" applyFont="1" applyFill="1" applyBorder="1" applyAlignment="1">
      <alignment horizontal="center" vertical="top" wrapText="1"/>
    </xf>
    <xf numFmtId="0" fontId="13" fillId="0" borderId="89" xfId="0" applyFont="1" applyFill="1" applyBorder="1" applyAlignment="1">
      <alignment horizontal="left"/>
    </xf>
    <xf numFmtId="4" fontId="6" fillId="0" borderId="89" xfId="0" applyNumberFormat="1" applyFont="1" applyFill="1" applyBorder="1" applyAlignment="1">
      <alignment horizontal="center" vertical="top" wrapText="1"/>
    </xf>
    <xf numFmtId="4" fontId="6" fillId="0" borderId="89" xfId="0" applyNumberFormat="1" applyFont="1" applyFill="1" applyBorder="1" applyAlignment="1">
      <alignment horizontal="right" vertical="top" wrapText="1"/>
    </xf>
    <xf numFmtId="4" fontId="6" fillId="0" borderId="89" xfId="0" applyNumberFormat="1" applyFont="1" applyFill="1" applyBorder="1" applyAlignment="1">
      <alignment vertical="top" wrapText="1"/>
    </xf>
    <xf numFmtId="3" fontId="6" fillId="0" borderId="89" xfId="0" applyNumberFormat="1" applyFont="1" applyBorder="1" applyAlignment="1">
      <alignment horizontal="center" vertical="top" wrapText="1"/>
    </xf>
    <xf numFmtId="4" fontId="6" fillId="0" borderId="89" xfId="0" applyNumberFormat="1" applyFont="1" applyBorder="1" applyAlignment="1">
      <alignment horizontal="center" vertical="top" wrapText="1"/>
    </xf>
    <xf numFmtId="4" fontId="6" fillId="0" borderId="89" xfId="0" applyNumberFormat="1" applyFont="1" applyBorder="1" applyAlignment="1">
      <alignment horizontal="right" vertical="top" wrapText="1"/>
    </xf>
    <xf numFmtId="4" fontId="6" fillId="35" borderId="89" xfId="0" applyNumberFormat="1" applyFont="1" applyFill="1" applyBorder="1" applyAlignment="1">
      <alignment vertical="top" wrapText="1"/>
    </xf>
    <xf numFmtId="4" fontId="6" fillId="0" borderId="89" xfId="0" applyNumberFormat="1" applyFont="1" applyFill="1" applyBorder="1" applyAlignment="1">
      <alignment horizontal="left" vertical="top" wrapText="1"/>
    </xf>
    <xf numFmtId="4" fontId="6" fillId="0" borderId="89" xfId="0" applyNumberFormat="1" applyFont="1" applyFill="1" applyBorder="1" applyAlignment="1">
      <alignment horizontal="left"/>
    </xf>
    <xf numFmtId="4" fontId="6" fillId="0" borderId="89" xfId="0" applyNumberFormat="1" applyFont="1" applyBorder="1" applyAlignment="1">
      <alignment horizontal="right"/>
    </xf>
    <xf numFmtId="0" fontId="6" fillId="0" borderId="89" xfId="0" applyFont="1" applyFill="1" applyBorder="1" applyAlignment="1">
      <alignment horizontal="left"/>
    </xf>
    <xf numFmtId="4" fontId="12" fillId="0" borderId="89" xfId="0" applyNumberFormat="1" applyFont="1" applyFill="1" applyBorder="1" applyAlignment="1">
      <alignment wrapText="1"/>
    </xf>
    <xf numFmtId="4" fontId="12" fillId="0" borderId="89" xfId="0" applyNumberFormat="1" applyFont="1" applyFill="1" applyBorder="1" applyAlignment="1">
      <alignment horizontal="center" wrapText="1"/>
    </xf>
    <xf numFmtId="43" fontId="12" fillId="0" borderId="89" xfId="49" applyFont="1" applyBorder="1" applyAlignment="1">
      <alignment vertical="center" wrapText="1"/>
    </xf>
    <xf numFmtId="4" fontId="6" fillId="0" borderId="89" xfId="0" applyNumberFormat="1" applyFont="1" applyBorder="1" applyAlignment="1">
      <alignment/>
    </xf>
    <xf numFmtId="0" fontId="6" fillId="0" borderId="89" xfId="0" applyFont="1" applyBorder="1" applyAlignment="1">
      <alignment/>
    </xf>
    <xf numFmtId="4" fontId="6" fillId="0" borderId="89" xfId="0" applyNumberFormat="1" applyFont="1" applyBorder="1" applyAlignment="1">
      <alignment horizontal="center"/>
    </xf>
    <xf numFmtId="3" fontId="6" fillId="0" borderId="89" xfId="0" applyNumberFormat="1" applyFont="1" applyFill="1" applyBorder="1" applyAlignment="1">
      <alignment horizontal="center"/>
    </xf>
    <xf numFmtId="0" fontId="6" fillId="0" borderId="89" xfId="0" applyFont="1" applyFill="1" applyBorder="1" applyAlignment="1">
      <alignment/>
    </xf>
    <xf numFmtId="4" fontId="6" fillId="0" borderId="89" xfId="0" applyNumberFormat="1" applyFont="1" applyFill="1" applyBorder="1" applyAlignment="1">
      <alignment horizontal="center"/>
    </xf>
    <xf numFmtId="4" fontId="6" fillId="0" borderId="89" xfId="0" applyNumberFormat="1" applyFont="1" applyFill="1" applyBorder="1" applyAlignment="1">
      <alignment horizontal="right"/>
    </xf>
    <xf numFmtId="4" fontId="6" fillId="0" borderId="89" xfId="0" applyNumberFormat="1" applyFont="1" applyFill="1" applyBorder="1" applyAlignment="1">
      <alignment/>
    </xf>
    <xf numFmtId="0" fontId="6" fillId="0" borderId="89" xfId="0" applyFont="1" applyBorder="1" applyAlignment="1">
      <alignment wrapText="1"/>
    </xf>
    <xf numFmtId="0" fontId="99" fillId="38" borderId="47" xfId="0" applyFont="1" applyFill="1" applyBorder="1" applyAlignment="1">
      <alignment horizontal="center" vertical="center"/>
    </xf>
    <xf numFmtId="4" fontId="99" fillId="38" borderId="47" xfId="0" applyNumberFormat="1" applyFont="1" applyFill="1" applyBorder="1" applyAlignment="1">
      <alignment horizontal="center" vertical="center"/>
    </xf>
    <xf numFmtId="4" fontId="100" fillId="38" borderId="47" xfId="0" applyNumberFormat="1" applyFont="1" applyFill="1" applyBorder="1" applyAlignment="1">
      <alignment horizontal="center"/>
    </xf>
    <xf numFmtId="0" fontId="99" fillId="38" borderId="48" xfId="0" applyFont="1" applyFill="1" applyBorder="1" applyAlignment="1">
      <alignment horizontal="center" vertical="center"/>
    </xf>
    <xf numFmtId="4" fontId="99" fillId="38" borderId="48" xfId="0" applyNumberFormat="1" applyFont="1" applyFill="1" applyBorder="1" applyAlignment="1">
      <alignment horizontal="center" vertical="center"/>
    </xf>
    <xf numFmtId="4" fontId="100" fillId="38" borderId="48" xfId="0" applyNumberFormat="1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4" fontId="20" fillId="35" borderId="69" xfId="0" applyNumberFormat="1" applyFont="1" applyFill="1" applyBorder="1" applyAlignment="1">
      <alignment/>
    </xf>
    <xf numFmtId="0" fontId="20" fillId="35" borderId="42" xfId="0" applyFont="1" applyFill="1" applyBorder="1" applyAlignment="1">
      <alignment/>
    </xf>
    <xf numFmtId="0" fontId="20" fillId="35" borderId="46" xfId="0" applyFont="1" applyFill="1" applyBorder="1" applyAlignment="1">
      <alignment horizontal="center"/>
    </xf>
    <xf numFmtId="4" fontId="36" fillId="35" borderId="66" xfId="0" applyNumberFormat="1" applyFont="1" applyFill="1" applyBorder="1" applyAlignment="1">
      <alignment horizontal="center"/>
    </xf>
    <xf numFmtId="182" fontId="36" fillId="35" borderId="72" xfId="0" applyNumberFormat="1" applyFont="1" applyFill="1" applyBorder="1" applyAlignment="1">
      <alignment/>
    </xf>
    <xf numFmtId="182" fontId="37" fillId="46" borderId="0" xfId="0" applyNumberFormat="1" applyFont="1" applyFill="1" applyBorder="1" applyAlignment="1">
      <alignment horizontal="center"/>
    </xf>
    <xf numFmtId="182" fontId="69" fillId="46" borderId="0" xfId="0" applyNumberFormat="1" applyFont="1" applyFill="1" applyBorder="1" applyAlignment="1">
      <alignment/>
    </xf>
    <xf numFmtId="4" fontId="85" fillId="46" borderId="91" xfId="0" applyNumberFormat="1" applyFont="1" applyFill="1" applyBorder="1" applyAlignment="1">
      <alignment horizontal="right"/>
    </xf>
    <xf numFmtId="0" fontId="102" fillId="35" borderId="0" xfId="0" applyFont="1" applyFill="1" applyAlignment="1">
      <alignment/>
    </xf>
    <xf numFmtId="4" fontId="102" fillId="35" borderId="0" xfId="0" applyNumberFormat="1" applyFont="1" applyFill="1" applyAlignment="1">
      <alignment/>
    </xf>
    <xf numFmtId="0" fontId="6" fillId="0" borderId="89" xfId="0" applyFont="1" applyBorder="1" applyAlignment="1">
      <alignment vertical="center" wrapText="1"/>
    </xf>
    <xf numFmtId="4" fontId="6" fillId="0" borderId="89" xfId="0" applyNumberFormat="1" applyFont="1" applyBorder="1" applyAlignment="1">
      <alignment horizontal="center" vertical="center"/>
    </xf>
    <xf numFmtId="4" fontId="6" fillId="35" borderId="89" xfId="0" applyNumberFormat="1" applyFont="1" applyFill="1" applyBorder="1" applyAlignment="1">
      <alignment horizontal="right" vertical="center"/>
    </xf>
    <xf numFmtId="4" fontId="4" fillId="0" borderId="89" xfId="0" applyNumberFormat="1" applyFont="1" applyBorder="1" applyAlignment="1">
      <alignment horizontal="center" wrapText="1"/>
    </xf>
    <xf numFmtId="4" fontId="5" fillId="0" borderId="89" xfId="0" applyNumberFormat="1" applyFont="1" applyBorder="1" applyAlignment="1">
      <alignment horizontal="center" wrapText="1"/>
    </xf>
    <xf numFmtId="4" fontId="5" fillId="0" borderId="89" xfId="0" applyNumberFormat="1" applyFont="1" applyBorder="1" applyAlignment="1">
      <alignment horizontal="right" wrapText="1"/>
    </xf>
    <xf numFmtId="4" fontId="50" fillId="10" borderId="92" xfId="0" applyNumberFormat="1" applyFont="1" applyFill="1" applyBorder="1" applyAlignment="1">
      <alignment/>
    </xf>
    <xf numFmtId="4" fontId="50" fillId="10" borderId="93" xfId="0" applyNumberFormat="1" applyFont="1" applyFill="1" applyBorder="1" applyAlignment="1">
      <alignment/>
    </xf>
    <xf numFmtId="4" fontId="22" fillId="44" borderId="89" xfId="0" applyNumberFormat="1" applyFont="1" applyFill="1" applyBorder="1" applyAlignment="1">
      <alignment horizontal="left"/>
    </xf>
    <xf numFmtId="49" fontId="22" fillId="44" borderId="89" xfId="0" applyNumberFormat="1" applyFont="1" applyFill="1" applyBorder="1" applyAlignment="1">
      <alignment horizontal="center"/>
    </xf>
    <xf numFmtId="1" fontId="22" fillId="44" borderId="89" xfId="0" applyNumberFormat="1" applyFont="1" applyFill="1" applyBorder="1" applyAlignment="1">
      <alignment horizontal="center"/>
    </xf>
    <xf numFmtId="4" fontId="26" fillId="0" borderId="89" xfId="0" applyNumberFormat="1" applyFont="1" applyBorder="1" applyAlignment="1">
      <alignment horizontal="center"/>
    </xf>
    <xf numFmtId="4" fontId="30" fillId="0" borderId="89" xfId="0" applyNumberFormat="1" applyFont="1" applyBorder="1" applyAlignment="1">
      <alignment/>
    </xf>
    <xf numFmtId="4" fontId="26" fillId="0" borderId="89" xfId="0" applyNumberFormat="1" applyFont="1" applyBorder="1" applyAlignment="1">
      <alignment/>
    </xf>
    <xf numFmtId="4" fontId="50" fillId="10" borderId="89" xfId="0" applyNumberFormat="1" applyFont="1" applyFill="1" applyBorder="1" applyAlignment="1">
      <alignment/>
    </xf>
    <xf numFmtId="4" fontId="22" fillId="44" borderId="88" xfId="0" applyNumberFormat="1" applyFont="1" applyFill="1" applyBorder="1" applyAlignment="1">
      <alignment horizontal="left"/>
    </xf>
    <xf numFmtId="49" fontId="22" fillId="44" borderId="88" xfId="0" applyNumberFormat="1" applyFont="1" applyFill="1" applyBorder="1" applyAlignment="1">
      <alignment horizontal="center"/>
    </xf>
    <xf numFmtId="1" fontId="22" fillId="44" borderId="88" xfId="0" applyNumberFormat="1" applyFont="1" applyFill="1" applyBorder="1" applyAlignment="1">
      <alignment horizontal="center"/>
    </xf>
    <xf numFmtId="4" fontId="50" fillId="10" borderId="9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/>
    </xf>
    <xf numFmtId="174" fontId="3" fillId="44" borderId="74" xfId="49" applyNumberFormat="1" applyFont="1" applyFill="1" applyBorder="1" applyAlignment="1">
      <alignment/>
    </xf>
    <xf numFmtId="0" fontId="3" fillId="44" borderId="74" xfId="0" applyFont="1" applyFill="1" applyBorder="1" applyAlignment="1">
      <alignment/>
    </xf>
    <xf numFmtId="0" fontId="54" fillId="44" borderId="74" xfId="0" applyFont="1" applyFill="1" applyBorder="1" applyAlignment="1">
      <alignment/>
    </xf>
    <xf numFmtId="4" fontId="29" fillId="44" borderId="74" xfId="0" applyNumberFormat="1" applyFont="1" applyFill="1" applyBorder="1" applyAlignment="1">
      <alignment/>
    </xf>
    <xf numFmtId="0" fontId="3" fillId="44" borderId="74" xfId="0" applyFont="1" applyFill="1" applyBorder="1" applyAlignment="1">
      <alignment/>
    </xf>
    <xf numFmtId="1" fontId="62" fillId="44" borderId="89" xfId="0" applyNumberFormat="1" applyFont="1" applyFill="1" applyBorder="1" applyAlignment="1">
      <alignment horizontal="center" wrapText="1"/>
    </xf>
    <xf numFmtId="4" fontId="62" fillId="44" borderId="89" xfId="0" applyNumberFormat="1" applyFont="1" applyFill="1" applyBorder="1" applyAlignment="1">
      <alignment horizontal="center" vertical="center" wrapText="1"/>
    </xf>
    <xf numFmtId="3" fontId="0" fillId="0" borderId="89" xfId="0" applyNumberFormat="1" applyFont="1" applyBorder="1" applyAlignment="1">
      <alignment vertical="center"/>
    </xf>
    <xf numFmtId="4" fontId="0" fillId="0" borderId="89" xfId="0" applyNumberFormat="1" applyFont="1" applyBorder="1" applyAlignment="1">
      <alignment vertical="center"/>
    </xf>
    <xf numFmtId="0" fontId="0" fillId="44" borderId="89" xfId="0" applyFont="1" applyFill="1" applyBorder="1" applyAlignment="1">
      <alignment/>
    </xf>
    <xf numFmtId="0" fontId="0" fillId="0" borderId="89" xfId="0" applyFont="1" applyBorder="1" applyAlignment="1">
      <alignment/>
    </xf>
    <xf numFmtId="1" fontId="62" fillId="42" borderId="89" xfId="0" applyNumberFormat="1" applyFont="1" applyFill="1" applyBorder="1" applyAlignment="1">
      <alignment horizontal="center" wrapText="1"/>
    </xf>
    <xf numFmtId="178" fontId="0" fillId="0" borderId="89" xfId="0" applyNumberFormat="1" applyFont="1" applyBorder="1" applyAlignment="1">
      <alignment vertical="center"/>
    </xf>
    <xf numFmtId="3" fontId="0" fillId="0" borderId="89" xfId="0" applyNumberFormat="1" applyBorder="1" applyAlignment="1">
      <alignment/>
    </xf>
    <xf numFmtId="2" fontId="0" fillId="0" borderId="89" xfId="0" applyNumberFormat="1" applyBorder="1" applyAlignment="1">
      <alignment/>
    </xf>
    <xf numFmtId="3" fontId="55" fillId="10" borderId="89" xfId="0" applyNumberFormat="1" applyFont="1" applyFill="1" applyBorder="1" applyAlignment="1">
      <alignment horizontal="center" vertical="center" wrapText="1"/>
    </xf>
    <xf numFmtId="0" fontId="54" fillId="44" borderId="89" xfId="0" applyFont="1" applyFill="1" applyBorder="1" applyAlignment="1">
      <alignment/>
    </xf>
    <xf numFmtId="3" fontId="0" fillId="0" borderId="89" xfId="0" applyNumberFormat="1" applyFont="1" applyBorder="1" applyAlignment="1">
      <alignment/>
    </xf>
    <xf numFmtId="4" fontId="0" fillId="0" borderId="89" xfId="0" applyNumberFormat="1" applyFont="1" applyBorder="1" applyAlignment="1">
      <alignment/>
    </xf>
    <xf numFmtId="3" fontId="0" fillId="10" borderId="89" xfId="0" applyNumberFormat="1" applyFont="1" applyFill="1" applyBorder="1" applyAlignment="1">
      <alignment/>
    </xf>
    <xf numFmtId="10" fontId="0" fillId="35" borderId="0" xfId="0" applyNumberFormat="1" applyFill="1" applyAlignment="1">
      <alignment/>
    </xf>
    <xf numFmtId="0" fontId="99" fillId="44" borderId="47" xfId="0" applyFont="1" applyFill="1" applyBorder="1" applyAlignment="1">
      <alignment horizontal="center" vertical="center"/>
    </xf>
    <xf numFmtId="4" fontId="99" fillId="44" borderId="47" xfId="0" applyNumberFormat="1" applyFont="1" applyFill="1" applyBorder="1" applyAlignment="1">
      <alignment horizontal="center" vertical="center"/>
    </xf>
    <xf numFmtId="4" fontId="100" fillId="44" borderId="47" xfId="0" applyNumberFormat="1" applyFont="1" applyFill="1" applyBorder="1" applyAlignment="1">
      <alignment horizontal="center"/>
    </xf>
    <xf numFmtId="0" fontId="99" fillId="44" borderId="48" xfId="0" applyFont="1" applyFill="1" applyBorder="1" applyAlignment="1">
      <alignment horizontal="center" vertical="center"/>
    </xf>
    <xf numFmtId="4" fontId="99" fillId="44" borderId="48" xfId="0" applyNumberFormat="1" applyFont="1" applyFill="1" applyBorder="1" applyAlignment="1">
      <alignment horizontal="center" vertical="center"/>
    </xf>
    <xf numFmtId="4" fontId="100" fillId="44" borderId="48" xfId="0" applyNumberFormat="1" applyFont="1" applyFill="1" applyBorder="1" applyAlignment="1">
      <alignment horizontal="center"/>
    </xf>
    <xf numFmtId="0" fontId="101" fillId="44" borderId="47" xfId="0" applyFont="1" applyFill="1" applyBorder="1" applyAlignment="1">
      <alignment horizontal="center"/>
    </xf>
    <xf numFmtId="0" fontId="85" fillId="44" borderId="47" xfId="0" applyFont="1" applyFill="1" applyBorder="1" applyAlignment="1">
      <alignment horizontal="center"/>
    </xf>
    <xf numFmtId="0" fontId="101" fillId="44" borderId="68" xfId="0" applyFont="1" applyFill="1" applyBorder="1" applyAlignment="1">
      <alignment horizontal="center"/>
    </xf>
    <xf numFmtId="0" fontId="85" fillId="44" borderId="68" xfId="0" applyFont="1" applyFill="1" applyBorder="1" applyAlignment="1">
      <alignment horizontal="center"/>
    </xf>
    <xf numFmtId="0" fontId="52" fillId="10" borderId="27" xfId="0" applyFont="1" applyFill="1" applyBorder="1" applyAlignment="1">
      <alignment vertical="center" wrapText="1"/>
    </xf>
    <xf numFmtId="4" fontId="70" fillId="10" borderId="27" xfId="0" applyNumberFormat="1" applyFont="1" applyFill="1" applyBorder="1" applyAlignment="1">
      <alignment vertical="center"/>
    </xf>
    <xf numFmtId="4" fontId="52" fillId="10" borderId="27" xfId="0" applyNumberFormat="1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vertical="center" wrapText="1"/>
    </xf>
    <xf numFmtId="4" fontId="70" fillId="10" borderId="0" xfId="0" applyNumberFormat="1" applyFont="1" applyFill="1" applyBorder="1" applyAlignment="1">
      <alignment vertical="center"/>
    </xf>
    <xf numFmtId="4" fontId="52" fillId="10" borderId="94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/>
    </xf>
    <xf numFmtId="0" fontId="136" fillId="44" borderId="0" xfId="0" applyFont="1" applyFill="1" applyBorder="1" applyAlignment="1">
      <alignment horizontal="left" vertical="center"/>
    </xf>
    <xf numFmtId="49" fontId="136" fillId="44" borderId="0" xfId="0" applyNumberFormat="1" applyFont="1" applyFill="1" applyBorder="1" applyAlignment="1">
      <alignment horizontal="center" vertical="center"/>
    </xf>
    <xf numFmtId="0" fontId="136" fillId="44" borderId="0" xfId="0" applyFont="1" applyFill="1" applyBorder="1" applyAlignment="1">
      <alignment horizontal="center" vertical="center"/>
    </xf>
    <xf numFmtId="0" fontId="136" fillId="0" borderId="0" xfId="0" applyFont="1" applyAlignment="1">
      <alignment/>
    </xf>
    <xf numFmtId="4" fontId="8" fillId="0" borderId="95" xfId="0" applyNumberFormat="1" applyFont="1" applyBorder="1" applyAlignment="1">
      <alignment horizontal="center"/>
    </xf>
    <xf numFmtId="4" fontId="8" fillId="0" borderId="96" xfId="0" applyNumberFormat="1" applyFont="1" applyBorder="1" applyAlignment="1">
      <alignment horizontal="center"/>
    </xf>
    <xf numFmtId="0" fontId="59" fillId="34" borderId="0" xfId="0" applyFont="1" applyFill="1" applyAlignment="1">
      <alignment horizontal="center"/>
    </xf>
    <xf numFmtId="0" fontId="32" fillId="44" borderId="74" xfId="0" applyFont="1" applyFill="1" applyBorder="1" applyAlignment="1">
      <alignment horizontal="center"/>
    </xf>
    <xf numFmtId="4" fontId="62" fillId="44" borderId="89" xfId="0" applyNumberFormat="1" applyFont="1" applyFill="1" applyBorder="1" applyAlignment="1">
      <alignment horizontal="center" vertical="center" wrapText="1"/>
    </xf>
    <xf numFmtId="0" fontId="101" fillId="44" borderId="47" xfId="0" applyFont="1" applyFill="1" applyBorder="1" applyAlignment="1">
      <alignment horizontal="center" vertical="center"/>
    </xf>
    <xf numFmtId="0" fontId="101" fillId="44" borderId="48" xfId="0" applyFont="1" applyFill="1" applyBorder="1" applyAlignment="1">
      <alignment horizontal="center" vertical="center"/>
    </xf>
    <xf numFmtId="0" fontId="32" fillId="44" borderId="44" xfId="0" applyFont="1" applyFill="1" applyBorder="1" applyAlignment="1">
      <alignment horizontal="center"/>
    </xf>
    <xf numFmtId="0" fontId="32" fillId="44" borderId="45" xfId="0" applyFont="1" applyFill="1" applyBorder="1" applyAlignment="1">
      <alignment horizontal="center"/>
    </xf>
    <xf numFmtId="0" fontId="32" fillId="44" borderId="67" xfId="0" applyFont="1" applyFill="1" applyBorder="1" applyAlignment="1">
      <alignment horizontal="center"/>
    </xf>
    <xf numFmtId="0" fontId="32" fillId="44" borderId="46" xfId="0" applyFont="1" applyFill="1" applyBorder="1" applyAlignment="1">
      <alignment horizontal="center"/>
    </xf>
    <xf numFmtId="0" fontId="32" fillId="44" borderId="19" xfId="0" applyFont="1" applyFill="1" applyBorder="1" applyAlignment="1">
      <alignment horizontal="center"/>
    </xf>
    <xf numFmtId="0" fontId="32" fillId="44" borderId="12" xfId="0" applyFont="1" applyFill="1" applyBorder="1" applyAlignment="1">
      <alignment horizontal="center"/>
    </xf>
    <xf numFmtId="0" fontId="99" fillId="44" borderId="47" xfId="0" applyFont="1" applyFill="1" applyBorder="1" applyAlignment="1">
      <alignment horizontal="center" vertical="center"/>
    </xf>
    <xf numFmtId="0" fontId="99" fillId="44" borderId="48" xfId="0" applyFont="1" applyFill="1" applyBorder="1" applyAlignment="1">
      <alignment horizontal="center" vertical="center"/>
    </xf>
    <xf numFmtId="0" fontId="32" fillId="38" borderId="29" xfId="0" applyFont="1" applyFill="1" applyBorder="1" applyAlignment="1">
      <alignment horizontal="center"/>
    </xf>
    <xf numFmtId="0" fontId="32" fillId="38" borderId="17" xfId="0" applyFont="1" applyFill="1" applyBorder="1" applyAlignment="1">
      <alignment horizontal="center"/>
    </xf>
    <xf numFmtId="0" fontId="32" fillId="38" borderId="18" xfId="0" applyFont="1" applyFill="1" applyBorder="1" applyAlignment="1">
      <alignment horizontal="center"/>
    </xf>
    <xf numFmtId="0" fontId="99" fillId="38" borderId="47" xfId="0" applyFont="1" applyFill="1" applyBorder="1" applyAlignment="1">
      <alignment horizontal="center" vertical="center"/>
    </xf>
    <xf numFmtId="0" fontId="99" fillId="38" borderId="48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center"/>
    </xf>
    <xf numFmtId="0" fontId="62" fillId="41" borderId="0" xfId="0" applyFont="1" applyFill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" fontId="57" fillId="0" borderId="0" xfId="0" applyNumberFormat="1" applyFont="1" applyAlignment="1">
      <alignment horizontal="center"/>
    </xf>
    <xf numFmtId="0" fontId="80" fillId="44" borderId="89" xfId="0" applyNumberFormat="1" applyFont="1" applyFill="1" applyBorder="1" applyAlignment="1" applyProtection="1">
      <alignment horizontal="center"/>
      <protection/>
    </xf>
    <xf numFmtId="0" fontId="81" fillId="44" borderId="89" xfId="0" applyNumberFormat="1" applyFont="1" applyFill="1" applyBorder="1" applyAlignment="1" applyProtection="1">
      <alignment/>
      <protection/>
    </xf>
    <xf numFmtId="4" fontId="137" fillId="44" borderId="40" xfId="0" applyNumberFormat="1" applyFont="1" applyFill="1" applyBorder="1" applyAlignment="1">
      <alignment horizontal="center"/>
    </xf>
    <xf numFmtId="0" fontId="80" fillId="33" borderId="51" xfId="54" applyNumberFormat="1" applyFont="1" applyFill="1" applyBorder="1" applyAlignment="1" applyProtection="1">
      <alignment horizontal="center"/>
      <protection/>
    </xf>
    <xf numFmtId="0" fontId="80" fillId="33" borderId="97" xfId="54" applyNumberFormat="1" applyFont="1" applyFill="1" applyBorder="1" applyAlignment="1" applyProtection="1">
      <alignment horizontal="center"/>
      <protection/>
    </xf>
    <xf numFmtId="0" fontId="92" fillId="0" borderId="29" xfId="0" applyFont="1" applyBorder="1" applyAlignment="1">
      <alignment wrapText="1"/>
    </xf>
    <xf numFmtId="0" fontId="92" fillId="0" borderId="17" xfId="0" applyFont="1" applyBorder="1" applyAlignment="1">
      <alignment wrapText="1"/>
    </xf>
    <xf numFmtId="0" fontId="74" fillId="0" borderId="29" xfId="0" applyFont="1" applyBorder="1" applyAlignment="1">
      <alignment wrapText="1"/>
    </xf>
    <xf numFmtId="0" fontId="74" fillId="0" borderId="17" xfId="0" applyFont="1" applyBorder="1" applyAlignment="1">
      <alignment wrapText="1"/>
    </xf>
    <xf numFmtId="0" fontId="93" fillId="34" borderId="0" xfId="0" applyFont="1" applyFill="1" applyAlignment="1">
      <alignment horizontal="center"/>
    </xf>
    <xf numFmtId="0" fontId="94" fillId="41" borderId="29" xfId="0" applyFont="1" applyFill="1" applyBorder="1" applyAlignment="1">
      <alignment/>
    </xf>
    <xf numFmtId="0" fontId="94" fillId="41" borderId="98" xfId="0" applyFont="1" applyFill="1" applyBorder="1" applyAlignment="1">
      <alignment/>
    </xf>
    <xf numFmtId="0" fontId="95" fillId="34" borderId="0" xfId="0" applyFont="1" applyFill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67" fillId="0" borderId="2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52" fillId="34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266700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90575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266700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62865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266700</xdr:colOff>
      <xdr:row>43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629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266700</xdr:colOff>
      <xdr:row>59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15059025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266700</xdr:colOff>
      <xdr:row>69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180975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266700</xdr:colOff>
      <xdr:row>94</xdr:row>
      <xdr:rowOff>0</xdr:rowOff>
    </xdr:to>
    <xdr:sp>
      <xdr:nvSpPr>
        <xdr:cNvPr id="6" name="Line 15"/>
        <xdr:cNvSpPr>
          <a:spLocks/>
        </xdr:cNvSpPr>
      </xdr:nvSpPr>
      <xdr:spPr>
        <a:xfrm>
          <a:off x="0" y="248793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266700</xdr:colOff>
      <xdr:row>99</xdr:row>
      <xdr:rowOff>0</xdr:rowOff>
    </xdr:to>
    <xdr:sp>
      <xdr:nvSpPr>
        <xdr:cNvPr id="7" name="Line 16"/>
        <xdr:cNvSpPr>
          <a:spLocks/>
        </xdr:cNvSpPr>
      </xdr:nvSpPr>
      <xdr:spPr>
        <a:xfrm>
          <a:off x="0" y="2611755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266700</xdr:colOff>
      <xdr:row>106</xdr:row>
      <xdr:rowOff>0</xdr:rowOff>
    </xdr:to>
    <xdr:sp>
      <xdr:nvSpPr>
        <xdr:cNvPr id="8" name="Line 21"/>
        <xdr:cNvSpPr>
          <a:spLocks/>
        </xdr:cNvSpPr>
      </xdr:nvSpPr>
      <xdr:spPr>
        <a:xfrm>
          <a:off x="0" y="2798445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266700</xdr:colOff>
      <xdr:row>129</xdr:row>
      <xdr:rowOff>0</xdr:rowOff>
    </xdr:to>
    <xdr:sp>
      <xdr:nvSpPr>
        <xdr:cNvPr id="9" name="Line 29"/>
        <xdr:cNvSpPr>
          <a:spLocks/>
        </xdr:cNvSpPr>
      </xdr:nvSpPr>
      <xdr:spPr>
        <a:xfrm>
          <a:off x="0" y="341376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266700</xdr:colOff>
      <xdr:row>129</xdr:row>
      <xdr:rowOff>0</xdr:rowOff>
    </xdr:to>
    <xdr:sp>
      <xdr:nvSpPr>
        <xdr:cNvPr id="10" name="Line 30"/>
        <xdr:cNvSpPr>
          <a:spLocks/>
        </xdr:cNvSpPr>
      </xdr:nvSpPr>
      <xdr:spPr>
        <a:xfrm>
          <a:off x="0" y="341376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266700</xdr:colOff>
      <xdr:row>123</xdr:row>
      <xdr:rowOff>0</xdr:rowOff>
    </xdr:to>
    <xdr:sp>
      <xdr:nvSpPr>
        <xdr:cNvPr id="11" name="Line 31"/>
        <xdr:cNvSpPr>
          <a:spLocks/>
        </xdr:cNvSpPr>
      </xdr:nvSpPr>
      <xdr:spPr>
        <a:xfrm>
          <a:off x="0" y="326517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266700</xdr:colOff>
      <xdr:row>118</xdr:row>
      <xdr:rowOff>0</xdr:rowOff>
    </xdr:to>
    <xdr:sp>
      <xdr:nvSpPr>
        <xdr:cNvPr id="12" name="Line 32"/>
        <xdr:cNvSpPr>
          <a:spLocks/>
        </xdr:cNvSpPr>
      </xdr:nvSpPr>
      <xdr:spPr>
        <a:xfrm>
          <a:off x="0" y="3141345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266700</xdr:colOff>
      <xdr:row>129</xdr:row>
      <xdr:rowOff>0</xdr:rowOff>
    </xdr:to>
    <xdr:sp>
      <xdr:nvSpPr>
        <xdr:cNvPr id="13" name="Line 33"/>
        <xdr:cNvSpPr>
          <a:spLocks/>
        </xdr:cNvSpPr>
      </xdr:nvSpPr>
      <xdr:spPr>
        <a:xfrm>
          <a:off x="0" y="341376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266700</xdr:colOff>
      <xdr:row>129</xdr:row>
      <xdr:rowOff>0</xdr:rowOff>
    </xdr:to>
    <xdr:sp>
      <xdr:nvSpPr>
        <xdr:cNvPr id="14" name="Line 34"/>
        <xdr:cNvSpPr>
          <a:spLocks/>
        </xdr:cNvSpPr>
      </xdr:nvSpPr>
      <xdr:spPr>
        <a:xfrm>
          <a:off x="0" y="341376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266700</xdr:colOff>
      <xdr:row>130</xdr:row>
      <xdr:rowOff>0</xdr:rowOff>
    </xdr:to>
    <xdr:sp>
      <xdr:nvSpPr>
        <xdr:cNvPr id="15" name="Line 35"/>
        <xdr:cNvSpPr>
          <a:spLocks/>
        </xdr:cNvSpPr>
      </xdr:nvSpPr>
      <xdr:spPr>
        <a:xfrm>
          <a:off x="0" y="3438525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16" name="Line 36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17" name="Line 37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18" name="Line 38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266700</xdr:colOff>
      <xdr:row>118</xdr:row>
      <xdr:rowOff>0</xdr:rowOff>
    </xdr:to>
    <xdr:sp>
      <xdr:nvSpPr>
        <xdr:cNvPr id="19" name="Line 39"/>
        <xdr:cNvSpPr>
          <a:spLocks/>
        </xdr:cNvSpPr>
      </xdr:nvSpPr>
      <xdr:spPr>
        <a:xfrm>
          <a:off x="0" y="3141345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266700</xdr:colOff>
      <xdr:row>129</xdr:row>
      <xdr:rowOff>0</xdr:rowOff>
    </xdr:to>
    <xdr:sp>
      <xdr:nvSpPr>
        <xdr:cNvPr id="20" name="Line 40"/>
        <xdr:cNvSpPr>
          <a:spLocks/>
        </xdr:cNvSpPr>
      </xdr:nvSpPr>
      <xdr:spPr>
        <a:xfrm>
          <a:off x="0" y="341376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1" name="Line 41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2" name="Line 42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3" name="Line 43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4" name="Line 44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5" name="Line 45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6" name="Line 46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266700</xdr:colOff>
      <xdr:row>131</xdr:row>
      <xdr:rowOff>0</xdr:rowOff>
    </xdr:to>
    <xdr:sp>
      <xdr:nvSpPr>
        <xdr:cNvPr id="27" name="Line 47"/>
        <xdr:cNvSpPr>
          <a:spLocks/>
        </xdr:cNvSpPr>
      </xdr:nvSpPr>
      <xdr:spPr>
        <a:xfrm>
          <a:off x="0" y="346329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266700</xdr:colOff>
      <xdr:row>123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32651700"/>
          <a:ext cx="266700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687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687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572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049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4102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8048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5344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95059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06394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12871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24206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20967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687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687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150114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56591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161448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161448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120967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4687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166306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163068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71164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171164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171164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171164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184118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124206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1002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21002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200310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192214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21002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21002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192214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21002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21326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200310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525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525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572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5430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2482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8867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372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93440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04775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11252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22586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19348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525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525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148494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54971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159829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159829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119348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4525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164687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161448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69545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169545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169545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169545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182499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1225867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08407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208407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198691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190595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208407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208407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210026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19059525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2084070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211645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19869150"/>
          <a:ext cx="581025" cy="0"/>
        </a:xfrm>
        <a:prstGeom prst="line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sueldos%20y%20salar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ntes de"/>
      <sheetName val="Sheet3"/>
      <sheetName val="Sheet2"/>
      <sheetName val="Sheet4"/>
      <sheetName val="Sheet5"/>
      <sheetName val="Sheet6"/>
      <sheetName val="Sheet7"/>
      <sheetName val="precios unitarios"/>
      <sheetName val="Sheet9"/>
    </sheetNames>
    <sheetDataSet>
      <sheetData sheetId="0">
        <row r="7">
          <cell r="D7">
            <v>1000</v>
          </cell>
          <cell r="K7">
            <v>1266.5</v>
          </cell>
        </row>
        <row r="8">
          <cell r="D8">
            <v>600</v>
          </cell>
          <cell r="K8">
            <v>767.9</v>
          </cell>
        </row>
        <row r="11">
          <cell r="D11">
            <v>4100</v>
          </cell>
          <cell r="K11">
            <v>5210.65</v>
          </cell>
        </row>
      </sheetData>
      <sheetData sheetId="1">
        <row r="37">
          <cell r="K37">
            <v>15253.909999999998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Q183"/>
  <sheetViews>
    <sheetView showGridLines="0" showZeros="0" zoomScale="80" zoomScaleNormal="80" zoomScalePageLayoutView="0" workbookViewId="0" topLeftCell="A1">
      <selection activeCell="A161" sqref="A161:E165"/>
    </sheetView>
  </sheetViews>
  <sheetFormatPr defaultColWidth="11.421875" defaultRowHeight="12.75" outlineLevelRow="1"/>
  <cols>
    <col min="1" max="1" width="13.00390625" style="173" customWidth="1"/>
    <col min="2" max="2" width="38.00390625" style="1" customWidth="1"/>
    <col min="3" max="3" width="15.7109375" style="1" customWidth="1"/>
    <col min="4" max="4" width="14.28125" style="131" customWidth="1"/>
    <col min="5" max="5" width="21.8515625" style="202" customWidth="1"/>
    <col min="6" max="7" width="15.8515625" style="1" hidden="1" customWidth="1"/>
    <col min="8" max="8" width="17.28125" style="1" hidden="1" customWidth="1"/>
    <col min="9" max="9" width="14.140625" style="1" hidden="1" customWidth="1"/>
    <col min="10" max="10" width="8.7109375" style="1" hidden="1" customWidth="1"/>
    <col min="11" max="11" width="6.28125" style="1" hidden="1" customWidth="1"/>
    <col min="12" max="12" width="14.28125" style="283" customWidth="1"/>
    <col min="13" max="13" width="17.8515625" style="1" customWidth="1"/>
    <col min="14" max="14" width="16.421875" style="1" bestFit="1" customWidth="1"/>
    <col min="15" max="15" width="15.140625" style="1" customWidth="1"/>
    <col min="16" max="16" width="11.421875" style="1" customWidth="1"/>
    <col min="17" max="17" width="14.140625" style="1" customWidth="1"/>
    <col min="18" max="18" width="11.421875" style="1" customWidth="1"/>
    <col min="19" max="19" width="15.7109375" style="1" customWidth="1"/>
    <col min="20" max="20" width="11.421875" style="1" customWidth="1"/>
    <col min="21" max="21" width="16.28125" style="1" customWidth="1"/>
    <col min="22" max="22" width="11.421875" style="1" customWidth="1"/>
    <col min="23" max="23" width="15.7109375" style="1" customWidth="1"/>
    <col min="24" max="24" width="11.421875" style="1" customWidth="1"/>
    <col min="25" max="25" width="15.28125" style="1" customWidth="1"/>
    <col min="26" max="16384" width="11.421875" style="1" customWidth="1"/>
  </cols>
  <sheetData>
    <row r="1" spans="1:7" ht="23.25">
      <c r="A1" s="846" t="s">
        <v>0</v>
      </c>
      <c r="B1" s="846"/>
      <c r="C1" s="846"/>
      <c r="D1" s="846"/>
      <c r="E1" s="846"/>
      <c r="F1" s="846"/>
      <c r="G1" s="846"/>
    </row>
    <row r="2" spans="1:5" ht="14.25">
      <c r="A2" s="2"/>
      <c r="B2" s="3"/>
      <c r="C2" s="2"/>
      <c r="D2" s="157"/>
      <c r="E2" s="182"/>
    </row>
    <row r="3" spans="1:7" ht="19.5">
      <c r="A3" s="136" t="s">
        <v>333</v>
      </c>
      <c r="B3" s="137"/>
      <c r="C3" s="137"/>
      <c r="D3" s="159"/>
      <c r="E3" s="247">
        <f>+E8+E30+E52+E57+E85+E96+E106</f>
        <v>895935.76</v>
      </c>
      <c r="F3" s="844" t="s">
        <v>1</v>
      </c>
      <c r="G3" s="845"/>
    </row>
    <row r="4" spans="1:7" ht="14.25">
      <c r="A4" s="2"/>
      <c r="B4" s="3"/>
      <c r="C4" s="2"/>
      <c r="D4" s="157"/>
      <c r="E4" s="182"/>
      <c r="F4" s="8"/>
      <c r="G4" s="7"/>
    </row>
    <row r="5" spans="1:7" ht="15" outlineLevel="1" thickBot="1">
      <c r="A5" s="242" t="s">
        <v>2</v>
      </c>
      <c r="B5" s="242"/>
      <c r="C5" s="242"/>
      <c r="D5" s="243"/>
      <c r="E5" s="244"/>
      <c r="F5" s="10"/>
      <c r="G5" s="9"/>
    </row>
    <row r="6" spans="1:7" ht="25.5" outlineLevel="1">
      <c r="A6" s="245" t="s">
        <v>3</v>
      </c>
      <c r="B6" s="246" t="s">
        <v>4</v>
      </c>
      <c r="C6" s="246" t="s">
        <v>5</v>
      </c>
      <c r="D6" s="246" t="s">
        <v>6</v>
      </c>
      <c r="E6" s="246" t="s">
        <v>360</v>
      </c>
      <c r="F6" s="11" t="s">
        <v>8</v>
      </c>
      <c r="G6" s="11" t="s">
        <v>9</v>
      </c>
    </row>
    <row r="7" spans="1:7" ht="15" customHeight="1" outlineLevel="1">
      <c r="A7" s="133">
        <v>35</v>
      </c>
      <c r="B7" s="13" t="s">
        <v>10</v>
      </c>
      <c r="C7" s="14" t="s">
        <v>11</v>
      </c>
      <c r="D7" s="129">
        <v>4000</v>
      </c>
      <c r="E7" s="26">
        <f>A7*D7</f>
        <v>140000</v>
      </c>
      <c r="F7" s="14">
        <v>0</v>
      </c>
      <c r="G7" s="14">
        <v>0</v>
      </c>
    </row>
    <row r="8" spans="1:7" ht="15" customHeight="1" outlineLevel="1">
      <c r="A8" s="138" t="s">
        <v>12</v>
      </c>
      <c r="B8" s="139"/>
      <c r="C8" s="139"/>
      <c r="D8" s="160"/>
      <c r="E8" s="183">
        <f>E7</f>
        <v>140000</v>
      </c>
      <c r="F8" s="16">
        <v>0</v>
      </c>
      <c r="G8" s="17">
        <v>0</v>
      </c>
    </row>
    <row r="9" spans="1:7" ht="15" outlineLevel="1" thickBot="1">
      <c r="A9" s="19"/>
      <c r="B9" s="20"/>
      <c r="C9" s="20"/>
      <c r="D9" s="161"/>
      <c r="E9" s="184"/>
      <c r="F9" s="20"/>
      <c r="G9" s="21"/>
    </row>
    <row r="10" spans="1:7" ht="15" thickBot="1">
      <c r="A10" s="242" t="s">
        <v>13</v>
      </c>
      <c r="B10" s="242"/>
      <c r="C10" s="242"/>
      <c r="D10" s="243"/>
      <c r="E10" s="244"/>
      <c r="F10" s="22"/>
      <c r="G10" s="23"/>
    </row>
    <row r="11" spans="1:9" ht="25.5">
      <c r="A11" s="245" t="s">
        <v>3</v>
      </c>
      <c r="B11" s="246" t="s">
        <v>4</v>
      </c>
      <c r="C11" s="246" t="s">
        <v>5</v>
      </c>
      <c r="D11" s="246" t="s">
        <v>6</v>
      </c>
      <c r="E11" s="246" t="s">
        <v>7</v>
      </c>
      <c r="F11" s="175" t="s">
        <v>8</v>
      </c>
      <c r="G11" s="175" t="s">
        <v>9</v>
      </c>
      <c r="H11" s="176"/>
      <c r="I11" s="176"/>
    </row>
    <row r="12" spans="1:8" ht="51" customHeight="1">
      <c r="A12" s="133">
        <v>1</v>
      </c>
      <c r="B12" s="13" t="s">
        <v>14</v>
      </c>
      <c r="C12" s="14" t="s">
        <v>15</v>
      </c>
      <c r="D12" s="130">
        <v>100000</v>
      </c>
      <c r="E12" s="186">
        <f>+D12*A12</f>
        <v>100000</v>
      </c>
      <c r="F12" s="25">
        <v>0</v>
      </c>
      <c r="G12" s="25">
        <v>0</v>
      </c>
      <c r="H12" s="96" t="e">
        <f>+#REF!+#REF!+F12+G12-E12</f>
        <v>#REF!</v>
      </c>
    </row>
    <row r="13" spans="1:8" ht="25.5">
      <c r="A13" s="133">
        <v>1</v>
      </c>
      <c r="B13" s="13" t="s">
        <v>16</v>
      </c>
      <c r="C13" s="14" t="s">
        <v>15</v>
      </c>
      <c r="D13" s="130">
        <v>18160</v>
      </c>
      <c r="E13" s="186">
        <f aca="true" t="shared" si="0" ref="E13:E26">+D13*A13</f>
        <v>18160</v>
      </c>
      <c r="F13" s="25">
        <v>0</v>
      </c>
      <c r="G13" s="25">
        <v>0</v>
      </c>
      <c r="H13" s="96" t="e">
        <f>+#REF!+#REF!+F13+G13-E13</f>
        <v>#REF!</v>
      </c>
    </row>
    <row r="14" spans="1:8" ht="25.5" customHeight="1">
      <c r="A14" s="236">
        <v>2500</v>
      </c>
      <c r="B14" s="237" t="s">
        <v>17</v>
      </c>
      <c r="C14" s="238" t="s">
        <v>18</v>
      </c>
      <c r="D14" s="239">
        <v>10.2</v>
      </c>
      <c r="E14" s="186">
        <f t="shared" si="0"/>
        <v>25500</v>
      </c>
      <c r="F14" s="25">
        <v>0</v>
      </c>
      <c r="G14" s="25">
        <v>0</v>
      </c>
      <c r="H14" s="96" t="e">
        <f>+#REF!+#REF!+F14+G14-E14</f>
        <v>#REF!</v>
      </c>
    </row>
    <row r="15" spans="1:8" ht="25.5" customHeight="1">
      <c r="A15" s="240">
        <v>1000</v>
      </c>
      <c r="B15" s="237" t="s">
        <v>338</v>
      </c>
      <c r="C15" s="238" t="s">
        <v>18</v>
      </c>
      <c r="D15" s="241">
        <v>75</v>
      </c>
      <c r="E15" s="186">
        <f t="shared" si="0"/>
        <v>75000</v>
      </c>
      <c r="F15" s="25">
        <v>0</v>
      </c>
      <c r="G15" s="25">
        <v>0</v>
      </c>
      <c r="H15" s="96" t="e">
        <f>+#REF!+#REF!+F15+G15-E15</f>
        <v>#REF!</v>
      </c>
    </row>
    <row r="16" spans="1:8" ht="25.5">
      <c r="A16" s="133">
        <v>1</v>
      </c>
      <c r="B16" s="237" t="s">
        <v>347</v>
      </c>
      <c r="C16" s="14" t="s">
        <v>5</v>
      </c>
      <c r="D16" s="130">
        <v>2000</v>
      </c>
      <c r="E16" s="186">
        <f t="shared" si="0"/>
        <v>2000</v>
      </c>
      <c r="F16" s="25">
        <v>0</v>
      </c>
      <c r="G16" s="25">
        <v>0</v>
      </c>
      <c r="H16" s="96" t="e">
        <f>+#REF!+#REF!+F16+G16-E16</f>
        <v>#REF!</v>
      </c>
    </row>
    <row r="17" spans="1:8" ht="26.25" customHeight="1">
      <c r="A17" s="133">
        <v>1</v>
      </c>
      <c r="B17" s="237" t="s">
        <v>19</v>
      </c>
      <c r="C17" s="14" t="s">
        <v>15</v>
      </c>
      <c r="D17" s="130">
        <v>15000</v>
      </c>
      <c r="E17" s="186">
        <f t="shared" si="0"/>
        <v>15000</v>
      </c>
      <c r="F17" s="25">
        <v>0</v>
      </c>
      <c r="G17" s="25">
        <v>0</v>
      </c>
      <c r="H17" s="96" t="e">
        <f>+#REF!+#REF!+F17+G17-E17</f>
        <v>#REF!</v>
      </c>
    </row>
    <row r="18" spans="1:13" ht="15" customHeight="1">
      <c r="A18" s="133">
        <v>1500</v>
      </c>
      <c r="B18" s="237" t="s">
        <v>21</v>
      </c>
      <c r="C18" s="14" t="s">
        <v>20</v>
      </c>
      <c r="D18" s="130">
        <v>6.5</v>
      </c>
      <c r="E18" s="186">
        <f t="shared" si="0"/>
        <v>9750</v>
      </c>
      <c r="F18" s="25">
        <v>0</v>
      </c>
      <c r="G18" s="25">
        <v>0</v>
      </c>
      <c r="H18" s="96" t="e">
        <f>+#REF!+#REF!+F18+G18-E18</f>
        <v>#REF!</v>
      </c>
      <c r="M18" s="177"/>
    </row>
    <row r="19" spans="1:13" ht="24" customHeight="1">
      <c r="A19" s="12">
        <v>35</v>
      </c>
      <c r="B19" s="237" t="s">
        <v>22</v>
      </c>
      <c r="C19" s="14" t="s">
        <v>23</v>
      </c>
      <c r="D19" s="130">
        <v>210</v>
      </c>
      <c r="E19" s="186">
        <f t="shared" si="0"/>
        <v>7350</v>
      </c>
      <c r="F19" s="25">
        <v>0</v>
      </c>
      <c r="G19" s="25">
        <v>0</v>
      </c>
      <c r="H19" s="96" t="e">
        <f>+#REF!+#REF!+F19+G19-E19</f>
        <v>#REF!</v>
      </c>
      <c r="M19" s="96"/>
    </row>
    <row r="20" spans="1:8" ht="25.5" customHeight="1">
      <c r="A20" s="12">
        <v>1</v>
      </c>
      <c r="B20" s="237" t="s">
        <v>24</v>
      </c>
      <c r="C20" s="14" t="s">
        <v>15</v>
      </c>
      <c r="D20" s="130">
        <v>8000</v>
      </c>
      <c r="E20" s="186">
        <f t="shared" si="0"/>
        <v>8000</v>
      </c>
      <c r="F20" s="25">
        <v>0</v>
      </c>
      <c r="G20" s="25">
        <v>0</v>
      </c>
      <c r="H20" s="96" t="e">
        <f>+#REF!+#REF!+F20+G20-E20</f>
        <v>#REF!</v>
      </c>
    </row>
    <row r="21" spans="1:8" ht="15" customHeight="1">
      <c r="A21" s="133">
        <v>2</v>
      </c>
      <c r="B21" s="237" t="s">
        <v>354</v>
      </c>
      <c r="C21" s="14" t="s">
        <v>20</v>
      </c>
      <c r="D21" s="130">
        <v>7500</v>
      </c>
      <c r="E21" s="186">
        <f t="shared" si="0"/>
        <v>15000</v>
      </c>
      <c r="F21" s="25">
        <v>0</v>
      </c>
      <c r="G21" s="25">
        <v>0</v>
      </c>
      <c r="H21" s="96" t="e">
        <f>+#REF!+#REF!+F21+G21-E21</f>
        <v>#REF!</v>
      </c>
    </row>
    <row r="22" spans="1:8" ht="15" customHeight="1">
      <c r="A22" s="133">
        <v>50</v>
      </c>
      <c r="B22" s="237" t="s">
        <v>25</v>
      </c>
      <c r="C22" s="14" t="s">
        <v>20</v>
      </c>
      <c r="D22" s="130">
        <v>90</v>
      </c>
      <c r="E22" s="186">
        <f t="shared" si="0"/>
        <v>4500</v>
      </c>
      <c r="F22" s="25">
        <v>0</v>
      </c>
      <c r="G22" s="25">
        <v>0</v>
      </c>
      <c r="H22" s="96" t="e">
        <f>+#REF!+#REF!+F22+G22-E22</f>
        <v>#REF!</v>
      </c>
    </row>
    <row r="23" spans="1:8" ht="25.5">
      <c r="A23" s="133">
        <v>1260</v>
      </c>
      <c r="B23" s="237" t="s">
        <v>361</v>
      </c>
      <c r="C23" s="14" t="s">
        <v>20</v>
      </c>
      <c r="D23" s="130">
        <v>5</v>
      </c>
      <c r="E23" s="186">
        <f t="shared" si="0"/>
        <v>6300</v>
      </c>
      <c r="F23" s="25">
        <v>0</v>
      </c>
      <c r="G23" s="25">
        <v>0</v>
      </c>
      <c r="H23" s="96" t="e">
        <f>+#REF!+#REF!+F23+G23-E23</f>
        <v>#REF!</v>
      </c>
    </row>
    <row r="24" spans="1:8" ht="15" customHeight="1">
      <c r="A24" s="133">
        <v>5</v>
      </c>
      <c r="B24" s="237" t="s">
        <v>26</v>
      </c>
      <c r="C24" s="14" t="s">
        <v>5</v>
      </c>
      <c r="D24" s="130">
        <v>2000</v>
      </c>
      <c r="E24" s="186">
        <f t="shared" si="0"/>
        <v>10000</v>
      </c>
      <c r="F24" s="25">
        <v>0</v>
      </c>
      <c r="G24" s="25">
        <v>0</v>
      </c>
      <c r="H24" s="96" t="e">
        <f>+#REF!+#REF!+F24+G24-E24</f>
        <v>#REF!</v>
      </c>
    </row>
    <row r="25" spans="1:8" ht="14.25">
      <c r="A25" s="133">
        <v>2</v>
      </c>
      <c r="B25" s="237" t="s">
        <v>27</v>
      </c>
      <c r="C25" s="14" t="s">
        <v>5</v>
      </c>
      <c r="D25" s="130">
        <v>4200</v>
      </c>
      <c r="E25" s="186">
        <f t="shared" si="0"/>
        <v>8400</v>
      </c>
      <c r="F25" s="25">
        <v>0</v>
      </c>
      <c r="G25" s="25">
        <v>0</v>
      </c>
      <c r="H25" s="96" t="e">
        <f>+#REF!+#REF!+F25+G25-E25</f>
        <v>#REF!</v>
      </c>
    </row>
    <row r="26" spans="1:8" ht="44.25" customHeight="1">
      <c r="A26" s="133">
        <v>1</v>
      </c>
      <c r="B26" s="237" t="s">
        <v>397</v>
      </c>
      <c r="C26" s="14" t="s">
        <v>15</v>
      </c>
      <c r="D26" s="130">
        <v>15250</v>
      </c>
      <c r="E26" s="186">
        <f t="shared" si="0"/>
        <v>15250</v>
      </c>
      <c r="F26" s="25">
        <v>0</v>
      </c>
      <c r="G26" s="25">
        <v>0</v>
      </c>
      <c r="H26" s="96" t="e">
        <f>+#REF!+#REF!+F26+G26-E26</f>
        <v>#REF!</v>
      </c>
    </row>
    <row r="27" spans="1:8" ht="24" customHeight="1">
      <c r="A27" s="133">
        <v>1</v>
      </c>
      <c r="B27" s="237" t="s">
        <v>337</v>
      </c>
      <c r="C27" s="14" t="s">
        <v>15</v>
      </c>
      <c r="D27" s="130">
        <v>250000</v>
      </c>
      <c r="E27" s="408">
        <f>A27*D27</f>
        <v>250000</v>
      </c>
      <c r="F27" s="25">
        <v>0</v>
      </c>
      <c r="G27" s="25">
        <v>0</v>
      </c>
      <c r="H27" s="96" t="e">
        <f>+#REF!+#REF!+F27+G27-E27</f>
        <v>#REF!</v>
      </c>
    </row>
    <row r="28" spans="1:8" ht="25.5">
      <c r="A28" s="133">
        <v>1</v>
      </c>
      <c r="B28" s="237" t="s">
        <v>398</v>
      </c>
      <c r="C28" s="14" t="s">
        <v>15</v>
      </c>
      <c r="D28" s="130">
        <v>8000</v>
      </c>
      <c r="E28" s="186">
        <f>+D28*A28</f>
        <v>8000</v>
      </c>
      <c r="F28" s="25">
        <v>0</v>
      </c>
      <c r="G28" s="25">
        <v>0</v>
      </c>
      <c r="H28" s="96" t="e">
        <f>+#REF!+#REF!+F28+G28-E28</f>
        <v>#REF!</v>
      </c>
    </row>
    <row r="29" spans="1:8" ht="15" customHeight="1">
      <c r="A29" s="133">
        <v>1</v>
      </c>
      <c r="B29" s="237" t="s">
        <v>28</v>
      </c>
      <c r="C29" s="14" t="s">
        <v>15</v>
      </c>
      <c r="D29" s="130">
        <v>12000</v>
      </c>
      <c r="E29" s="186">
        <f>+D29*A29</f>
        <v>12000</v>
      </c>
      <c r="F29" s="25">
        <v>0</v>
      </c>
      <c r="G29" s="25">
        <v>0</v>
      </c>
      <c r="H29" s="96" t="e">
        <f>+#REF!+#REF!+F29+G29-E29</f>
        <v>#REF!</v>
      </c>
    </row>
    <row r="30" spans="1:8" ht="14.25">
      <c r="A30" s="140" t="s">
        <v>12</v>
      </c>
      <c r="B30" s="141"/>
      <c r="C30" s="142"/>
      <c r="D30" s="143"/>
      <c r="E30" s="187">
        <f>SUM(E12:E29)</f>
        <v>590210</v>
      </c>
      <c r="F30" s="25">
        <v>0</v>
      </c>
      <c r="G30" s="25">
        <v>0</v>
      </c>
      <c r="H30" s="96" t="e">
        <f>+#REF!+#REF!+F30+G30-E30</f>
        <v>#REF!</v>
      </c>
    </row>
    <row r="31" spans="1:7" ht="15" thickBot="1">
      <c r="A31" s="144"/>
      <c r="B31" s="145"/>
      <c r="C31" s="145"/>
      <c r="D31" s="162"/>
      <c r="E31" s="184"/>
      <c r="F31" s="25">
        <v>0</v>
      </c>
      <c r="G31" s="25">
        <v>0</v>
      </c>
    </row>
    <row r="32" spans="1:7" ht="15" thickBot="1">
      <c r="A32" s="242" t="s">
        <v>29</v>
      </c>
      <c r="B32" s="242"/>
      <c r="C32" s="242"/>
      <c r="D32" s="243"/>
      <c r="E32" s="244"/>
      <c r="F32" s="22"/>
      <c r="G32" s="23"/>
    </row>
    <row r="33" spans="1:7" ht="25.5">
      <c r="A33" s="245" t="s">
        <v>3</v>
      </c>
      <c r="B33" s="246" t="s">
        <v>4</v>
      </c>
      <c r="C33" s="246" t="s">
        <v>5</v>
      </c>
      <c r="D33" s="246" t="s">
        <v>6</v>
      </c>
      <c r="E33" s="246" t="s">
        <v>7</v>
      </c>
      <c r="F33" s="11" t="s">
        <v>8</v>
      </c>
      <c r="G33" s="11" t="s">
        <v>9</v>
      </c>
    </row>
    <row r="34" spans="1:7" ht="15" customHeight="1">
      <c r="A34" s="133">
        <v>1</v>
      </c>
      <c r="B34" s="248" t="s">
        <v>30</v>
      </c>
      <c r="C34" s="14" t="s">
        <v>5</v>
      </c>
      <c r="D34" s="129">
        <v>1100</v>
      </c>
      <c r="E34" s="186">
        <f>D34*A34</f>
        <v>1100</v>
      </c>
      <c r="F34" s="25">
        <v>0</v>
      </c>
      <c r="G34" s="25">
        <v>0</v>
      </c>
    </row>
    <row r="35" spans="1:7" ht="15" customHeight="1">
      <c r="A35" s="133">
        <v>1</v>
      </c>
      <c r="B35" s="248" t="s">
        <v>31</v>
      </c>
      <c r="C35" s="14" t="s">
        <v>5</v>
      </c>
      <c r="D35" s="129">
        <v>1680</v>
      </c>
      <c r="E35" s="186">
        <f aca="true" t="shared" si="1" ref="E35:E51">D35*A35</f>
        <v>1680</v>
      </c>
      <c r="F35" s="25">
        <v>0</v>
      </c>
      <c r="G35" s="25">
        <v>0</v>
      </c>
    </row>
    <row r="36" spans="1:7" ht="15" customHeight="1">
      <c r="A36" s="133">
        <v>1</v>
      </c>
      <c r="B36" s="248" t="s">
        <v>32</v>
      </c>
      <c r="C36" s="14" t="s">
        <v>5</v>
      </c>
      <c r="D36" s="129">
        <v>1100</v>
      </c>
      <c r="E36" s="186">
        <f t="shared" si="1"/>
        <v>1100</v>
      </c>
      <c r="F36" s="25">
        <v>0</v>
      </c>
      <c r="G36" s="25">
        <v>0</v>
      </c>
    </row>
    <row r="37" spans="1:7" ht="15" customHeight="1">
      <c r="A37" s="133">
        <v>1</v>
      </c>
      <c r="B37" s="237" t="s">
        <v>33</v>
      </c>
      <c r="C37" s="14" t="s">
        <v>5</v>
      </c>
      <c r="D37" s="129">
        <v>720</v>
      </c>
      <c r="E37" s="186">
        <f t="shared" si="1"/>
        <v>720</v>
      </c>
      <c r="F37" s="25">
        <v>0</v>
      </c>
      <c r="G37" s="25">
        <v>0</v>
      </c>
    </row>
    <row r="38" spans="1:7" ht="15" customHeight="1">
      <c r="A38" s="133">
        <v>1</v>
      </c>
      <c r="B38" s="237" t="s">
        <v>34</v>
      </c>
      <c r="C38" s="14" t="s">
        <v>5</v>
      </c>
      <c r="D38" s="129">
        <v>1600</v>
      </c>
      <c r="E38" s="186">
        <f t="shared" si="1"/>
        <v>1600</v>
      </c>
      <c r="F38" s="25">
        <v>0</v>
      </c>
      <c r="G38" s="25">
        <v>0</v>
      </c>
    </row>
    <row r="39" spans="1:7" ht="15" customHeight="1">
      <c r="A39" s="133">
        <v>1</v>
      </c>
      <c r="B39" s="237" t="s">
        <v>35</v>
      </c>
      <c r="C39" s="14" t="s">
        <v>5</v>
      </c>
      <c r="D39" s="129">
        <v>7457</v>
      </c>
      <c r="E39" s="186">
        <f t="shared" si="1"/>
        <v>7457</v>
      </c>
      <c r="F39" s="25">
        <v>0</v>
      </c>
      <c r="G39" s="25">
        <v>0</v>
      </c>
    </row>
    <row r="40" spans="1:7" ht="15" customHeight="1">
      <c r="A40" s="133">
        <v>2</v>
      </c>
      <c r="B40" s="237" t="s">
        <v>36</v>
      </c>
      <c r="C40" s="14" t="s">
        <v>5</v>
      </c>
      <c r="D40" s="129">
        <v>480</v>
      </c>
      <c r="E40" s="186">
        <f t="shared" si="1"/>
        <v>960</v>
      </c>
      <c r="F40" s="25">
        <v>0</v>
      </c>
      <c r="G40" s="25">
        <v>0</v>
      </c>
    </row>
    <row r="41" spans="1:7" ht="15" customHeight="1">
      <c r="A41" s="133">
        <v>1</v>
      </c>
      <c r="B41" s="237" t="s">
        <v>318</v>
      </c>
      <c r="C41" s="14" t="s">
        <v>38</v>
      </c>
      <c r="D41" s="129">
        <v>24000</v>
      </c>
      <c r="E41" s="186">
        <f t="shared" si="1"/>
        <v>24000</v>
      </c>
      <c r="F41" s="25">
        <v>0</v>
      </c>
      <c r="G41" s="25">
        <v>0</v>
      </c>
    </row>
    <row r="42" spans="1:11" ht="14.25" outlineLevel="1">
      <c r="A42" s="255">
        <v>1</v>
      </c>
      <c r="B42" s="256" t="s">
        <v>39</v>
      </c>
      <c r="C42" s="257" t="s">
        <v>38</v>
      </c>
      <c r="D42" s="260">
        <v>18000</v>
      </c>
      <c r="E42" s="186">
        <f t="shared" si="1"/>
        <v>18000</v>
      </c>
      <c r="F42" s="258">
        <v>0</v>
      </c>
      <c r="G42" s="258">
        <v>0</v>
      </c>
      <c r="H42" s="259"/>
      <c r="I42" s="259"/>
      <c r="J42" s="259"/>
      <c r="K42" s="259"/>
    </row>
    <row r="43" spans="1:7" ht="15" customHeight="1">
      <c r="A43" s="133">
        <v>1</v>
      </c>
      <c r="B43" s="237" t="s">
        <v>40</v>
      </c>
      <c r="C43" s="14" t="s">
        <v>5</v>
      </c>
      <c r="D43" s="129">
        <v>785</v>
      </c>
      <c r="E43" s="186">
        <f t="shared" si="1"/>
        <v>785</v>
      </c>
      <c r="F43" s="25">
        <v>0</v>
      </c>
      <c r="G43" s="25">
        <v>0</v>
      </c>
    </row>
    <row r="44" spans="1:7" ht="15" customHeight="1">
      <c r="A44" s="133">
        <v>1</v>
      </c>
      <c r="B44" s="237" t="s">
        <v>41</v>
      </c>
      <c r="C44" s="14" t="s">
        <v>5</v>
      </c>
      <c r="D44" s="129">
        <v>1100</v>
      </c>
      <c r="E44" s="186">
        <f t="shared" si="1"/>
        <v>1100</v>
      </c>
      <c r="F44" s="25">
        <v>0</v>
      </c>
      <c r="G44" s="25">
        <v>0</v>
      </c>
    </row>
    <row r="45" spans="1:7" ht="14.25">
      <c r="A45" s="133">
        <v>1</v>
      </c>
      <c r="B45" s="237" t="s">
        <v>42</v>
      </c>
      <c r="C45" s="14" t="s">
        <v>5</v>
      </c>
      <c r="D45" s="129">
        <v>5200</v>
      </c>
      <c r="E45" s="186">
        <f t="shared" si="1"/>
        <v>5200</v>
      </c>
      <c r="F45" s="25">
        <v>0</v>
      </c>
      <c r="G45" s="25">
        <v>0</v>
      </c>
    </row>
    <row r="46" spans="1:11" ht="15" customHeight="1" outlineLevel="1">
      <c r="A46" s="255">
        <v>1</v>
      </c>
      <c r="B46" s="256" t="s">
        <v>43</v>
      </c>
      <c r="C46" s="257" t="s">
        <v>5</v>
      </c>
      <c r="D46" s="260">
        <v>2586</v>
      </c>
      <c r="E46" s="186">
        <f t="shared" si="1"/>
        <v>2586</v>
      </c>
      <c r="F46" s="258">
        <v>0</v>
      </c>
      <c r="G46" s="258">
        <v>0</v>
      </c>
      <c r="H46" s="259"/>
      <c r="I46" s="259"/>
      <c r="J46" s="259"/>
      <c r="K46" s="259"/>
    </row>
    <row r="47" spans="1:11" ht="15" customHeight="1" outlineLevel="1">
      <c r="A47" s="255">
        <v>1</v>
      </c>
      <c r="B47" s="256" t="s">
        <v>44</v>
      </c>
      <c r="C47" s="257" t="s">
        <v>5</v>
      </c>
      <c r="D47" s="260">
        <v>730</v>
      </c>
      <c r="E47" s="186">
        <f t="shared" si="1"/>
        <v>730</v>
      </c>
      <c r="F47" s="258">
        <v>0</v>
      </c>
      <c r="G47" s="258">
        <v>0</v>
      </c>
      <c r="H47" s="259"/>
      <c r="I47" s="259"/>
      <c r="J47" s="259"/>
      <c r="K47" s="259"/>
    </row>
    <row r="48" spans="1:11" ht="15" customHeight="1" outlineLevel="1">
      <c r="A48" s="255">
        <v>1</v>
      </c>
      <c r="B48" s="256" t="s">
        <v>45</v>
      </c>
      <c r="C48" s="257" t="s">
        <v>5</v>
      </c>
      <c r="D48" s="260">
        <v>1550</v>
      </c>
      <c r="E48" s="186">
        <f t="shared" si="1"/>
        <v>1550</v>
      </c>
      <c r="F48" s="258">
        <v>0</v>
      </c>
      <c r="G48" s="258">
        <v>0</v>
      </c>
      <c r="H48" s="259"/>
      <c r="I48" s="259"/>
      <c r="J48" s="259"/>
      <c r="K48" s="259"/>
    </row>
    <row r="49" spans="1:7" ht="15" customHeight="1">
      <c r="A49" s="133">
        <v>1</v>
      </c>
      <c r="B49" s="237" t="s">
        <v>46</v>
      </c>
      <c r="C49" s="14" t="s">
        <v>38</v>
      </c>
      <c r="D49" s="129">
        <v>16500</v>
      </c>
      <c r="E49" s="186">
        <f t="shared" si="1"/>
        <v>16500</v>
      </c>
      <c r="F49" s="25">
        <v>0</v>
      </c>
      <c r="G49" s="25">
        <v>0</v>
      </c>
    </row>
    <row r="50" spans="1:11" ht="15" customHeight="1" outlineLevel="1">
      <c r="A50" s="255">
        <v>1</v>
      </c>
      <c r="B50" s="256" t="s">
        <v>47</v>
      </c>
      <c r="C50" s="257" t="s">
        <v>5</v>
      </c>
      <c r="D50" s="260">
        <v>1000</v>
      </c>
      <c r="E50" s="186">
        <f t="shared" si="1"/>
        <v>1000</v>
      </c>
      <c r="F50" s="258">
        <v>0</v>
      </c>
      <c r="G50" s="258">
        <v>0</v>
      </c>
      <c r="H50" s="259"/>
      <c r="I50" s="259"/>
      <c r="J50" s="259"/>
      <c r="K50" s="259"/>
    </row>
    <row r="51" spans="1:251" ht="25.5">
      <c r="A51" s="133">
        <v>1</v>
      </c>
      <c r="B51" s="249" t="s">
        <v>48</v>
      </c>
      <c r="C51" s="14" t="s">
        <v>5</v>
      </c>
      <c r="D51" s="129">
        <v>920</v>
      </c>
      <c r="E51" s="186">
        <f t="shared" si="1"/>
        <v>920</v>
      </c>
      <c r="F51" s="25">
        <v>0</v>
      </c>
      <c r="G51" s="25">
        <v>0</v>
      </c>
      <c r="H51" s="27"/>
      <c r="I51" s="24"/>
      <c r="J51" s="27"/>
      <c r="K51" s="24"/>
      <c r="L51" s="284"/>
      <c r="M51" s="24"/>
      <c r="N51" s="27"/>
      <c r="O51" s="24"/>
      <c r="P51" s="27"/>
      <c r="Q51" s="24"/>
      <c r="R51" s="27"/>
      <c r="S51" s="24"/>
      <c r="T51" s="27"/>
      <c r="U51" s="24"/>
      <c r="V51" s="27"/>
      <c r="W51" s="24"/>
      <c r="X51" s="27"/>
      <c r="Y51" s="24"/>
      <c r="Z51" s="27"/>
      <c r="AA51" s="24"/>
      <c r="AB51" s="27"/>
      <c r="AC51" s="24"/>
      <c r="AD51" s="27"/>
      <c r="AE51" s="24"/>
      <c r="AF51" s="27"/>
      <c r="AG51" s="24"/>
      <c r="AH51" s="27"/>
      <c r="AI51" s="24"/>
      <c r="AJ51" s="27"/>
      <c r="AK51" s="24"/>
      <c r="AL51" s="27"/>
      <c r="AM51" s="24"/>
      <c r="AN51" s="27"/>
      <c r="AO51" s="24"/>
      <c r="AP51" s="27"/>
      <c r="AQ51" s="24"/>
      <c r="AR51" s="27"/>
      <c r="AS51" s="24"/>
      <c r="AT51" s="27"/>
      <c r="AU51" s="24"/>
      <c r="AV51" s="27"/>
      <c r="AW51" s="24"/>
      <c r="AX51" s="27"/>
      <c r="AY51" s="24"/>
      <c r="AZ51" s="27"/>
      <c r="BA51" s="24"/>
      <c r="BB51" s="27"/>
      <c r="BC51" s="24"/>
      <c r="BD51" s="27"/>
      <c r="BE51" s="24"/>
      <c r="BF51" s="27"/>
      <c r="BG51" s="24"/>
      <c r="BH51" s="27"/>
      <c r="BI51" s="24"/>
      <c r="BJ51" s="27"/>
      <c r="BK51" s="24"/>
      <c r="BL51" s="27"/>
      <c r="BM51" s="24"/>
      <c r="BN51" s="27"/>
      <c r="BO51" s="24"/>
      <c r="BP51" s="27"/>
      <c r="BQ51" s="24"/>
      <c r="BR51" s="27"/>
      <c r="BS51" s="24"/>
      <c r="BT51" s="27"/>
      <c r="BU51" s="24"/>
      <c r="BV51" s="27"/>
      <c r="BW51" s="24"/>
      <c r="BX51" s="27"/>
      <c r="BY51" s="24"/>
      <c r="BZ51" s="27"/>
      <c r="CA51" s="24"/>
      <c r="CB51" s="27"/>
      <c r="CC51" s="24"/>
      <c r="CD51" s="27"/>
      <c r="CE51" s="24"/>
      <c r="CF51" s="27"/>
      <c r="CG51" s="24"/>
      <c r="CH51" s="27"/>
      <c r="CI51" s="24"/>
      <c r="CJ51" s="27"/>
      <c r="CK51" s="24"/>
      <c r="CL51" s="27"/>
      <c r="CM51" s="24"/>
      <c r="CN51" s="27"/>
      <c r="CO51" s="24"/>
      <c r="CP51" s="27"/>
      <c r="CQ51" s="24"/>
      <c r="CR51" s="27"/>
      <c r="CS51" s="24"/>
      <c r="CT51" s="27"/>
      <c r="CU51" s="24"/>
      <c r="CV51" s="27"/>
      <c r="CW51" s="24"/>
      <c r="CX51" s="27"/>
      <c r="CY51" s="24"/>
      <c r="CZ51" s="27"/>
      <c r="DA51" s="24"/>
      <c r="DB51" s="27"/>
      <c r="DC51" s="24"/>
      <c r="DD51" s="27"/>
      <c r="DE51" s="24"/>
      <c r="DF51" s="27"/>
      <c r="DG51" s="24"/>
      <c r="DH51" s="27"/>
      <c r="DI51" s="24"/>
      <c r="DJ51" s="27"/>
      <c r="DK51" s="24"/>
      <c r="DL51" s="27"/>
      <c r="DM51" s="24"/>
      <c r="DN51" s="27"/>
      <c r="DO51" s="24"/>
      <c r="DP51" s="27"/>
      <c r="DQ51" s="24"/>
      <c r="DR51" s="27"/>
      <c r="DS51" s="24"/>
      <c r="DT51" s="27"/>
      <c r="DU51" s="24"/>
      <c r="DV51" s="27"/>
      <c r="DW51" s="24"/>
      <c r="DX51" s="27"/>
      <c r="DY51" s="24"/>
      <c r="DZ51" s="27"/>
      <c r="EA51" s="24"/>
      <c r="EB51" s="27"/>
      <c r="EC51" s="24"/>
      <c r="ED51" s="27"/>
      <c r="EE51" s="24"/>
      <c r="EF51" s="27"/>
      <c r="EG51" s="24"/>
      <c r="EH51" s="27"/>
      <c r="EI51" s="24"/>
      <c r="EJ51" s="27"/>
      <c r="EK51" s="24"/>
      <c r="EL51" s="27"/>
      <c r="EM51" s="24"/>
      <c r="EN51" s="27"/>
      <c r="EO51" s="24"/>
      <c r="EP51" s="27"/>
      <c r="EQ51" s="24"/>
      <c r="ER51" s="27"/>
      <c r="ES51" s="24"/>
      <c r="ET51" s="27"/>
      <c r="EU51" s="24"/>
      <c r="EV51" s="27"/>
      <c r="EW51" s="24"/>
      <c r="EX51" s="27"/>
      <c r="EY51" s="24"/>
      <c r="EZ51" s="27"/>
      <c r="FA51" s="24"/>
      <c r="FB51" s="27"/>
      <c r="FC51" s="24"/>
      <c r="FD51" s="27"/>
      <c r="FE51" s="24"/>
      <c r="FF51" s="27"/>
      <c r="FG51" s="24"/>
      <c r="FH51" s="27"/>
      <c r="FI51" s="24"/>
      <c r="FJ51" s="27"/>
      <c r="FK51" s="24"/>
      <c r="FL51" s="27"/>
      <c r="FM51" s="24"/>
      <c r="FN51" s="27"/>
      <c r="FO51" s="24"/>
      <c r="FP51" s="27"/>
      <c r="FQ51" s="24"/>
      <c r="FR51" s="27"/>
      <c r="FS51" s="24"/>
      <c r="FT51" s="27"/>
      <c r="FU51" s="24"/>
      <c r="FV51" s="27"/>
      <c r="FW51" s="24"/>
      <c r="FX51" s="27"/>
      <c r="FY51" s="24"/>
      <c r="FZ51" s="27"/>
      <c r="GA51" s="24"/>
      <c r="GB51" s="27"/>
      <c r="GC51" s="24"/>
      <c r="GD51" s="27"/>
      <c r="GE51" s="24"/>
      <c r="GF51" s="27"/>
      <c r="GG51" s="24"/>
      <c r="GH51" s="27"/>
      <c r="GI51" s="24"/>
      <c r="GJ51" s="27"/>
      <c r="GK51" s="24"/>
      <c r="GL51" s="27"/>
      <c r="GM51" s="24"/>
      <c r="GN51" s="27"/>
      <c r="GO51" s="24"/>
      <c r="GP51" s="27"/>
      <c r="GQ51" s="24"/>
      <c r="GR51" s="27"/>
      <c r="GS51" s="24"/>
      <c r="GT51" s="27"/>
      <c r="GU51" s="24"/>
      <c r="GV51" s="27"/>
      <c r="GW51" s="24"/>
      <c r="GX51" s="27"/>
      <c r="GY51" s="24"/>
      <c r="GZ51" s="27"/>
      <c r="HA51" s="24"/>
      <c r="HB51" s="27"/>
      <c r="HC51" s="24"/>
      <c r="HD51" s="27"/>
      <c r="HE51" s="24"/>
      <c r="HF51" s="27"/>
      <c r="HG51" s="24"/>
      <c r="HH51" s="27"/>
      <c r="HI51" s="24"/>
      <c r="HJ51" s="27"/>
      <c r="HK51" s="24"/>
      <c r="HL51" s="27"/>
      <c r="HM51" s="24"/>
      <c r="HN51" s="27"/>
      <c r="HO51" s="24"/>
      <c r="HP51" s="27"/>
      <c r="HQ51" s="24"/>
      <c r="HR51" s="27"/>
      <c r="HS51" s="24"/>
      <c r="HT51" s="27"/>
      <c r="HU51" s="24"/>
      <c r="HV51" s="27"/>
      <c r="HW51" s="24"/>
      <c r="HX51" s="27"/>
      <c r="HY51" s="24"/>
      <c r="HZ51" s="27"/>
      <c r="IA51" s="24"/>
      <c r="IB51" s="27"/>
      <c r="IC51" s="24"/>
      <c r="ID51" s="27"/>
      <c r="IE51" s="24"/>
      <c r="IF51" s="27"/>
      <c r="IG51" s="24"/>
      <c r="IH51" s="27"/>
      <c r="II51" s="24"/>
      <c r="IJ51" s="27"/>
      <c r="IK51" s="24"/>
      <c r="IL51" s="27"/>
      <c r="IM51" s="24"/>
      <c r="IN51" s="27"/>
      <c r="IO51" s="24"/>
      <c r="IP51" s="27"/>
      <c r="IQ51" s="24"/>
    </row>
    <row r="52" spans="1:7" ht="14.25">
      <c r="A52" s="140" t="s">
        <v>12</v>
      </c>
      <c r="B52" s="301"/>
      <c r="C52" s="302"/>
      <c r="D52" s="303"/>
      <c r="E52" s="304">
        <f>SUM(E34:E51)</f>
        <v>86988</v>
      </c>
      <c r="F52" s="18">
        <f>SUM(F34:F51)</f>
        <v>0</v>
      </c>
      <c r="G52" s="18">
        <f>SUM(G34:G51)</f>
        <v>0</v>
      </c>
    </row>
    <row r="53" spans="1:7" ht="15" thickBot="1">
      <c r="A53" s="297"/>
      <c r="B53" s="298"/>
      <c r="C53" s="299"/>
      <c r="D53" s="300"/>
      <c r="E53" s="280"/>
      <c r="F53" s="5"/>
      <c r="G53" s="32"/>
    </row>
    <row r="54" spans="1:7" ht="15" thickBot="1">
      <c r="A54" s="305" t="s">
        <v>49</v>
      </c>
      <c r="B54" s="305"/>
      <c r="C54" s="305"/>
      <c r="D54" s="243"/>
      <c r="E54" s="281"/>
      <c r="F54" s="22"/>
      <c r="G54" s="23"/>
    </row>
    <row r="55" spans="1:7" ht="25.5">
      <c r="A55" s="245" t="s">
        <v>3</v>
      </c>
      <c r="B55" s="246" t="s">
        <v>4</v>
      </c>
      <c r="C55" s="246" t="s">
        <v>5</v>
      </c>
      <c r="D55" s="246" t="s">
        <v>6</v>
      </c>
      <c r="E55" s="246" t="s">
        <v>7</v>
      </c>
      <c r="F55" s="11" t="s">
        <v>8</v>
      </c>
      <c r="G55" s="11" t="s">
        <v>9</v>
      </c>
    </row>
    <row r="56" spans="1:7" ht="15" customHeight="1">
      <c r="A56" s="133">
        <v>1</v>
      </c>
      <c r="B56" s="13" t="s">
        <v>50</v>
      </c>
      <c r="C56" s="14" t="s">
        <v>5</v>
      </c>
      <c r="D56" s="129">
        <v>18000</v>
      </c>
      <c r="E56" s="26">
        <f>D56*A56</f>
        <v>18000</v>
      </c>
      <c r="F56" s="14">
        <v>0</v>
      </c>
      <c r="G56" s="14">
        <v>0</v>
      </c>
    </row>
    <row r="57" spans="1:7" ht="14.25">
      <c r="A57" s="138" t="s">
        <v>12</v>
      </c>
      <c r="B57" s="139"/>
      <c r="C57" s="139"/>
      <c r="D57" s="160"/>
      <c r="E57" s="183">
        <f>E56</f>
        <v>18000</v>
      </c>
      <c r="F57" s="18">
        <v>0</v>
      </c>
      <c r="G57" s="18">
        <v>0</v>
      </c>
    </row>
    <row r="58" spans="1:7" ht="15" thickBot="1">
      <c r="A58" s="147"/>
      <c r="B58" s="6"/>
      <c r="C58" s="148"/>
      <c r="D58" s="158"/>
      <c r="E58" s="188"/>
      <c r="F58" s="5"/>
      <c r="G58" s="32"/>
    </row>
    <row r="59" spans="1:7" ht="15" thickBot="1">
      <c r="A59" s="242" t="s">
        <v>51</v>
      </c>
      <c r="B59" s="242"/>
      <c r="C59" s="242"/>
      <c r="D59" s="243"/>
      <c r="E59" s="244"/>
      <c r="F59" s="22"/>
      <c r="G59" s="23"/>
    </row>
    <row r="60" spans="1:7" ht="25.5">
      <c r="A60" s="245" t="s">
        <v>3</v>
      </c>
      <c r="B60" s="246" t="s">
        <v>4</v>
      </c>
      <c r="C60" s="246" t="s">
        <v>5</v>
      </c>
      <c r="D60" s="246" t="s">
        <v>6</v>
      </c>
      <c r="E60" s="246" t="s">
        <v>7</v>
      </c>
      <c r="F60" s="11" t="s">
        <v>8</v>
      </c>
      <c r="G60" s="11" t="s">
        <v>9</v>
      </c>
    </row>
    <row r="61" spans="1:7" ht="15" customHeight="1" outlineLevel="1">
      <c r="A61" s="262">
        <v>6</v>
      </c>
      <c r="B61" s="263" t="s">
        <v>52</v>
      </c>
      <c r="C61" s="264" t="s">
        <v>53</v>
      </c>
      <c r="D61" s="265">
        <v>250</v>
      </c>
      <c r="E61" s="266">
        <f>D61*A61</f>
        <v>1500</v>
      </c>
      <c r="F61" s="33">
        <v>0</v>
      </c>
      <c r="G61" s="33">
        <v>0</v>
      </c>
    </row>
    <row r="62" spans="1:12" ht="15" customHeight="1">
      <c r="A62" s="134">
        <v>8</v>
      </c>
      <c r="B62" s="250" t="s">
        <v>54</v>
      </c>
      <c r="C62" s="33" t="s">
        <v>5</v>
      </c>
      <c r="D62" s="132">
        <v>254</v>
      </c>
      <c r="E62" s="409">
        <f aca="true" t="shared" si="2" ref="E62:E83">D62*A62</f>
        <v>2032</v>
      </c>
      <c r="F62" s="33">
        <v>0</v>
      </c>
      <c r="G62" s="33">
        <v>0</v>
      </c>
      <c r="L62" s="290"/>
    </row>
    <row r="63" spans="1:7" ht="15" customHeight="1">
      <c r="A63" s="134">
        <v>10</v>
      </c>
      <c r="B63" s="250" t="s">
        <v>55</v>
      </c>
      <c r="C63" s="33" t="s">
        <v>5</v>
      </c>
      <c r="D63" s="132">
        <v>401</v>
      </c>
      <c r="E63" s="409">
        <f t="shared" si="2"/>
        <v>4010</v>
      </c>
      <c r="F63" s="33"/>
      <c r="G63" s="33">
        <v>0</v>
      </c>
    </row>
    <row r="64" spans="1:8" ht="15" customHeight="1">
      <c r="A64" s="134">
        <v>10</v>
      </c>
      <c r="B64" s="250" t="s">
        <v>319</v>
      </c>
      <c r="C64" s="33" t="s">
        <v>5</v>
      </c>
      <c r="D64" s="132">
        <v>180</v>
      </c>
      <c r="E64" s="409">
        <f t="shared" si="2"/>
        <v>1800</v>
      </c>
      <c r="F64" s="33"/>
      <c r="G64" s="33">
        <v>0</v>
      </c>
      <c r="H64" s="1">
        <f>28200/200</f>
        <v>141</v>
      </c>
    </row>
    <row r="65" spans="1:7" ht="15" customHeight="1">
      <c r="A65" s="134">
        <v>15</v>
      </c>
      <c r="B65" s="251" t="s">
        <v>348</v>
      </c>
      <c r="C65" s="33" t="s">
        <v>5</v>
      </c>
      <c r="D65" s="132">
        <v>350</v>
      </c>
      <c r="E65" s="409">
        <f t="shared" si="2"/>
        <v>5250</v>
      </c>
      <c r="F65" s="33"/>
      <c r="G65" s="33">
        <v>0</v>
      </c>
    </row>
    <row r="66" spans="1:7" ht="15" customHeight="1">
      <c r="A66" s="134">
        <v>2</v>
      </c>
      <c r="B66" s="251" t="s">
        <v>349</v>
      </c>
      <c r="C66" s="33" t="s">
        <v>5</v>
      </c>
      <c r="D66" s="132">
        <v>360</v>
      </c>
      <c r="E66" s="409">
        <f t="shared" si="2"/>
        <v>720</v>
      </c>
      <c r="F66" s="33"/>
      <c r="G66" s="33">
        <v>0</v>
      </c>
    </row>
    <row r="67" spans="1:7" ht="15" customHeight="1">
      <c r="A67" s="134">
        <v>4</v>
      </c>
      <c r="B67" s="251" t="s">
        <v>350</v>
      </c>
      <c r="C67" s="33" t="s">
        <v>5</v>
      </c>
      <c r="D67" s="132">
        <v>180</v>
      </c>
      <c r="E67" s="409">
        <f t="shared" si="2"/>
        <v>720</v>
      </c>
      <c r="F67" s="33"/>
      <c r="G67" s="33">
        <v>0</v>
      </c>
    </row>
    <row r="68" spans="1:7" ht="15" customHeight="1">
      <c r="A68" s="134">
        <v>5</v>
      </c>
      <c r="B68" s="251" t="s">
        <v>332</v>
      </c>
      <c r="C68" s="33" t="s">
        <v>5</v>
      </c>
      <c r="D68" s="132">
        <v>350</v>
      </c>
      <c r="E68" s="409">
        <f t="shared" si="2"/>
        <v>1750</v>
      </c>
      <c r="F68" s="33"/>
      <c r="G68" s="33">
        <v>0</v>
      </c>
    </row>
    <row r="69" spans="1:7" ht="15" customHeight="1">
      <c r="A69" s="134">
        <v>5</v>
      </c>
      <c r="B69" s="251" t="s">
        <v>56</v>
      </c>
      <c r="C69" s="33" t="s">
        <v>5</v>
      </c>
      <c r="D69" s="132">
        <v>250</v>
      </c>
      <c r="E69" s="409">
        <f t="shared" si="2"/>
        <v>1250</v>
      </c>
      <c r="F69" s="33"/>
      <c r="G69" s="33">
        <v>0</v>
      </c>
    </row>
    <row r="70" spans="1:7" ht="15" customHeight="1">
      <c r="A70" s="134">
        <v>5</v>
      </c>
      <c r="B70" s="251" t="s">
        <v>317</v>
      </c>
      <c r="C70" s="33" t="s">
        <v>5</v>
      </c>
      <c r="D70" s="132">
        <v>95</v>
      </c>
      <c r="E70" s="409">
        <f t="shared" si="2"/>
        <v>475</v>
      </c>
      <c r="F70" s="33"/>
      <c r="G70" s="33">
        <v>0</v>
      </c>
    </row>
    <row r="71" spans="1:7" ht="15" customHeight="1">
      <c r="A71" s="134">
        <v>5</v>
      </c>
      <c r="B71" s="251" t="s">
        <v>316</v>
      </c>
      <c r="C71" s="33" t="s">
        <v>5</v>
      </c>
      <c r="D71" s="132">
        <v>33</v>
      </c>
      <c r="E71" s="409">
        <f t="shared" si="2"/>
        <v>165</v>
      </c>
      <c r="F71" s="33"/>
      <c r="G71" s="33">
        <v>0</v>
      </c>
    </row>
    <row r="72" spans="1:7" ht="15" customHeight="1">
      <c r="A72" s="135">
        <v>1</v>
      </c>
      <c r="B72" s="252" t="s">
        <v>57</v>
      </c>
      <c r="C72" s="33" t="s">
        <v>5</v>
      </c>
      <c r="D72" s="163">
        <v>1000</v>
      </c>
      <c r="E72" s="409">
        <f t="shared" si="2"/>
        <v>1000</v>
      </c>
      <c r="F72" s="33"/>
      <c r="G72" s="33">
        <v>0</v>
      </c>
    </row>
    <row r="73" spans="1:7" ht="15" customHeight="1">
      <c r="A73" s="134">
        <v>7</v>
      </c>
      <c r="B73" s="251" t="s">
        <v>58</v>
      </c>
      <c r="C73" s="33" t="s">
        <v>5</v>
      </c>
      <c r="D73" s="132">
        <v>280</v>
      </c>
      <c r="E73" s="409">
        <f t="shared" si="2"/>
        <v>1960</v>
      </c>
      <c r="F73" s="33"/>
      <c r="G73" s="33">
        <v>0</v>
      </c>
    </row>
    <row r="74" spans="1:7" ht="15" customHeight="1">
      <c r="A74" s="134">
        <v>7</v>
      </c>
      <c r="B74" s="251" t="s">
        <v>59</v>
      </c>
      <c r="C74" s="33" t="s">
        <v>5</v>
      </c>
      <c r="D74" s="132">
        <v>80</v>
      </c>
      <c r="E74" s="409">
        <f t="shared" si="2"/>
        <v>560</v>
      </c>
      <c r="F74" s="33"/>
      <c r="G74" s="33">
        <v>0</v>
      </c>
    </row>
    <row r="75" spans="1:7" ht="15" customHeight="1">
      <c r="A75" s="134">
        <v>5</v>
      </c>
      <c r="B75" s="251" t="s">
        <v>60</v>
      </c>
      <c r="C75" s="33" t="s">
        <v>5</v>
      </c>
      <c r="D75" s="132">
        <v>395</v>
      </c>
      <c r="E75" s="409">
        <f t="shared" si="2"/>
        <v>1975</v>
      </c>
      <c r="F75" s="33"/>
      <c r="G75" s="33">
        <v>0</v>
      </c>
    </row>
    <row r="76" spans="1:7" ht="15" customHeight="1">
      <c r="A76" s="135">
        <v>3</v>
      </c>
      <c r="B76" s="253" t="s">
        <v>61</v>
      </c>
      <c r="C76" s="33" t="s">
        <v>5</v>
      </c>
      <c r="D76" s="163">
        <v>680</v>
      </c>
      <c r="E76" s="409">
        <f t="shared" si="2"/>
        <v>2040</v>
      </c>
      <c r="F76" s="33"/>
      <c r="G76" s="33">
        <v>0</v>
      </c>
    </row>
    <row r="77" spans="1:7" ht="15" customHeight="1">
      <c r="A77" s="135">
        <v>2</v>
      </c>
      <c r="B77" s="253" t="s">
        <v>351</v>
      </c>
      <c r="C77" s="33" t="s">
        <v>5</v>
      </c>
      <c r="D77" s="163">
        <v>420</v>
      </c>
      <c r="E77" s="409">
        <f t="shared" si="2"/>
        <v>840</v>
      </c>
      <c r="F77" s="33"/>
      <c r="G77" s="33">
        <v>0</v>
      </c>
    </row>
    <row r="78" spans="1:7" ht="15" customHeight="1">
      <c r="A78" s="135">
        <v>5</v>
      </c>
      <c r="B78" s="253" t="s">
        <v>62</v>
      </c>
      <c r="C78" s="33" t="s">
        <v>5</v>
      </c>
      <c r="D78" s="163">
        <v>33</v>
      </c>
      <c r="E78" s="409">
        <f t="shared" si="2"/>
        <v>165</v>
      </c>
      <c r="F78" s="33"/>
      <c r="G78" s="33">
        <v>0</v>
      </c>
    </row>
    <row r="79" spans="1:7" ht="15" customHeight="1">
      <c r="A79" s="135">
        <v>12</v>
      </c>
      <c r="B79" s="253" t="s">
        <v>63</v>
      </c>
      <c r="C79" s="33" t="s">
        <v>5</v>
      </c>
      <c r="D79" s="163">
        <v>35.89</v>
      </c>
      <c r="E79" s="409">
        <f t="shared" si="2"/>
        <v>430.68</v>
      </c>
      <c r="F79" s="33"/>
      <c r="G79" s="33">
        <v>0</v>
      </c>
    </row>
    <row r="80" spans="1:7" ht="15" customHeight="1">
      <c r="A80" s="135">
        <v>10</v>
      </c>
      <c r="B80" s="253" t="s">
        <v>64</v>
      </c>
      <c r="C80" s="33" t="s">
        <v>5</v>
      </c>
      <c r="D80" s="163">
        <v>58</v>
      </c>
      <c r="E80" s="409">
        <f t="shared" si="2"/>
        <v>580</v>
      </c>
      <c r="F80" s="33"/>
      <c r="G80" s="33">
        <v>0</v>
      </c>
    </row>
    <row r="81" spans="1:7" ht="15" customHeight="1">
      <c r="A81" s="135">
        <v>1</v>
      </c>
      <c r="B81" s="253" t="s">
        <v>399</v>
      </c>
      <c r="C81" s="33" t="s">
        <v>5</v>
      </c>
      <c r="D81" s="163">
        <v>825</v>
      </c>
      <c r="E81" s="409">
        <f t="shared" si="2"/>
        <v>825</v>
      </c>
      <c r="F81" s="33"/>
      <c r="G81" s="33">
        <v>0</v>
      </c>
    </row>
    <row r="82" spans="1:7" ht="15" customHeight="1">
      <c r="A82" s="135">
        <v>12</v>
      </c>
      <c r="B82" s="253" t="s">
        <v>65</v>
      </c>
      <c r="C82" s="33" t="s">
        <v>5</v>
      </c>
      <c r="D82" s="163">
        <v>65.84</v>
      </c>
      <c r="E82" s="409">
        <f t="shared" si="2"/>
        <v>790.08</v>
      </c>
      <c r="F82" s="33">
        <v>0</v>
      </c>
      <c r="G82" s="33">
        <v>0</v>
      </c>
    </row>
    <row r="83" spans="1:7" ht="15" customHeight="1">
      <c r="A83" s="134">
        <v>10</v>
      </c>
      <c r="B83" s="251" t="s">
        <v>66</v>
      </c>
      <c r="C83" s="33" t="s">
        <v>5</v>
      </c>
      <c r="D83" s="163">
        <v>220</v>
      </c>
      <c r="E83" s="409">
        <f t="shared" si="2"/>
        <v>2200</v>
      </c>
      <c r="F83" s="34">
        <v>0</v>
      </c>
      <c r="G83" s="34">
        <v>0</v>
      </c>
    </row>
    <row r="84" spans="1:7" ht="15" customHeight="1">
      <c r="A84" s="135">
        <v>15</v>
      </c>
      <c r="B84" s="253" t="s">
        <v>67</v>
      </c>
      <c r="C84" s="33" t="s">
        <v>5</v>
      </c>
      <c r="D84" s="163">
        <v>95</v>
      </c>
      <c r="E84" s="409">
        <f>D84*A84</f>
        <v>1425</v>
      </c>
      <c r="F84" s="34">
        <v>0</v>
      </c>
      <c r="G84" s="34">
        <v>0</v>
      </c>
    </row>
    <row r="85" spans="1:7" ht="14.25">
      <c r="A85" s="138" t="s">
        <v>12</v>
      </c>
      <c r="B85" s="146"/>
      <c r="C85" s="139"/>
      <c r="D85" s="160"/>
      <c r="E85" s="191">
        <f>SUM(E61:E84)</f>
        <v>34462.76</v>
      </c>
      <c r="F85" s="18">
        <v>0</v>
      </c>
      <c r="G85" s="18">
        <v>0</v>
      </c>
    </row>
    <row r="86" spans="1:7" ht="14.25">
      <c r="A86" s="154"/>
      <c r="B86" s="155"/>
      <c r="C86" s="156"/>
      <c r="D86" s="164"/>
      <c r="E86" s="192"/>
      <c r="F86" s="154"/>
      <c r="G86" s="154"/>
    </row>
    <row r="87" spans="1:7" ht="14.25">
      <c r="A87" s="242" t="s">
        <v>68</v>
      </c>
      <c r="B87" s="242"/>
      <c r="C87" s="242"/>
      <c r="D87" s="243"/>
      <c r="E87" s="244"/>
      <c r="F87" s="35"/>
      <c r="G87" s="36"/>
    </row>
    <row r="88" spans="1:7" ht="25.5">
      <c r="A88" s="245" t="s">
        <v>3</v>
      </c>
      <c r="B88" s="246" t="s">
        <v>4</v>
      </c>
      <c r="C88" s="246" t="s">
        <v>5</v>
      </c>
      <c r="D88" s="246" t="s">
        <v>6</v>
      </c>
      <c r="E88" s="246" t="s">
        <v>7</v>
      </c>
      <c r="F88" s="11" t="s">
        <v>8</v>
      </c>
      <c r="G88" s="11" t="s">
        <v>9</v>
      </c>
    </row>
    <row r="89" spans="1:251" ht="15" customHeight="1">
      <c r="A89" s="135">
        <v>1</v>
      </c>
      <c r="B89" s="151" t="s">
        <v>69</v>
      </c>
      <c r="C89" s="34" t="s">
        <v>15</v>
      </c>
      <c r="D89" s="163">
        <v>1200</v>
      </c>
      <c r="E89" s="190">
        <f>D89*A89</f>
        <v>1200</v>
      </c>
      <c r="F89" s="34">
        <v>0</v>
      </c>
      <c r="G89" s="34">
        <v>0</v>
      </c>
      <c r="H89" s="27"/>
      <c r="I89" s="27"/>
      <c r="J89" s="27"/>
      <c r="K89" s="27"/>
      <c r="L89" s="284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</row>
    <row r="90" spans="1:251" ht="15" customHeight="1">
      <c r="A90" s="135">
        <v>1</v>
      </c>
      <c r="B90" s="151" t="s">
        <v>70</v>
      </c>
      <c r="C90" s="34" t="s">
        <v>15</v>
      </c>
      <c r="D90" s="163">
        <v>600</v>
      </c>
      <c r="E90" s="190">
        <f aca="true" t="shared" si="3" ref="E90:E95">D90*A90</f>
        <v>600</v>
      </c>
      <c r="F90" s="34">
        <v>0</v>
      </c>
      <c r="G90" s="34">
        <v>0</v>
      </c>
      <c r="H90" s="27"/>
      <c r="I90" s="27"/>
      <c r="J90" s="27"/>
      <c r="K90" s="27"/>
      <c r="L90" s="284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</row>
    <row r="91" spans="1:251" ht="15" customHeight="1">
      <c r="A91" s="135">
        <v>1</v>
      </c>
      <c r="B91" s="151" t="s">
        <v>71</v>
      </c>
      <c r="C91" s="34" t="s">
        <v>15</v>
      </c>
      <c r="D91" s="163">
        <v>1100</v>
      </c>
      <c r="E91" s="190">
        <f t="shared" si="3"/>
        <v>1100</v>
      </c>
      <c r="F91" s="34">
        <v>0</v>
      </c>
      <c r="G91" s="34">
        <v>0</v>
      </c>
      <c r="H91" s="27"/>
      <c r="I91" s="27"/>
      <c r="J91" s="27"/>
      <c r="K91" s="27"/>
      <c r="L91" s="284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</row>
    <row r="92" spans="1:251" ht="15" customHeight="1">
      <c r="A92" s="135">
        <v>5</v>
      </c>
      <c r="B92" s="151" t="s">
        <v>72</v>
      </c>
      <c r="C92" s="34" t="s">
        <v>5</v>
      </c>
      <c r="D92" s="163">
        <v>15</v>
      </c>
      <c r="E92" s="190">
        <f t="shared" si="3"/>
        <v>75</v>
      </c>
      <c r="F92" s="34">
        <v>0</v>
      </c>
      <c r="G92" s="34">
        <v>0</v>
      </c>
      <c r="H92" s="27"/>
      <c r="I92" s="94" t="s">
        <v>313</v>
      </c>
      <c r="J92" s="93">
        <v>1000</v>
      </c>
      <c r="K92" s="93">
        <v>2</v>
      </c>
      <c r="L92" s="285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</row>
    <row r="93" spans="1:251" ht="15" customHeight="1" outlineLevel="1">
      <c r="A93" s="267">
        <v>1</v>
      </c>
      <c r="B93" s="268" t="s">
        <v>73</v>
      </c>
      <c r="C93" s="269" t="s">
        <v>15</v>
      </c>
      <c r="D93" s="170">
        <v>500</v>
      </c>
      <c r="E93" s="270">
        <f t="shared" si="3"/>
        <v>500</v>
      </c>
      <c r="F93" s="34">
        <v>0</v>
      </c>
      <c r="G93" s="34">
        <v>0</v>
      </c>
      <c r="H93" s="27"/>
      <c r="I93" s="94" t="s">
        <v>312</v>
      </c>
      <c r="J93" s="93">
        <v>1200</v>
      </c>
      <c r="K93" s="93">
        <v>3</v>
      </c>
      <c r="L93" s="285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</row>
    <row r="94" spans="1:251" ht="15" customHeight="1">
      <c r="A94" s="135">
        <v>1</v>
      </c>
      <c r="B94" s="152" t="s">
        <v>74</v>
      </c>
      <c r="C94" s="34" t="s">
        <v>15</v>
      </c>
      <c r="D94" s="163">
        <v>1000</v>
      </c>
      <c r="E94" s="190">
        <f t="shared" si="3"/>
        <v>1000</v>
      </c>
      <c r="F94" s="34">
        <v>0</v>
      </c>
      <c r="G94" s="34">
        <v>0</v>
      </c>
      <c r="H94" s="27"/>
      <c r="I94" s="91" t="s">
        <v>311</v>
      </c>
      <c r="J94" s="92">
        <v>1000</v>
      </c>
      <c r="K94" s="92">
        <v>5</v>
      </c>
      <c r="L94" s="285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</row>
    <row r="95" spans="1:251" ht="15" customHeight="1">
      <c r="A95" s="135">
        <v>1</v>
      </c>
      <c r="B95" s="151" t="s">
        <v>75</v>
      </c>
      <c r="C95" s="34" t="s">
        <v>15</v>
      </c>
      <c r="D95" s="163">
        <v>500</v>
      </c>
      <c r="E95" s="190">
        <f t="shared" si="3"/>
        <v>500</v>
      </c>
      <c r="F95" s="34">
        <v>0</v>
      </c>
      <c r="G95" s="34">
        <v>0</v>
      </c>
      <c r="H95" s="27"/>
      <c r="I95" s="91" t="s">
        <v>310</v>
      </c>
      <c r="J95" s="92">
        <v>3000</v>
      </c>
      <c r="K95" s="92">
        <v>1</v>
      </c>
      <c r="L95" s="285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</row>
    <row r="96" spans="1:12" ht="14.25">
      <c r="A96" s="138" t="s">
        <v>12</v>
      </c>
      <c r="B96" s="139"/>
      <c r="C96" s="139"/>
      <c r="D96" s="160"/>
      <c r="E96" s="183">
        <f>SUM(E89:E95)</f>
        <v>4975</v>
      </c>
      <c r="F96" s="18">
        <v>0</v>
      </c>
      <c r="G96" s="18">
        <v>0</v>
      </c>
      <c r="I96" s="91" t="s">
        <v>307</v>
      </c>
      <c r="J96" s="92">
        <v>1500</v>
      </c>
      <c r="K96" s="92">
        <v>1</v>
      </c>
      <c r="L96" s="285"/>
    </row>
    <row r="97" spans="1:12" ht="15" thickBot="1">
      <c r="A97" s="147"/>
      <c r="B97" s="153"/>
      <c r="C97" s="41"/>
      <c r="D97" s="158"/>
      <c r="E97" s="188"/>
      <c r="F97" s="5">
        <v>0</v>
      </c>
      <c r="G97" s="32">
        <v>0</v>
      </c>
      <c r="I97" s="91" t="s">
        <v>308</v>
      </c>
      <c r="J97" s="92">
        <v>1200</v>
      </c>
      <c r="K97" s="92">
        <v>5</v>
      </c>
      <c r="L97" s="285"/>
    </row>
    <row r="98" spans="1:12" ht="15" thickBot="1">
      <c r="A98" s="242" t="s">
        <v>76</v>
      </c>
      <c r="B98" s="242"/>
      <c r="C98" s="242"/>
      <c r="D98" s="243"/>
      <c r="E98" s="244"/>
      <c r="F98" s="22"/>
      <c r="G98" s="23"/>
      <c r="I98" s="91" t="s">
        <v>309</v>
      </c>
      <c r="J98" s="92">
        <v>1200</v>
      </c>
      <c r="K98" s="92">
        <v>1</v>
      </c>
      <c r="L98" s="285"/>
    </row>
    <row r="99" spans="1:12" ht="25.5">
      <c r="A99" s="245" t="s">
        <v>3</v>
      </c>
      <c r="B99" s="246" t="s">
        <v>4</v>
      </c>
      <c r="C99" s="246" t="s">
        <v>5</v>
      </c>
      <c r="D99" s="246" t="s">
        <v>6</v>
      </c>
      <c r="E99" s="246" t="s">
        <v>7</v>
      </c>
      <c r="F99" s="11" t="s">
        <v>8</v>
      </c>
      <c r="G99" s="11" t="s">
        <v>9</v>
      </c>
      <c r="I99" s="91" t="s">
        <v>309</v>
      </c>
      <c r="J99" s="92">
        <v>1200</v>
      </c>
      <c r="K99" s="92">
        <v>5</v>
      </c>
      <c r="L99" s="285"/>
    </row>
    <row r="100" spans="1:12" ht="15" customHeight="1" outlineLevel="1">
      <c r="A100" s="267">
        <v>4</v>
      </c>
      <c r="B100" s="271" t="s">
        <v>314</v>
      </c>
      <c r="C100" s="271" t="s">
        <v>5</v>
      </c>
      <c r="D100" s="272">
        <v>500</v>
      </c>
      <c r="E100" s="273">
        <f>A100*D100</f>
        <v>2000</v>
      </c>
      <c r="F100" s="37">
        <v>0</v>
      </c>
      <c r="G100" s="37">
        <v>0</v>
      </c>
      <c r="H100" s="96" t="e">
        <f>+#REF!+#REF!+F100+G100-E100</f>
        <v>#REF!</v>
      </c>
      <c r="I100" s="92"/>
      <c r="J100" s="92"/>
      <c r="K100" s="95">
        <f>SUM(K92:K99)</f>
        <v>23</v>
      </c>
      <c r="L100" s="286"/>
    </row>
    <row r="101" spans="1:8" ht="15" customHeight="1" outlineLevel="1">
      <c r="A101" s="267">
        <v>5</v>
      </c>
      <c r="B101" s="271" t="s">
        <v>77</v>
      </c>
      <c r="C101" s="271" t="s">
        <v>5</v>
      </c>
      <c r="D101" s="272">
        <v>100</v>
      </c>
      <c r="E101" s="273">
        <f>D101*A101</f>
        <v>500</v>
      </c>
      <c r="F101" s="37">
        <v>0</v>
      </c>
      <c r="G101" s="37">
        <v>0</v>
      </c>
      <c r="H101" s="96" t="e">
        <f>+#REF!+#REF!+F101+G101-E101</f>
        <v>#REF!</v>
      </c>
    </row>
    <row r="102" spans="1:8" ht="15" customHeight="1" outlineLevel="1">
      <c r="A102" s="267">
        <v>2</v>
      </c>
      <c r="B102" s="271" t="s">
        <v>315</v>
      </c>
      <c r="C102" s="271" t="s">
        <v>5</v>
      </c>
      <c r="D102" s="272">
        <v>400</v>
      </c>
      <c r="E102" s="273">
        <f>+D102*A102</f>
        <v>800</v>
      </c>
      <c r="F102" s="37">
        <v>0</v>
      </c>
      <c r="G102" s="37">
        <v>0</v>
      </c>
      <c r="H102" s="96" t="e">
        <f>+#REF!+#REF!+F102+G102-E102</f>
        <v>#REF!</v>
      </c>
    </row>
    <row r="103" spans="1:12" ht="15" customHeight="1" outlineLevel="1">
      <c r="A103" s="267">
        <v>1</v>
      </c>
      <c r="B103" s="271" t="s">
        <v>78</v>
      </c>
      <c r="C103" s="271" t="s">
        <v>5</v>
      </c>
      <c r="D103" s="272">
        <v>1000</v>
      </c>
      <c r="E103" s="273">
        <f>+D103*A103</f>
        <v>1000</v>
      </c>
      <c r="F103" s="37">
        <v>0</v>
      </c>
      <c r="G103" s="37">
        <v>0</v>
      </c>
      <c r="H103" s="96" t="e">
        <f>+#REF!+#REF!+F103+G103-E103</f>
        <v>#REF!</v>
      </c>
      <c r="I103" s="90" t="s">
        <v>305</v>
      </c>
      <c r="J103" s="90">
        <v>2000</v>
      </c>
      <c r="K103" s="90">
        <v>0.86</v>
      </c>
      <c r="L103" s="287"/>
    </row>
    <row r="104" spans="1:12" ht="15" customHeight="1">
      <c r="A104" s="135">
        <v>1</v>
      </c>
      <c r="B104" s="37" t="s">
        <v>79</v>
      </c>
      <c r="C104" s="37" t="s">
        <v>38</v>
      </c>
      <c r="D104" s="165">
        <v>8000</v>
      </c>
      <c r="E104" s="193">
        <f>+D104*A104</f>
        <v>8000</v>
      </c>
      <c r="F104" s="37">
        <v>0</v>
      </c>
      <c r="G104" s="37">
        <v>0</v>
      </c>
      <c r="H104" s="96" t="e">
        <f>+#REF!+#REF!+F104+G104-E104</f>
        <v>#REF!</v>
      </c>
      <c r="I104" s="90" t="s">
        <v>304</v>
      </c>
      <c r="J104" s="90">
        <v>30000</v>
      </c>
      <c r="K104" s="90">
        <v>0.6</v>
      </c>
      <c r="L104" s="287"/>
    </row>
    <row r="105" spans="1:12" ht="15" customHeight="1">
      <c r="A105" s="135">
        <v>1</v>
      </c>
      <c r="B105" s="37" t="s">
        <v>80</v>
      </c>
      <c r="C105" s="37" t="s">
        <v>38</v>
      </c>
      <c r="D105" s="165">
        <v>9000</v>
      </c>
      <c r="E105" s="193">
        <f>D105*A105</f>
        <v>9000</v>
      </c>
      <c r="F105" s="37">
        <v>0</v>
      </c>
      <c r="G105" s="37">
        <v>0</v>
      </c>
      <c r="H105" s="96" t="e">
        <f>+#REF!+#REF!+F105+G105-E105</f>
        <v>#REF!</v>
      </c>
      <c r="I105" s="90" t="s">
        <v>306</v>
      </c>
      <c r="J105" s="90">
        <v>10000</v>
      </c>
      <c r="K105" s="90">
        <v>0.35</v>
      </c>
      <c r="L105" s="287"/>
    </row>
    <row r="106" spans="1:12" ht="14.25">
      <c r="A106" s="316" t="s">
        <v>12</v>
      </c>
      <c r="B106" s="317"/>
      <c r="C106" s="294"/>
      <c r="D106" s="318"/>
      <c r="E106" s="282">
        <f>SUM(E100:E105)</f>
        <v>21300</v>
      </c>
      <c r="F106" s="40">
        <v>0</v>
      </c>
      <c r="G106" s="40">
        <v>0</v>
      </c>
      <c r="H106" s="96" t="e">
        <f>+#REF!+#REF!+F106+G106-E106</f>
        <v>#REF!</v>
      </c>
      <c r="I106" s="90"/>
      <c r="J106" s="90"/>
      <c r="K106" s="90"/>
      <c r="L106" s="288"/>
    </row>
    <row r="107" spans="1:7" ht="14.25">
      <c r="A107" s="306"/>
      <c r="B107" s="307"/>
      <c r="C107" s="299"/>
      <c r="D107" s="308"/>
      <c r="E107" s="309">
        <f>+E106+E96+E85+E57+E52+E30+E8</f>
        <v>895935.76</v>
      </c>
      <c r="F107" s="43">
        <f>+F106+F96+F85+F57+F52+F30+F8</f>
        <v>0</v>
      </c>
      <c r="G107" s="43">
        <f>+G106+G96+G85+G57+G52+G30+G8</f>
        <v>0</v>
      </c>
    </row>
    <row r="108" spans="1:7" ht="14.25">
      <c r="A108" s="310"/>
      <c r="B108" s="293"/>
      <c r="C108" s="291"/>
      <c r="D108" s="311"/>
      <c r="E108" s="292"/>
      <c r="F108" s="43"/>
      <c r="G108" s="43"/>
    </row>
    <row r="109" spans="1:12" s="42" customFormat="1" ht="19.5">
      <c r="A109" s="312" t="s">
        <v>334</v>
      </c>
      <c r="B109" s="313"/>
      <c r="C109" s="313"/>
      <c r="D109" s="314"/>
      <c r="E109" s="315">
        <f>+E115+E121+E126+E134+E147+E153+E159+E165</f>
        <v>64381.65</v>
      </c>
      <c r="I109" s="44" t="e">
        <f>+IF((#REF!+#REF!+G107)=E3,"ok","revisar")</f>
        <v>#REF!</v>
      </c>
      <c r="L109" s="289"/>
    </row>
    <row r="110" spans="1:7" ht="14.25">
      <c r="A110" s="2"/>
      <c r="B110" s="3"/>
      <c r="C110" s="2"/>
      <c r="D110" s="157"/>
      <c r="E110" s="182">
        <v>0</v>
      </c>
      <c r="F110" s="5"/>
      <c r="G110" s="6"/>
    </row>
    <row r="111" spans="1:7" ht="15" thickBot="1">
      <c r="A111" s="242" t="s">
        <v>81</v>
      </c>
      <c r="B111" s="242"/>
      <c r="C111" s="242"/>
      <c r="D111" s="243"/>
      <c r="E111" s="244"/>
      <c r="F111" s="45"/>
      <c r="G111" s="9"/>
    </row>
    <row r="112" spans="1:7" ht="25.5">
      <c r="A112" s="245" t="s">
        <v>3</v>
      </c>
      <c r="B112" s="246" t="s">
        <v>4</v>
      </c>
      <c r="C112" s="246" t="s">
        <v>5</v>
      </c>
      <c r="D112" s="246" t="s">
        <v>6</v>
      </c>
      <c r="E112" s="246" t="s">
        <v>7</v>
      </c>
      <c r="F112" s="11" t="s">
        <v>8</v>
      </c>
      <c r="G112" s="11" t="s">
        <v>9</v>
      </c>
    </row>
    <row r="113" spans="1:12" s="27" customFormat="1" ht="15" customHeight="1" hidden="1">
      <c r="A113" s="134">
        <v>1</v>
      </c>
      <c r="B113" s="149" t="s">
        <v>82</v>
      </c>
      <c r="C113" s="33"/>
      <c r="D113" s="132">
        <v>0</v>
      </c>
      <c r="E113" s="189">
        <f>A113*D113</f>
        <v>0</v>
      </c>
      <c r="F113" s="33">
        <v>0</v>
      </c>
      <c r="G113" s="33">
        <v>0</v>
      </c>
      <c r="L113" s="284"/>
    </row>
    <row r="114" spans="1:12" s="27" customFormat="1" ht="15" customHeight="1">
      <c r="A114" s="135">
        <v>1</v>
      </c>
      <c r="B114" s="150" t="s">
        <v>83</v>
      </c>
      <c r="C114" s="34"/>
      <c r="D114" s="163">
        <v>1000</v>
      </c>
      <c r="E114" s="190">
        <f>A114*D114</f>
        <v>1000</v>
      </c>
      <c r="F114" s="34">
        <v>0</v>
      </c>
      <c r="G114" s="34">
        <v>0</v>
      </c>
      <c r="L114" s="284"/>
    </row>
    <row r="115" spans="1:7" ht="14.25">
      <c r="A115" s="46" t="s">
        <v>12</v>
      </c>
      <c r="B115" s="47"/>
      <c r="C115" s="38"/>
      <c r="D115" s="166"/>
      <c r="E115" s="194">
        <f>SUM(E113:E114)</f>
        <v>1000</v>
      </c>
      <c r="F115" s="48">
        <v>0</v>
      </c>
      <c r="G115" s="48">
        <v>0</v>
      </c>
    </row>
    <row r="116" spans="1:7" ht="14.25">
      <c r="A116" s="49"/>
      <c r="B116" s="50"/>
      <c r="C116" s="51"/>
      <c r="D116" s="167"/>
      <c r="E116" s="194"/>
      <c r="F116" s="50"/>
      <c r="G116" s="39"/>
    </row>
    <row r="117" spans="1:7" ht="15" outlineLevel="1" thickBot="1">
      <c r="A117" s="242" t="s">
        <v>84</v>
      </c>
      <c r="B117" s="242"/>
      <c r="C117" s="242"/>
      <c r="D117" s="243"/>
      <c r="E117" s="244"/>
      <c r="F117" s="45"/>
      <c r="G117" s="9"/>
    </row>
    <row r="118" spans="1:13" ht="25.5" outlineLevel="1">
      <c r="A118" s="245" t="s">
        <v>3</v>
      </c>
      <c r="B118" s="246" t="s">
        <v>4</v>
      </c>
      <c r="C118" s="246" t="s">
        <v>5</v>
      </c>
      <c r="D118" s="246" t="s">
        <v>6</v>
      </c>
      <c r="E118" s="246" t="s">
        <v>7</v>
      </c>
      <c r="F118" s="11" t="s">
        <v>8</v>
      </c>
      <c r="G118" s="11" t="s">
        <v>9</v>
      </c>
      <c r="L118" s="502"/>
      <c r="M118" s="502"/>
    </row>
    <row r="119" spans="1:13" s="27" customFormat="1" ht="15" customHeight="1" outlineLevel="1">
      <c r="A119" s="267">
        <v>1</v>
      </c>
      <c r="B119" s="276" t="s">
        <v>85</v>
      </c>
      <c r="C119" s="269" t="s">
        <v>15</v>
      </c>
      <c r="D119" s="170">
        <v>800</v>
      </c>
      <c r="E119" s="270">
        <f>D119*A119</f>
        <v>800</v>
      </c>
      <c r="F119" s="274">
        <v>0</v>
      </c>
      <c r="G119" s="269">
        <v>0</v>
      </c>
      <c r="H119" s="275"/>
      <c r="I119" s="275"/>
      <c r="J119" s="275"/>
      <c r="K119" s="275"/>
      <c r="L119" s="503"/>
      <c r="M119" s="503"/>
    </row>
    <row r="120" spans="1:13" s="27" customFormat="1" ht="15" customHeight="1" outlineLevel="1">
      <c r="A120" s="267">
        <v>1</v>
      </c>
      <c r="B120" s="276" t="s">
        <v>86</v>
      </c>
      <c r="C120" s="269" t="s">
        <v>15</v>
      </c>
      <c r="D120" s="170">
        <v>1500</v>
      </c>
      <c r="E120" s="270">
        <f>D120*A120</f>
        <v>1500</v>
      </c>
      <c r="F120" s="274">
        <v>0</v>
      </c>
      <c r="G120" s="269">
        <v>0</v>
      </c>
      <c r="H120" s="275"/>
      <c r="I120" s="275"/>
      <c r="J120" s="275"/>
      <c r="K120" s="275"/>
      <c r="L120" s="503"/>
      <c r="M120" s="503"/>
    </row>
    <row r="121" spans="1:13" ht="14.25" outlineLevel="1">
      <c r="A121" s="15" t="s">
        <v>12</v>
      </c>
      <c r="B121" s="16"/>
      <c r="C121" s="16"/>
      <c r="D121" s="168"/>
      <c r="E121" s="183">
        <f>SUM(E119:E120)</f>
        <v>2300</v>
      </c>
      <c r="F121" s="18">
        <v>0</v>
      </c>
      <c r="G121" s="18">
        <v>0</v>
      </c>
      <c r="L121" s="502"/>
      <c r="M121" s="502"/>
    </row>
    <row r="122" spans="1:7" ht="15" thickBot="1">
      <c r="A122" s="53"/>
      <c r="B122" s="4"/>
      <c r="C122" s="54"/>
      <c r="D122" s="157"/>
      <c r="E122" s="195"/>
      <c r="F122" s="5"/>
      <c r="G122" s="55"/>
    </row>
    <row r="123" spans="1:7" ht="15" outlineLevel="1" thickBot="1">
      <c r="A123" s="178" t="s">
        <v>87</v>
      </c>
      <c r="B123" s="179"/>
      <c r="C123" s="180"/>
      <c r="D123" s="181"/>
      <c r="E123" s="185"/>
      <c r="F123" s="22"/>
      <c r="G123" s="23"/>
    </row>
    <row r="124" spans="1:7" ht="25.5" outlineLevel="1">
      <c r="A124" s="174" t="s">
        <v>3</v>
      </c>
      <c r="B124" s="175" t="s">
        <v>4</v>
      </c>
      <c r="C124" s="175" t="s">
        <v>5</v>
      </c>
      <c r="D124" s="175" t="s">
        <v>6</v>
      </c>
      <c r="E124" s="175" t="s">
        <v>7</v>
      </c>
      <c r="F124" s="11" t="s">
        <v>8</v>
      </c>
      <c r="G124" s="11" t="s">
        <v>9</v>
      </c>
    </row>
    <row r="125" spans="1:12" s="27" customFormat="1" ht="15" customHeight="1" outlineLevel="1">
      <c r="A125" s="255">
        <v>1</v>
      </c>
      <c r="B125" s="261" t="s">
        <v>88</v>
      </c>
      <c r="C125" s="257" t="s">
        <v>15</v>
      </c>
      <c r="D125" s="277">
        <v>1500</v>
      </c>
      <c r="E125" s="278">
        <f>D125*A125</f>
        <v>1500</v>
      </c>
      <c r="F125" s="279">
        <v>0</v>
      </c>
      <c r="G125" s="279">
        <v>0</v>
      </c>
      <c r="H125" s="275"/>
      <c r="I125" s="275"/>
      <c r="J125" s="275"/>
      <c r="K125" s="275"/>
      <c r="L125" s="284"/>
    </row>
    <row r="126" spans="1:7" ht="14.25" outlineLevel="1">
      <c r="A126" s="15" t="s">
        <v>12</v>
      </c>
      <c r="B126" s="16"/>
      <c r="C126" s="16"/>
      <c r="D126" s="168"/>
      <c r="E126" s="183">
        <f>SUM(E125:E125)</f>
        <v>1500</v>
      </c>
      <c r="F126" s="16">
        <v>0</v>
      </c>
      <c r="G126" s="17">
        <v>0</v>
      </c>
    </row>
    <row r="127" spans="1:7" ht="14.25">
      <c r="A127" s="49"/>
      <c r="B127" s="50"/>
      <c r="C127" s="51"/>
      <c r="D127" s="167"/>
      <c r="E127" s="190"/>
      <c r="F127" s="50">
        <v>0</v>
      </c>
      <c r="G127" s="52"/>
    </row>
    <row r="128" spans="1:7" ht="15" thickBot="1">
      <c r="A128" s="242" t="s">
        <v>356</v>
      </c>
      <c r="B128" s="242"/>
      <c r="C128" s="242"/>
      <c r="D128" s="243"/>
      <c r="E128" s="244"/>
      <c r="F128" s="45"/>
      <c r="G128" s="9"/>
    </row>
    <row r="129" spans="1:7" ht="25.5">
      <c r="A129" s="245" t="s">
        <v>3</v>
      </c>
      <c r="B129" s="246" t="s">
        <v>4</v>
      </c>
      <c r="C129" s="246" t="s">
        <v>5</v>
      </c>
      <c r="D129" s="246" t="s">
        <v>6</v>
      </c>
      <c r="E129" s="246" t="s">
        <v>7</v>
      </c>
      <c r="F129" s="11" t="s">
        <v>8</v>
      </c>
      <c r="G129" s="11" t="s">
        <v>9</v>
      </c>
    </row>
    <row r="130" spans="1:12" s="27" customFormat="1" ht="25.5" customHeight="1">
      <c r="A130" s="133">
        <v>1</v>
      </c>
      <c r="B130" s="13" t="s">
        <v>89</v>
      </c>
      <c r="C130" s="14" t="s">
        <v>38</v>
      </c>
      <c r="D130" s="129">
        <v>1000</v>
      </c>
      <c r="E130" s="26">
        <f>+D130*A130</f>
        <v>1000</v>
      </c>
      <c r="F130" s="14">
        <v>0</v>
      </c>
      <c r="G130" s="14">
        <v>0</v>
      </c>
      <c r="L130" s="284"/>
    </row>
    <row r="131" spans="1:12" s="27" customFormat="1" ht="25.5" outlineLevel="1">
      <c r="A131" s="255">
        <v>1</v>
      </c>
      <c r="B131" s="256" t="s">
        <v>90</v>
      </c>
      <c r="C131" s="257" t="s">
        <v>38</v>
      </c>
      <c r="D131" s="260">
        <f>+D42*0.05</f>
        <v>900</v>
      </c>
      <c r="E131" s="261">
        <f>+D131*A131</f>
        <v>900</v>
      </c>
      <c r="F131" s="257">
        <v>0</v>
      </c>
      <c r="G131" s="257">
        <v>0</v>
      </c>
      <c r="H131" s="275"/>
      <c r="I131" s="275"/>
      <c r="J131" s="275"/>
      <c r="K131" s="275"/>
      <c r="L131" s="284"/>
    </row>
    <row r="132" spans="1:12" s="27" customFormat="1" ht="25.5" outlineLevel="1">
      <c r="A132" s="255">
        <v>1</v>
      </c>
      <c r="B132" s="256" t="s">
        <v>91</v>
      </c>
      <c r="C132" s="257" t="s">
        <v>5</v>
      </c>
      <c r="D132" s="260">
        <v>420</v>
      </c>
      <c r="E132" s="261">
        <f>+D132*A132</f>
        <v>420</v>
      </c>
      <c r="F132" s="257">
        <v>0</v>
      </c>
      <c r="G132" s="257">
        <v>0</v>
      </c>
      <c r="H132" s="275"/>
      <c r="I132" s="275"/>
      <c r="J132" s="275"/>
      <c r="K132" s="275"/>
      <c r="L132" s="284"/>
    </row>
    <row r="133" spans="1:12" s="27" customFormat="1" ht="15" customHeight="1">
      <c r="A133" s="133">
        <v>1</v>
      </c>
      <c r="B133" s="13" t="s">
        <v>92</v>
      </c>
      <c r="C133" s="14" t="s">
        <v>38</v>
      </c>
      <c r="D133" s="129">
        <v>150</v>
      </c>
      <c r="E133" s="26">
        <f>+D133*A133</f>
        <v>150</v>
      </c>
      <c r="F133" s="14">
        <v>0</v>
      </c>
      <c r="G133" s="14">
        <v>0</v>
      </c>
      <c r="L133" s="284"/>
    </row>
    <row r="134" spans="1:7" ht="14.25">
      <c r="A134" s="15" t="s">
        <v>12</v>
      </c>
      <c r="B134" s="16"/>
      <c r="C134" s="16"/>
      <c r="D134" s="168"/>
      <c r="E134" s="191">
        <f>SUM(E130:E133)</f>
        <v>2470</v>
      </c>
      <c r="F134" s="18">
        <v>0</v>
      </c>
      <c r="G134" s="18">
        <v>0</v>
      </c>
    </row>
    <row r="135" spans="1:7" ht="14.25" customHeight="1" thickBot="1">
      <c r="A135" s="57"/>
      <c r="B135" s="58"/>
      <c r="C135" s="57"/>
      <c r="D135" s="169"/>
      <c r="E135" s="196"/>
      <c r="F135" s="57"/>
      <c r="G135" s="57"/>
    </row>
    <row r="136" spans="1:7" ht="15" thickBot="1">
      <c r="A136" s="242" t="s">
        <v>357</v>
      </c>
      <c r="B136" s="242"/>
      <c r="C136" s="242"/>
      <c r="D136" s="243"/>
      <c r="E136" s="244"/>
      <c r="F136" s="22"/>
      <c r="G136" s="23"/>
    </row>
    <row r="137" spans="1:7" ht="25.5">
      <c r="A137" s="245" t="s">
        <v>3</v>
      </c>
      <c r="B137" s="246" t="s">
        <v>4</v>
      </c>
      <c r="C137" s="246" t="s">
        <v>5</v>
      </c>
      <c r="D137" s="246" t="s">
        <v>6</v>
      </c>
      <c r="E137" s="246" t="s">
        <v>7</v>
      </c>
      <c r="F137" s="11" t="s">
        <v>8</v>
      </c>
      <c r="G137" s="11" t="s">
        <v>9</v>
      </c>
    </row>
    <row r="138" spans="1:12" s="27" customFormat="1" ht="15.75" customHeight="1">
      <c r="A138" s="133">
        <v>1</v>
      </c>
      <c r="B138" s="13" t="s">
        <v>37</v>
      </c>
      <c r="C138" s="14" t="s">
        <v>38</v>
      </c>
      <c r="D138" s="129">
        <v>500</v>
      </c>
      <c r="E138" s="26">
        <f>D138*A138</f>
        <v>500</v>
      </c>
      <c r="F138" s="14">
        <v>0</v>
      </c>
      <c r="G138" s="14">
        <v>0</v>
      </c>
      <c r="L138" s="284"/>
    </row>
    <row r="139" spans="1:12" s="27" customFormat="1" ht="22.5" customHeight="1" hidden="1">
      <c r="A139" s="255">
        <v>1</v>
      </c>
      <c r="B139" s="256" t="s">
        <v>39</v>
      </c>
      <c r="C139" s="257" t="s">
        <v>38</v>
      </c>
      <c r="D139" s="260">
        <f>D42*0.02</f>
        <v>360</v>
      </c>
      <c r="E139" s="26">
        <f aca="true" t="shared" si="4" ref="E139:E146">D139*A139</f>
        <v>360</v>
      </c>
      <c r="F139" s="257">
        <v>0</v>
      </c>
      <c r="G139" s="257">
        <v>0</v>
      </c>
      <c r="H139" s="275"/>
      <c r="I139" s="275"/>
      <c r="J139" s="275"/>
      <c r="K139" s="275"/>
      <c r="L139" s="284"/>
    </row>
    <row r="140" spans="1:12" s="27" customFormat="1" ht="15" customHeight="1">
      <c r="A140" s="133">
        <v>1</v>
      </c>
      <c r="B140" s="237" t="s">
        <v>40</v>
      </c>
      <c r="C140" s="14" t="s">
        <v>5</v>
      </c>
      <c r="D140" s="129">
        <f>+D43*0.03</f>
        <v>23.55</v>
      </c>
      <c r="E140" s="26">
        <f t="shared" si="4"/>
        <v>23.55</v>
      </c>
      <c r="F140" s="14">
        <v>0</v>
      </c>
      <c r="G140" s="14">
        <v>0</v>
      </c>
      <c r="L140" s="284"/>
    </row>
    <row r="141" spans="1:12" s="27" customFormat="1" ht="15" customHeight="1">
      <c r="A141" s="133">
        <v>1</v>
      </c>
      <c r="B141" s="13" t="s">
        <v>41</v>
      </c>
      <c r="C141" s="14" t="s">
        <v>5</v>
      </c>
      <c r="D141" s="129">
        <f>+D44*0.02</f>
        <v>22</v>
      </c>
      <c r="E141" s="26">
        <f t="shared" si="4"/>
        <v>22</v>
      </c>
      <c r="F141" s="14">
        <v>0</v>
      </c>
      <c r="G141" s="14">
        <v>0</v>
      </c>
      <c r="L141" s="284"/>
    </row>
    <row r="142" spans="1:12" s="27" customFormat="1" ht="15" customHeight="1">
      <c r="A142" s="133">
        <v>1</v>
      </c>
      <c r="B142" s="13" t="s">
        <v>42</v>
      </c>
      <c r="C142" s="14" t="s">
        <v>5</v>
      </c>
      <c r="D142" s="129">
        <f>+D45*0.05</f>
        <v>260</v>
      </c>
      <c r="E142" s="26">
        <f t="shared" si="4"/>
        <v>260</v>
      </c>
      <c r="F142" s="14">
        <v>0</v>
      </c>
      <c r="G142" s="14">
        <v>0</v>
      </c>
      <c r="L142" s="284"/>
    </row>
    <row r="143" spans="1:251" s="27" customFormat="1" ht="25.5">
      <c r="A143" s="133">
        <v>1</v>
      </c>
      <c r="B143" s="28" t="s">
        <v>48</v>
      </c>
      <c r="C143" s="14" t="s">
        <v>5</v>
      </c>
      <c r="D143" s="129">
        <f>+D51*0.03</f>
        <v>27.599999999999998</v>
      </c>
      <c r="E143" s="26">
        <f t="shared" si="4"/>
        <v>27.599999999999998</v>
      </c>
      <c r="F143" s="14">
        <v>0</v>
      </c>
      <c r="G143" s="14">
        <v>0</v>
      </c>
      <c r="I143" s="24"/>
      <c r="K143" s="24"/>
      <c r="L143" s="284"/>
      <c r="M143" s="24"/>
      <c r="O143" s="24"/>
      <c r="Q143" s="24"/>
      <c r="S143" s="24"/>
      <c r="U143" s="24"/>
      <c r="W143" s="24"/>
      <c r="Y143" s="24"/>
      <c r="AA143" s="24"/>
      <c r="AC143" s="24"/>
      <c r="AE143" s="24"/>
      <c r="AG143" s="24"/>
      <c r="AI143" s="24"/>
      <c r="AK143" s="24"/>
      <c r="AM143" s="24"/>
      <c r="AO143" s="24"/>
      <c r="AQ143" s="24"/>
      <c r="AS143" s="24"/>
      <c r="AU143" s="24"/>
      <c r="AW143" s="24"/>
      <c r="AY143" s="24"/>
      <c r="BA143" s="24"/>
      <c r="BC143" s="24"/>
      <c r="BE143" s="24"/>
      <c r="BG143" s="24"/>
      <c r="BI143" s="24"/>
      <c r="BK143" s="24"/>
      <c r="BM143" s="24"/>
      <c r="BO143" s="24"/>
      <c r="BQ143" s="24"/>
      <c r="BS143" s="24"/>
      <c r="BU143" s="24"/>
      <c r="BW143" s="24"/>
      <c r="BY143" s="24"/>
      <c r="CA143" s="24"/>
      <c r="CC143" s="24"/>
      <c r="CE143" s="24"/>
      <c r="CG143" s="24"/>
      <c r="CI143" s="24"/>
      <c r="CK143" s="24"/>
      <c r="CM143" s="24"/>
      <c r="CO143" s="24"/>
      <c r="CQ143" s="24"/>
      <c r="CS143" s="24"/>
      <c r="CU143" s="24"/>
      <c r="CW143" s="24"/>
      <c r="CY143" s="24"/>
      <c r="DA143" s="24"/>
      <c r="DC143" s="24"/>
      <c r="DE143" s="24"/>
      <c r="DG143" s="24"/>
      <c r="DI143" s="24"/>
      <c r="DK143" s="24"/>
      <c r="DM143" s="24"/>
      <c r="DO143" s="24"/>
      <c r="DQ143" s="24"/>
      <c r="DS143" s="24"/>
      <c r="DU143" s="24"/>
      <c r="DW143" s="24"/>
      <c r="DY143" s="24"/>
      <c r="EA143" s="24"/>
      <c r="EC143" s="24"/>
      <c r="EE143" s="24"/>
      <c r="EG143" s="24"/>
      <c r="EI143" s="24"/>
      <c r="EK143" s="24"/>
      <c r="EM143" s="24"/>
      <c r="EO143" s="24"/>
      <c r="EQ143" s="24"/>
      <c r="ES143" s="24"/>
      <c r="EU143" s="24"/>
      <c r="EW143" s="24"/>
      <c r="EY143" s="24"/>
      <c r="FA143" s="24"/>
      <c r="FC143" s="24"/>
      <c r="FE143" s="24"/>
      <c r="FG143" s="24"/>
      <c r="FI143" s="24"/>
      <c r="FK143" s="24"/>
      <c r="FM143" s="24"/>
      <c r="FO143" s="24"/>
      <c r="FQ143" s="24"/>
      <c r="FS143" s="24"/>
      <c r="FU143" s="24"/>
      <c r="FW143" s="24"/>
      <c r="FY143" s="24"/>
      <c r="GA143" s="24"/>
      <c r="GC143" s="24"/>
      <c r="GE143" s="24"/>
      <c r="GG143" s="24"/>
      <c r="GI143" s="24"/>
      <c r="GK143" s="24"/>
      <c r="GM143" s="24"/>
      <c r="GO143" s="24"/>
      <c r="GQ143" s="24"/>
      <c r="GS143" s="24"/>
      <c r="GU143" s="24"/>
      <c r="GW143" s="24"/>
      <c r="GY143" s="24"/>
      <c r="HA143" s="24"/>
      <c r="HC143" s="24"/>
      <c r="HE143" s="24"/>
      <c r="HG143" s="24"/>
      <c r="HI143" s="24"/>
      <c r="HK143" s="24"/>
      <c r="HM143" s="24"/>
      <c r="HO143" s="24"/>
      <c r="HQ143" s="24"/>
      <c r="HS143" s="24"/>
      <c r="HU143" s="24"/>
      <c r="HW143" s="24"/>
      <c r="HY143" s="24"/>
      <c r="IA143" s="24"/>
      <c r="IC143" s="24"/>
      <c r="IE143" s="24"/>
      <c r="IG143" s="24"/>
      <c r="II143" s="24"/>
      <c r="IK143" s="24"/>
      <c r="IM143" s="24"/>
      <c r="IO143" s="24"/>
      <c r="IQ143" s="24"/>
    </row>
    <row r="144" spans="1:12" s="27" customFormat="1" ht="12.75">
      <c r="A144" s="133">
        <v>1</v>
      </c>
      <c r="B144" s="13" t="s">
        <v>93</v>
      </c>
      <c r="C144" s="14" t="s">
        <v>15</v>
      </c>
      <c r="D144" s="128">
        <v>500</v>
      </c>
      <c r="E144" s="26">
        <f t="shared" si="4"/>
        <v>500</v>
      </c>
      <c r="F144" s="25">
        <v>0</v>
      </c>
      <c r="G144" s="14">
        <v>0</v>
      </c>
      <c r="L144" s="284"/>
    </row>
    <row r="145" spans="1:12" s="27" customFormat="1" ht="15" customHeight="1">
      <c r="A145" s="133">
        <v>1</v>
      </c>
      <c r="B145" s="13" t="s">
        <v>94</v>
      </c>
      <c r="C145" s="14" t="s">
        <v>15</v>
      </c>
      <c r="D145" s="128">
        <v>389</v>
      </c>
      <c r="E145" s="26">
        <f t="shared" si="4"/>
        <v>389</v>
      </c>
      <c r="F145" s="25">
        <v>0</v>
      </c>
      <c r="G145" s="14">
        <v>0</v>
      </c>
      <c r="L145" s="284"/>
    </row>
    <row r="146" spans="1:12" s="27" customFormat="1" ht="15" customHeight="1">
      <c r="A146" s="133">
        <v>1</v>
      </c>
      <c r="B146" s="13" t="s">
        <v>95</v>
      </c>
      <c r="C146" s="14" t="s">
        <v>15</v>
      </c>
      <c r="D146" s="128">
        <v>455</v>
      </c>
      <c r="E146" s="26">
        <f t="shared" si="4"/>
        <v>455</v>
      </c>
      <c r="F146" s="25">
        <v>0</v>
      </c>
      <c r="G146" s="14">
        <v>0</v>
      </c>
      <c r="L146" s="284"/>
    </row>
    <row r="147" spans="1:7" ht="14.25">
      <c r="A147" s="15" t="s">
        <v>12</v>
      </c>
      <c r="B147" s="29"/>
      <c r="C147" s="16"/>
      <c r="D147" s="168"/>
      <c r="E147" s="191">
        <f>SUM(E138:E146)</f>
        <v>2537.1499999999996</v>
      </c>
      <c r="F147" s="18">
        <v>0</v>
      </c>
      <c r="G147" s="18">
        <v>0</v>
      </c>
    </row>
    <row r="148" spans="1:7" ht="15" thickBot="1">
      <c r="A148" s="53"/>
      <c r="B148" s="4"/>
      <c r="C148" s="54"/>
      <c r="D148" s="157"/>
      <c r="E148" s="195"/>
      <c r="F148" s="5"/>
      <c r="G148" s="55"/>
    </row>
    <row r="149" spans="1:7" ht="15" outlineLevel="1" thickBot="1">
      <c r="A149" s="178" t="s">
        <v>96</v>
      </c>
      <c r="B149" s="179"/>
      <c r="C149" s="180"/>
      <c r="D149" s="181"/>
      <c r="E149" s="185"/>
      <c r="F149" s="22"/>
      <c r="G149" s="23"/>
    </row>
    <row r="150" spans="1:7" ht="25.5" outlineLevel="1">
      <c r="A150" s="174" t="s">
        <v>3</v>
      </c>
      <c r="B150" s="175" t="s">
        <v>4</v>
      </c>
      <c r="C150" s="175" t="s">
        <v>5</v>
      </c>
      <c r="D150" s="175" t="s">
        <v>6</v>
      </c>
      <c r="E150" s="175" t="s">
        <v>7</v>
      </c>
      <c r="F150" s="11" t="s">
        <v>8</v>
      </c>
      <c r="G150" s="11" t="s">
        <v>9</v>
      </c>
    </row>
    <row r="151" spans="1:12" s="27" customFormat="1" ht="15" customHeight="1" outlineLevel="1">
      <c r="A151" s="255">
        <v>1</v>
      </c>
      <c r="B151" s="261" t="s">
        <v>97</v>
      </c>
      <c r="C151" s="257" t="s">
        <v>15</v>
      </c>
      <c r="D151" s="260">
        <v>220</v>
      </c>
      <c r="E151" s="261">
        <f>D151*A151</f>
        <v>220</v>
      </c>
      <c r="F151" s="257">
        <v>0</v>
      </c>
      <c r="G151" s="257">
        <v>0</v>
      </c>
      <c r="H151" s="275"/>
      <c r="I151" s="275"/>
      <c r="J151" s="275"/>
      <c r="K151" s="275"/>
      <c r="L151" s="284"/>
    </row>
    <row r="152" spans="1:12" s="27" customFormat="1" ht="15" customHeight="1" outlineLevel="1">
      <c r="A152" s="255">
        <v>1</v>
      </c>
      <c r="B152" s="261" t="s">
        <v>98</v>
      </c>
      <c r="C152" s="257" t="s">
        <v>15</v>
      </c>
      <c r="D152" s="260">
        <v>425</v>
      </c>
      <c r="E152" s="261">
        <f>D152*A152</f>
        <v>425</v>
      </c>
      <c r="F152" s="257">
        <v>0</v>
      </c>
      <c r="G152" s="257">
        <v>0</v>
      </c>
      <c r="H152" s="275"/>
      <c r="I152" s="275"/>
      <c r="J152" s="275"/>
      <c r="K152" s="275"/>
      <c r="L152" s="284"/>
    </row>
    <row r="153" spans="1:7" ht="14.25" outlineLevel="1">
      <c r="A153" s="15" t="s">
        <v>12</v>
      </c>
      <c r="B153" s="16"/>
      <c r="C153" s="16"/>
      <c r="D153" s="168"/>
      <c r="E153" s="191">
        <f>SUM(E151:E152)</f>
        <v>645</v>
      </c>
      <c r="F153" s="18">
        <v>0</v>
      </c>
      <c r="G153" s="18">
        <v>0</v>
      </c>
    </row>
    <row r="154" spans="1:7" ht="15" thickBot="1">
      <c r="A154" s="53"/>
      <c r="B154" s="4"/>
      <c r="C154" s="54"/>
      <c r="D154" s="157"/>
      <c r="E154" s="195"/>
      <c r="F154" s="5"/>
      <c r="G154" s="55"/>
    </row>
    <row r="155" spans="1:7" ht="15" outlineLevel="1" thickBot="1">
      <c r="A155" s="242" t="s">
        <v>358</v>
      </c>
      <c r="B155" s="242"/>
      <c r="C155" s="242"/>
      <c r="D155" s="243"/>
      <c r="E155" s="244"/>
      <c r="F155" s="22"/>
      <c r="G155" s="23"/>
    </row>
    <row r="156" spans="1:7" ht="25.5" outlineLevel="1">
      <c r="A156" s="245" t="s">
        <v>3</v>
      </c>
      <c r="B156" s="246" t="s">
        <v>4</v>
      </c>
      <c r="C156" s="246" t="s">
        <v>5</v>
      </c>
      <c r="D156" s="246" t="s">
        <v>6</v>
      </c>
      <c r="E156" s="246" t="s">
        <v>7</v>
      </c>
      <c r="F156" s="11" t="s">
        <v>8</v>
      </c>
      <c r="G156" s="11" t="s">
        <v>9</v>
      </c>
    </row>
    <row r="157" spans="1:12" s="27" customFormat="1" ht="15" customHeight="1" outlineLevel="1">
      <c r="A157" s="262">
        <v>1</v>
      </c>
      <c r="B157" s="268" t="s">
        <v>99</v>
      </c>
      <c r="C157" s="269" t="s">
        <v>15</v>
      </c>
      <c r="D157" s="170">
        <v>500</v>
      </c>
      <c r="E157" s="266">
        <f>D157*A157</f>
        <v>500</v>
      </c>
      <c r="F157" s="269">
        <v>0</v>
      </c>
      <c r="G157" s="264">
        <v>0</v>
      </c>
      <c r="H157" s="275"/>
      <c r="I157" s="275"/>
      <c r="J157" s="275"/>
      <c r="K157" s="275"/>
      <c r="L157" s="284"/>
    </row>
    <row r="158" spans="1:12" s="27" customFormat="1" ht="15" customHeight="1" outlineLevel="1">
      <c r="A158" s="262">
        <v>1</v>
      </c>
      <c r="B158" s="268" t="s">
        <v>100</v>
      </c>
      <c r="C158" s="269" t="s">
        <v>15</v>
      </c>
      <c r="D158" s="170">
        <v>500</v>
      </c>
      <c r="E158" s="266">
        <f>D158*A158</f>
        <v>500</v>
      </c>
      <c r="F158" s="269">
        <v>0</v>
      </c>
      <c r="G158" s="264">
        <v>0</v>
      </c>
      <c r="H158" s="275"/>
      <c r="I158" s="275"/>
      <c r="J158" s="275"/>
      <c r="K158" s="275"/>
      <c r="L158" s="284"/>
    </row>
    <row r="159" spans="1:7" ht="14.25" outlineLevel="1">
      <c r="A159" s="15" t="s">
        <v>12</v>
      </c>
      <c r="B159" s="16"/>
      <c r="C159" s="16"/>
      <c r="D159" s="168"/>
      <c r="E159" s="191">
        <f>SUM(E157:E158)</f>
        <v>1000</v>
      </c>
      <c r="F159" s="18">
        <v>0</v>
      </c>
      <c r="G159" s="18">
        <v>0</v>
      </c>
    </row>
    <row r="160" spans="1:7" ht="15" thickBot="1">
      <c r="A160" s="19"/>
      <c r="B160" s="20"/>
      <c r="C160" s="20"/>
      <c r="D160" s="161"/>
      <c r="E160" s="197"/>
      <c r="F160" s="20"/>
      <c r="G160" s="59"/>
    </row>
    <row r="161" spans="1:7" ht="15" thickBot="1">
      <c r="A161" s="703" t="s">
        <v>359</v>
      </c>
      <c r="B161" s="703"/>
      <c r="C161" s="703"/>
      <c r="D161" s="704"/>
      <c r="E161" s="705"/>
      <c r="F161" s="22"/>
      <c r="G161" s="23"/>
    </row>
    <row r="162" spans="1:7" ht="25.5">
      <c r="A162" s="707" t="s">
        <v>3</v>
      </c>
      <c r="B162" s="707" t="s">
        <v>4</v>
      </c>
      <c r="C162" s="707" t="s">
        <v>5</v>
      </c>
      <c r="D162" s="707" t="s">
        <v>6</v>
      </c>
      <c r="E162" s="707" t="s">
        <v>7</v>
      </c>
      <c r="F162" s="11" t="s">
        <v>8</v>
      </c>
      <c r="G162" s="11" t="s">
        <v>9</v>
      </c>
    </row>
    <row r="163" spans="1:12" s="27" customFormat="1" ht="25.5">
      <c r="A163" s="708">
        <v>6</v>
      </c>
      <c r="B163" s="781" t="s">
        <v>102</v>
      </c>
      <c r="C163" s="782" t="s">
        <v>101</v>
      </c>
      <c r="D163" s="783">
        <f>'[1]Sheet1'!$K$11-'[1]Sheet1'!$K$7-'[1]Sheet1'!$K$8</f>
        <v>3176.2499999999995</v>
      </c>
      <c r="E163" s="737">
        <f>A163*D163</f>
        <v>19057.499999999996</v>
      </c>
      <c r="F163" s="34">
        <v>0</v>
      </c>
      <c r="G163" s="33">
        <v>0</v>
      </c>
      <c r="L163" s="284"/>
    </row>
    <row r="164" spans="1:12" s="27" customFormat="1" ht="12.75">
      <c r="A164" s="708">
        <v>2</v>
      </c>
      <c r="B164" s="781" t="s">
        <v>536</v>
      </c>
      <c r="C164" s="782" t="s">
        <v>101</v>
      </c>
      <c r="D164" s="783">
        <f>'PUBLICIDAD ANTES-POST'!F26+'PUBLICIDAD ANTES-POST'!H65</f>
        <v>33872</v>
      </c>
      <c r="E164" s="737">
        <f>D164</f>
        <v>33872</v>
      </c>
      <c r="F164" s="34"/>
      <c r="G164" s="33"/>
      <c r="L164" s="284"/>
    </row>
    <row r="165" spans="1:7" ht="14.25">
      <c r="A165" s="784" t="s">
        <v>12</v>
      </c>
      <c r="B165" s="785"/>
      <c r="C165" s="785"/>
      <c r="D165" s="786"/>
      <c r="E165" s="752">
        <f>SUM(E163:E164)</f>
        <v>52929.5</v>
      </c>
      <c r="F165" s="17">
        <v>0</v>
      </c>
      <c r="G165" s="17">
        <v>0</v>
      </c>
    </row>
    <row r="166" spans="1:7" ht="14.25">
      <c r="A166" s="60"/>
      <c r="B166" s="5"/>
      <c r="C166" s="31"/>
      <c r="D166" s="157"/>
      <c r="E166" s="182"/>
      <c r="F166" s="43">
        <f>+F159+F153+F147+F134+F126+F121+F115</f>
        <v>0</v>
      </c>
      <c r="G166" s="43">
        <f>+G159+G153+G147+G134+G126+G121+G115</f>
        <v>0</v>
      </c>
    </row>
    <row r="167" spans="1:7" ht="14.25">
      <c r="A167" s="60"/>
      <c r="B167" s="5"/>
      <c r="C167" s="31"/>
      <c r="D167" s="157"/>
      <c r="E167" s="182"/>
      <c r="F167" s="43"/>
      <c r="G167" s="43"/>
    </row>
    <row r="168" spans="1:7" ht="14.25">
      <c r="A168" s="30"/>
      <c r="B168" s="3"/>
      <c r="C168" s="2"/>
      <c r="D168" s="157"/>
      <c r="E168" s="182"/>
      <c r="F168" s="5"/>
      <c r="G168" s="6"/>
    </row>
    <row r="169" spans="1:9" ht="19.5">
      <c r="A169" s="136" t="s">
        <v>335</v>
      </c>
      <c r="B169" s="137"/>
      <c r="C169" s="137"/>
      <c r="D169" s="171"/>
      <c r="E169" s="247">
        <f>+E174</f>
        <v>65255.032999999996</v>
      </c>
      <c r="I169" s="61" t="e">
        <f>+IF((#REF!+#REF!+G166)=E109,"ok","revisar")</f>
        <v>#REF!</v>
      </c>
    </row>
    <row r="170" spans="1:7" ht="14.25">
      <c r="A170" s="49"/>
      <c r="B170" s="62"/>
      <c r="C170" s="63"/>
      <c r="D170" s="157"/>
      <c r="E170" s="182"/>
      <c r="F170" s="5"/>
      <c r="G170" s="6"/>
    </row>
    <row r="171" spans="1:7" ht="14.25">
      <c r="A171" s="242" t="s">
        <v>103</v>
      </c>
      <c r="B171" s="242"/>
      <c r="C171" s="242"/>
      <c r="D171" s="243"/>
      <c r="E171" s="244"/>
      <c r="F171" s="65"/>
      <c r="G171" s="64"/>
    </row>
    <row r="172" spans="1:7" ht="25.5">
      <c r="A172" s="245" t="s">
        <v>3</v>
      </c>
      <c r="B172" s="246" t="s">
        <v>4</v>
      </c>
      <c r="C172" s="246" t="s">
        <v>5</v>
      </c>
      <c r="D172" s="246" t="s">
        <v>6</v>
      </c>
      <c r="E172" s="246" t="s">
        <v>7</v>
      </c>
      <c r="F172" s="11" t="s">
        <v>8</v>
      </c>
      <c r="G172" s="11" t="s">
        <v>9</v>
      </c>
    </row>
    <row r="173" spans="1:12" s="27" customFormat="1" ht="15" customHeight="1">
      <c r="A173" s="135">
        <f>+'CAPITAL DE TRABAJO'!E2</f>
        <v>60</v>
      </c>
      <c r="B173" s="26" t="s">
        <v>104</v>
      </c>
      <c r="C173" s="34" t="s">
        <v>105</v>
      </c>
      <c r="D173" s="296">
        <f>+'CAPITAL DE TRABAJO'!E25/'CAPITAL DE TRABAJO'!E2</f>
        <v>1087.5838833333332</v>
      </c>
      <c r="E173" s="270">
        <f>+D173*A173</f>
        <v>65255.032999999996</v>
      </c>
      <c r="F173" s="52">
        <v>0</v>
      </c>
      <c r="G173" s="52">
        <v>0</v>
      </c>
      <c r="L173" s="284"/>
    </row>
    <row r="174" spans="1:9" ht="14.25">
      <c r="A174" s="15" t="s">
        <v>12</v>
      </c>
      <c r="B174" s="16"/>
      <c r="C174" s="16"/>
      <c r="D174" s="168"/>
      <c r="E174" s="183">
        <f>SUM(E173)</f>
        <v>65255.032999999996</v>
      </c>
      <c r="F174" s="17">
        <v>0</v>
      </c>
      <c r="G174" s="52">
        <v>0</v>
      </c>
      <c r="I174" s="61" t="e">
        <f>+IF((#REF!+#REF!+G174)=E169,"ok","revisar")</f>
        <v>#REF!</v>
      </c>
    </row>
    <row r="175" spans="1:7" ht="14.25">
      <c r="A175" s="66"/>
      <c r="B175" s="56"/>
      <c r="C175" s="38"/>
      <c r="D175" s="166"/>
      <c r="E175" s="190"/>
      <c r="F175" s="47">
        <v>0</v>
      </c>
      <c r="G175" s="52">
        <v>0</v>
      </c>
    </row>
    <row r="176" spans="1:5" ht="14.25">
      <c r="A176" s="2"/>
      <c r="B176" s="5"/>
      <c r="C176" s="31"/>
      <c r="D176" s="157"/>
      <c r="E176" s="182"/>
    </row>
    <row r="177" spans="1:7" ht="14.25">
      <c r="A177" s="2"/>
      <c r="B177" s="5"/>
      <c r="C177" s="31"/>
      <c r="D177" s="157"/>
      <c r="E177" s="182"/>
      <c r="F177" s="5"/>
      <c r="G177" s="6"/>
    </row>
    <row r="178" spans="1:9" ht="19.5">
      <c r="A178" s="136" t="s">
        <v>336</v>
      </c>
      <c r="B178" s="137"/>
      <c r="C178" s="137"/>
      <c r="D178" s="172"/>
      <c r="E178" s="247">
        <f>+E169+E109+E3</f>
        <v>1025572.443</v>
      </c>
      <c r="F178" s="67">
        <f>+F174+F166+F107</f>
        <v>0</v>
      </c>
      <c r="G178" s="67">
        <f>+G174+G166+G107</f>
        <v>0</v>
      </c>
      <c r="I178" s="61" t="e">
        <f>+IF((#REF!+#REF!+G178)=E178,"ok","revisar")</f>
        <v>#REF!</v>
      </c>
    </row>
    <row r="179" ht="14.25">
      <c r="E179" s="198"/>
    </row>
    <row r="180" ht="14.25">
      <c r="E180" s="198"/>
    </row>
    <row r="181" ht="14.25">
      <c r="E181" s="199"/>
    </row>
    <row r="182" spans="5:12" ht="14.25">
      <c r="E182" s="200"/>
      <c r="L182" s="319">
        <v>0.7</v>
      </c>
    </row>
    <row r="183" spans="5:12" ht="19.5">
      <c r="E183" s="201"/>
      <c r="L183" s="319">
        <v>0.3</v>
      </c>
    </row>
  </sheetData>
  <sheetProtection/>
  <mergeCells count="2">
    <mergeCell ref="F3:G3"/>
    <mergeCell ref="A1:G1"/>
  </mergeCells>
  <printOptions horizontalCentered="1" verticalCentered="1"/>
  <pageMargins left="0.2362204724409449" right="0.2362204724409449" top="0.2362204724409449" bottom="0.2362204724409449" header="0" footer="0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L31"/>
  <sheetViews>
    <sheetView showGridLines="0" showZeros="0" zoomScale="75" zoomScaleNormal="75" zoomScalePageLayoutView="0" workbookViewId="0" topLeftCell="A1">
      <selection activeCell="A4" sqref="A3:L23"/>
    </sheetView>
  </sheetViews>
  <sheetFormatPr defaultColWidth="11.421875" defaultRowHeight="12.75" outlineLevelCol="1"/>
  <cols>
    <col min="1" max="1" width="37.57421875" style="210" customWidth="1"/>
    <col min="2" max="2" width="11.421875" style="210" customWidth="1"/>
    <col min="3" max="3" width="18.57421875" style="210" hidden="1" customWidth="1" outlineLevel="1"/>
    <col min="4" max="4" width="18.421875" style="210" hidden="1" customWidth="1" outlineLevel="1"/>
    <col min="5" max="5" width="15.8515625" style="210" hidden="1" customWidth="1" outlineLevel="1"/>
    <col min="6" max="7" width="17.8515625" style="210" hidden="1" customWidth="1" outlineLevel="1"/>
    <col min="8" max="8" width="18.00390625" style="210" customWidth="1" collapsed="1"/>
    <col min="9" max="12" width="18.00390625" style="210" customWidth="1"/>
    <col min="13" max="16384" width="11.421875" style="210" customWidth="1"/>
  </cols>
  <sheetData>
    <row r="1" spans="1:12" ht="16.5" thickBot="1">
      <c r="A1" s="872" t="s">
        <v>251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</row>
    <row r="2" spans="1:12" ht="12.75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</row>
    <row r="3" spans="1:12" ht="17.25" customHeight="1">
      <c r="A3" s="840" t="s">
        <v>224</v>
      </c>
      <c r="B3" s="841" t="s">
        <v>106</v>
      </c>
      <c r="C3" s="842">
        <v>2011</v>
      </c>
      <c r="D3" s="842">
        <v>2012</v>
      </c>
      <c r="E3" s="842">
        <v>2013</v>
      </c>
      <c r="F3" s="842">
        <v>2014</v>
      </c>
      <c r="G3" s="842">
        <v>2015</v>
      </c>
      <c r="H3" s="842">
        <v>2016</v>
      </c>
      <c r="I3" s="842">
        <v>2017</v>
      </c>
      <c r="J3" s="842">
        <v>2018</v>
      </c>
      <c r="K3" s="842">
        <v>2019</v>
      </c>
      <c r="L3" s="842">
        <v>2020</v>
      </c>
    </row>
    <row r="4" spans="1:12" s="100" customFormat="1" ht="12.75">
      <c r="A4" s="383"/>
      <c r="B4" s="383"/>
      <c r="C4" s="217"/>
      <c r="D4" s="384"/>
      <c r="E4" s="384"/>
      <c r="F4" s="384"/>
      <c r="G4" s="384"/>
      <c r="H4" s="384"/>
      <c r="I4" s="384"/>
      <c r="J4" s="384"/>
      <c r="K4" s="384"/>
      <c r="L4" s="384"/>
    </row>
    <row r="5" spans="1:12" s="100" customFormat="1" ht="19.5" customHeight="1">
      <c r="A5" s="385" t="s">
        <v>252</v>
      </c>
      <c r="B5" s="216"/>
      <c r="C5" s="392">
        <f>INGRESOS!P49</f>
        <v>538115</v>
      </c>
      <c r="D5" s="392">
        <f>INGRESOS!Q49</f>
        <v>687981.5</v>
      </c>
      <c r="E5" s="392">
        <f>INGRESOS!R49</f>
        <v>702085</v>
      </c>
      <c r="F5" s="392">
        <f>INGRESOS!S49</f>
        <v>716925.5</v>
      </c>
      <c r="G5" s="392">
        <f>INGRESOS!T49</f>
        <v>732503</v>
      </c>
      <c r="H5" s="392">
        <f>INGRESOS!U49</f>
        <v>757918</v>
      </c>
      <c r="I5" s="392">
        <f>INGRESOS!V49</f>
        <v>775170.5</v>
      </c>
      <c r="J5" s="392">
        <f>INGRESOS!W49</f>
        <v>793327.5</v>
      </c>
      <c r="K5" s="392">
        <f>INGRESOS!X49</f>
        <v>812422.5</v>
      </c>
      <c r="L5" s="392">
        <f>INGRESOS!Y49</f>
        <v>832522.5</v>
      </c>
    </row>
    <row r="6" spans="1:12" s="100" customFormat="1" ht="19.5" customHeight="1">
      <c r="A6" s="385" t="s">
        <v>253</v>
      </c>
      <c r="B6" s="216"/>
      <c r="C6" s="392">
        <f>+'FLUJO  COSTOS DE PRESTACION'!D35</f>
        <v>389650.429</v>
      </c>
      <c r="D6" s="392">
        <f>+'FLUJO  COSTOS DE PRESTACION'!E35</f>
        <v>396148.84456000006</v>
      </c>
      <c r="E6" s="392">
        <f>+'FLUJO  COSTOS DE PRESTACION'!F35</f>
        <v>408669.92551120004</v>
      </c>
      <c r="F6" s="392">
        <f>+'FLUJO  COSTOS DE PRESTACION'!G35</f>
        <v>421736.06293542404</v>
      </c>
      <c r="G6" s="392">
        <f>+'FLUJO  COSTOS DE PRESTACION'!H35</f>
        <v>435372.8897048326</v>
      </c>
      <c r="H6" s="392">
        <f>+'FLUJO  COSTOS DE PRESTACION'!I35</f>
        <v>449607.2879361643</v>
      </c>
      <c r="I6" s="392">
        <f>+'FLUJO  COSTOS DE PRESTACION'!J35</f>
        <v>453737.1758049843</v>
      </c>
      <c r="J6" s="392">
        <f>+'FLUJO  COSTOS DE PRESTACION'!K35</f>
        <v>469252.6724376856</v>
      </c>
      <c r="K6" s="392">
        <f>+'FLUJO  COSTOS DE PRESTACION'!L35</f>
        <v>485454.516034871</v>
      </c>
      <c r="L6" s="392">
        <f>+'FLUJO  COSTOS DE PRESTACION'!M35</f>
        <v>502375.2353874217</v>
      </c>
    </row>
    <row r="7" spans="1:12" s="100" customFormat="1" ht="19.5" customHeight="1" thickBot="1">
      <c r="A7" s="387" t="s">
        <v>254</v>
      </c>
      <c r="B7" s="388"/>
      <c r="C7" s="391">
        <f aca="true" t="shared" si="0" ref="C7:L7">+C5-C6</f>
        <v>148464.571</v>
      </c>
      <c r="D7" s="391">
        <f t="shared" si="0"/>
        <v>291832.65543999994</v>
      </c>
      <c r="E7" s="391">
        <f t="shared" si="0"/>
        <v>293415.07448879996</v>
      </c>
      <c r="F7" s="391">
        <f t="shared" si="0"/>
        <v>295189.43706457596</v>
      </c>
      <c r="G7" s="391">
        <f t="shared" si="0"/>
        <v>297130.1102951674</v>
      </c>
      <c r="H7" s="391">
        <f t="shared" si="0"/>
        <v>308310.7120638357</v>
      </c>
      <c r="I7" s="391">
        <f t="shared" si="0"/>
        <v>321433.3241950157</v>
      </c>
      <c r="J7" s="391">
        <f t="shared" si="0"/>
        <v>324074.8275623144</v>
      </c>
      <c r="K7" s="391">
        <f t="shared" si="0"/>
        <v>326967.983965129</v>
      </c>
      <c r="L7" s="391">
        <f t="shared" si="0"/>
        <v>330147.2646125783</v>
      </c>
    </row>
    <row r="8" spans="1:12" s="100" customFormat="1" ht="19.5" customHeight="1" thickTop="1">
      <c r="A8" s="385" t="s">
        <v>255</v>
      </c>
      <c r="B8" s="216"/>
      <c r="C8" s="386">
        <f>-'SERV. DEUDA'!G13</f>
        <v>40370.01187680348</v>
      </c>
      <c r="D8" s="386">
        <f>-'SERV. DEUDA'!G17</f>
        <v>40370.01187680348</v>
      </c>
      <c r="E8" s="386">
        <f>-'SERV. DEUDA'!G21</f>
        <v>38477.66757007832</v>
      </c>
      <c r="F8" s="386">
        <f>-'SERV. DEUDA'!G25</f>
        <v>33431.41608547789</v>
      </c>
      <c r="G8" s="386">
        <f>-'SERV. DEUDA'!G29</f>
        <v>28385.164600877462</v>
      </c>
      <c r="H8" s="386">
        <f>-'SERV. DEUDA'!G33</f>
        <v>23338.913116277028</v>
      </c>
      <c r="I8" s="386">
        <f>-'SERV. DEUDA'!G37</f>
        <v>18292.661631676598</v>
      </c>
      <c r="J8" s="386">
        <f>-'SERV. DEUDA'!G41</f>
        <v>13246.410147076167</v>
      </c>
      <c r="K8" s="386">
        <f>-'SERV. DEUDA'!G45</f>
        <v>8200.158662475733</v>
      </c>
      <c r="L8" s="386">
        <f>-'SERV. DEUDA'!G49</f>
        <v>3153.907177875297</v>
      </c>
    </row>
    <row r="9" spans="1:12" s="100" customFormat="1" ht="25.5" customHeight="1" thickBot="1">
      <c r="A9" s="387" t="s">
        <v>256</v>
      </c>
      <c r="B9" s="388"/>
      <c r="C9" s="390">
        <f>+C7-C8</f>
        <v>108094.55912319652</v>
      </c>
      <c r="D9" s="390">
        <f aca="true" t="shared" si="1" ref="D9:L9">+D7-D8</f>
        <v>251462.64356319647</v>
      </c>
      <c r="E9" s="390">
        <f t="shared" si="1"/>
        <v>254937.40691872162</v>
      </c>
      <c r="F9" s="390">
        <f t="shared" si="1"/>
        <v>261758.02097909807</v>
      </c>
      <c r="G9" s="390">
        <f t="shared" si="1"/>
        <v>268744.94569429</v>
      </c>
      <c r="H9" s="390">
        <f t="shared" si="1"/>
        <v>284971.7989475587</v>
      </c>
      <c r="I9" s="390">
        <f t="shared" si="1"/>
        <v>303140.6625633391</v>
      </c>
      <c r="J9" s="390">
        <f t="shared" si="1"/>
        <v>310828.4174152382</v>
      </c>
      <c r="K9" s="390">
        <f t="shared" si="1"/>
        <v>318767.82530265325</v>
      </c>
      <c r="L9" s="390">
        <f t="shared" si="1"/>
        <v>326993.35743470304</v>
      </c>
    </row>
    <row r="10" spans="1:12" s="100" customFormat="1" ht="19.5" customHeight="1" thickTop="1">
      <c r="A10" s="385" t="s">
        <v>257</v>
      </c>
      <c r="B10" s="216"/>
      <c r="C10" s="392">
        <f aca="true" t="shared" si="2" ref="C10:L10">+C9*15%</f>
        <v>16214.183868479478</v>
      </c>
      <c r="D10" s="392">
        <f t="shared" si="2"/>
        <v>37719.39653447947</v>
      </c>
      <c r="E10" s="392">
        <f t="shared" si="2"/>
        <v>38240.611037808245</v>
      </c>
      <c r="F10" s="392">
        <f t="shared" si="2"/>
        <v>39263.70314686471</v>
      </c>
      <c r="G10" s="392">
        <f t="shared" si="2"/>
        <v>40311.741854143496</v>
      </c>
      <c r="H10" s="392">
        <f t="shared" si="2"/>
        <v>42745.7698421338</v>
      </c>
      <c r="I10" s="392">
        <f t="shared" si="2"/>
        <v>45471.09938450086</v>
      </c>
      <c r="J10" s="392">
        <f t="shared" si="2"/>
        <v>46624.26261228573</v>
      </c>
      <c r="K10" s="392">
        <f t="shared" si="2"/>
        <v>47815.17379539798</v>
      </c>
      <c r="L10" s="392">
        <f t="shared" si="2"/>
        <v>49049.00361520545</v>
      </c>
    </row>
    <row r="11" spans="1:12" s="100" customFormat="1" ht="25.5">
      <c r="A11" s="387" t="s">
        <v>258</v>
      </c>
      <c r="B11" s="388"/>
      <c r="C11" s="392">
        <f aca="true" t="shared" si="3" ref="C11:L11">+C9-C10</f>
        <v>91880.37525471704</v>
      </c>
      <c r="D11" s="392">
        <f t="shared" si="3"/>
        <v>213743.247028717</v>
      </c>
      <c r="E11" s="392">
        <f t="shared" si="3"/>
        <v>216696.79588091339</v>
      </c>
      <c r="F11" s="392">
        <f t="shared" si="3"/>
        <v>222494.31783223336</v>
      </c>
      <c r="G11" s="392">
        <f t="shared" si="3"/>
        <v>228433.20384014648</v>
      </c>
      <c r="H11" s="392">
        <f t="shared" si="3"/>
        <v>242226.02910542488</v>
      </c>
      <c r="I11" s="392">
        <f t="shared" si="3"/>
        <v>257669.56317883823</v>
      </c>
      <c r="J11" s="392">
        <f t="shared" si="3"/>
        <v>264204.1548029525</v>
      </c>
      <c r="K11" s="392">
        <f t="shared" si="3"/>
        <v>270952.6515072553</v>
      </c>
      <c r="L11" s="392">
        <f t="shared" si="3"/>
        <v>277944.35381949757</v>
      </c>
    </row>
    <row r="12" spans="1:12" s="100" customFormat="1" ht="19.5" customHeight="1">
      <c r="A12" s="385" t="s">
        <v>259</v>
      </c>
      <c r="B12" s="216"/>
      <c r="C12" s="392">
        <f>+C11*25%</f>
        <v>22970.09381367926</v>
      </c>
      <c r="D12" s="392">
        <f aca="true" t="shared" si="4" ref="D12:L12">+D11*25%</f>
        <v>53435.81175717925</v>
      </c>
      <c r="E12" s="392">
        <f t="shared" si="4"/>
        <v>54174.198970228346</v>
      </c>
      <c r="F12" s="392">
        <f t="shared" si="4"/>
        <v>55623.57945805834</v>
      </c>
      <c r="G12" s="392">
        <f t="shared" si="4"/>
        <v>57108.30096003662</v>
      </c>
      <c r="H12" s="392">
        <f t="shared" si="4"/>
        <v>60556.50727635622</v>
      </c>
      <c r="I12" s="392">
        <f t="shared" si="4"/>
        <v>64417.39079470956</v>
      </c>
      <c r="J12" s="392">
        <f t="shared" si="4"/>
        <v>66051.03870073812</v>
      </c>
      <c r="K12" s="392">
        <f t="shared" si="4"/>
        <v>67738.16287681382</v>
      </c>
      <c r="L12" s="392">
        <f t="shared" si="4"/>
        <v>69486.08845487439</v>
      </c>
    </row>
    <row r="13" spans="1:12" ht="19.5" customHeight="1">
      <c r="A13" s="833" t="s">
        <v>260</v>
      </c>
      <c r="B13" s="834"/>
      <c r="C13" s="835">
        <f>+C11-C12</f>
        <v>68910.28144103778</v>
      </c>
      <c r="D13" s="835">
        <f aca="true" t="shared" si="5" ref="D13:L13">+D11-D12</f>
        <v>160307.43527153775</v>
      </c>
      <c r="E13" s="835">
        <f t="shared" si="5"/>
        <v>162522.59691068504</v>
      </c>
      <c r="F13" s="835">
        <f t="shared" si="5"/>
        <v>166870.738374175</v>
      </c>
      <c r="G13" s="835">
        <f t="shared" si="5"/>
        <v>171324.90288010985</v>
      </c>
      <c r="H13" s="835">
        <f t="shared" si="5"/>
        <v>181669.52182906866</v>
      </c>
      <c r="I13" s="835">
        <f t="shared" si="5"/>
        <v>193252.17238412867</v>
      </c>
      <c r="J13" s="835">
        <f t="shared" si="5"/>
        <v>198153.11610221438</v>
      </c>
      <c r="K13" s="835">
        <f t="shared" si="5"/>
        <v>203214.48863044145</v>
      </c>
      <c r="L13" s="835">
        <f t="shared" si="5"/>
        <v>208458.26536462316</v>
      </c>
    </row>
    <row r="14" spans="1:12" ht="19.5" customHeight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</row>
    <row r="15" spans="1:12" ht="19.5" customHeight="1">
      <c r="A15" s="836" t="s">
        <v>261</v>
      </c>
      <c r="B15" s="837"/>
      <c r="C15" s="838">
        <f aca="true" t="shared" si="6" ref="C15:L15">+C13*10%</f>
        <v>6891.028144103778</v>
      </c>
      <c r="D15" s="838">
        <f t="shared" si="6"/>
        <v>16030.743527153776</v>
      </c>
      <c r="E15" s="838">
        <f t="shared" si="6"/>
        <v>16252.259691068504</v>
      </c>
      <c r="F15" s="838">
        <f t="shared" si="6"/>
        <v>16687.0738374175</v>
      </c>
      <c r="G15" s="838">
        <f t="shared" si="6"/>
        <v>17132.490288010984</v>
      </c>
      <c r="H15" s="838">
        <f t="shared" si="6"/>
        <v>18166.952182906865</v>
      </c>
      <c r="I15" s="838">
        <f t="shared" si="6"/>
        <v>19325.217238412868</v>
      </c>
      <c r="J15" s="838">
        <f t="shared" si="6"/>
        <v>19815.31161022144</v>
      </c>
      <c r="K15" s="838">
        <f t="shared" si="6"/>
        <v>20321.44886304415</v>
      </c>
      <c r="L15" s="838">
        <f t="shared" si="6"/>
        <v>20845.82653646232</v>
      </c>
    </row>
    <row r="16" spans="1:12" ht="19.5" customHeight="1">
      <c r="A16" s="337"/>
      <c r="B16" s="337"/>
      <c r="C16" s="337"/>
      <c r="D16" s="337"/>
      <c r="E16" s="337"/>
      <c r="F16" s="337"/>
      <c r="G16" s="337"/>
      <c r="H16" s="389"/>
      <c r="I16" s="389"/>
      <c r="J16" s="389"/>
      <c r="K16" s="389"/>
      <c r="L16" s="389"/>
    </row>
    <row r="17" spans="1:12" ht="19.5" customHeight="1">
      <c r="A17" s="833" t="s">
        <v>262</v>
      </c>
      <c r="B17" s="834"/>
      <c r="C17" s="835">
        <f aca="true" t="shared" si="7" ref="C17:H17">+C13-C15</f>
        <v>62019.253296933995</v>
      </c>
      <c r="D17" s="835">
        <f t="shared" si="7"/>
        <v>144276.69174438398</v>
      </c>
      <c r="E17" s="835">
        <f t="shared" si="7"/>
        <v>146270.33721961654</v>
      </c>
      <c r="F17" s="835">
        <f t="shared" si="7"/>
        <v>150183.6645367575</v>
      </c>
      <c r="G17" s="835">
        <f t="shared" si="7"/>
        <v>154192.41259209887</v>
      </c>
      <c r="H17" s="835">
        <f t="shared" si="7"/>
        <v>163502.5696461618</v>
      </c>
      <c r="I17" s="835">
        <f>+I13-I15</f>
        <v>173926.9551457158</v>
      </c>
      <c r="J17" s="835">
        <f>+J13-J15</f>
        <v>178337.80449199292</v>
      </c>
      <c r="K17" s="835">
        <f>+K13-K15</f>
        <v>182893.0397673973</v>
      </c>
      <c r="L17" s="835">
        <f>+L13-L15</f>
        <v>187612.43882816084</v>
      </c>
    </row>
    <row r="18" spans="1:12" ht="19.5" customHeight="1">
      <c r="A18" s="839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</row>
    <row r="19" spans="1:12" ht="30.75" customHeight="1">
      <c r="A19" s="836" t="s">
        <v>263</v>
      </c>
      <c r="B19" s="837"/>
      <c r="C19" s="838"/>
      <c r="D19" s="838">
        <v>0.3</v>
      </c>
      <c r="E19" s="838">
        <v>0.3</v>
      </c>
      <c r="F19" s="838">
        <v>0.3</v>
      </c>
      <c r="G19" s="838">
        <v>0.3</v>
      </c>
      <c r="H19" s="838">
        <v>0.3</v>
      </c>
      <c r="I19" s="838">
        <v>0.3</v>
      </c>
      <c r="J19" s="838">
        <v>0.3</v>
      </c>
      <c r="K19" s="838">
        <v>0.3</v>
      </c>
      <c r="L19" s="838">
        <v>0.3</v>
      </c>
    </row>
    <row r="20" spans="1:12" ht="19.5" customHeight="1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</row>
    <row r="21" spans="1:12" ht="19.5" customHeight="1">
      <c r="A21" s="833" t="s">
        <v>264</v>
      </c>
      <c r="B21" s="834"/>
      <c r="C21" s="835">
        <f aca="true" t="shared" si="8" ref="C21:H21">+C19*C17</f>
        <v>0</v>
      </c>
      <c r="D21" s="835">
        <f t="shared" si="8"/>
        <v>43283.007523315195</v>
      </c>
      <c r="E21" s="835">
        <f t="shared" si="8"/>
        <v>43881.10116588496</v>
      </c>
      <c r="F21" s="835">
        <f t="shared" si="8"/>
        <v>45055.09936102725</v>
      </c>
      <c r="G21" s="835">
        <f t="shared" si="8"/>
        <v>46257.72377762966</v>
      </c>
      <c r="H21" s="835">
        <f t="shared" si="8"/>
        <v>49050.77089384854</v>
      </c>
      <c r="I21" s="835">
        <f>+I19*I17</f>
        <v>52178.08654371474</v>
      </c>
      <c r="J21" s="835">
        <f>+J19*J17</f>
        <v>53501.341347597874</v>
      </c>
      <c r="K21" s="835">
        <f>+K19*K17</f>
        <v>54867.91193021919</v>
      </c>
      <c r="L21" s="835">
        <f>+L19*L17</f>
        <v>56283.73164844825</v>
      </c>
    </row>
    <row r="22" spans="1:12" ht="19.5" customHeight="1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</row>
    <row r="23" spans="1:12" ht="25.5">
      <c r="A23" s="836" t="s">
        <v>265</v>
      </c>
      <c r="B23" s="837"/>
      <c r="C23" s="838">
        <f aca="true" t="shared" si="9" ref="C23:H23">+C17-C21</f>
        <v>62019.253296933995</v>
      </c>
      <c r="D23" s="838">
        <f>+D17-D21</f>
        <v>100993.68422106878</v>
      </c>
      <c r="E23" s="838">
        <f t="shared" si="9"/>
        <v>102389.23605373158</v>
      </c>
      <c r="F23" s="838">
        <f t="shared" si="9"/>
        <v>105128.56517573027</v>
      </c>
      <c r="G23" s="838">
        <f t="shared" si="9"/>
        <v>107934.6888144692</v>
      </c>
      <c r="H23" s="838">
        <f t="shared" si="9"/>
        <v>114451.79875231328</v>
      </c>
      <c r="I23" s="838">
        <f>+I17-I21</f>
        <v>121748.86860200105</v>
      </c>
      <c r="J23" s="838">
        <f>+J17-J21</f>
        <v>124836.46314439505</v>
      </c>
      <c r="K23" s="838">
        <f>+K17-K21</f>
        <v>128025.12783717812</v>
      </c>
      <c r="L23" s="838">
        <f>+L17-L21</f>
        <v>131328.7071797126</v>
      </c>
    </row>
    <row r="24" spans="3:12" ht="19.5" customHeight="1">
      <c r="C24" s="342"/>
      <c r="D24" s="342"/>
      <c r="E24" s="342"/>
      <c r="F24" s="342"/>
      <c r="G24" s="342"/>
      <c r="H24" s="342"/>
      <c r="I24" s="342"/>
      <c r="J24" s="342"/>
      <c r="K24" s="342"/>
      <c r="L24" s="342"/>
    </row>
    <row r="25" spans="3:12" ht="19.5" customHeight="1" hidden="1">
      <c r="C25" s="220">
        <f>'FLUJO  COSTOS DE PRESTACION'!D16</f>
        <v>53804.376000000004</v>
      </c>
      <c r="D25" s="220">
        <f>'FLUJO  COSTOS DE PRESTACION'!E16</f>
        <v>53804.376000000004</v>
      </c>
      <c r="E25" s="220">
        <f>'FLUJO  COSTOS DE PRESTACION'!F16</f>
        <v>53804.376000000004</v>
      </c>
      <c r="F25" s="220">
        <f>'FLUJO  COSTOS DE PRESTACION'!G16</f>
        <v>53804.376000000004</v>
      </c>
      <c r="G25" s="220">
        <f>'FLUJO  COSTOS DE PRESTACION'!H16</f>
        <v>53804.376000000004</v>
      </c>
      <c r="H25" s="220">
        <f>'FLUJO  COSTOS DE PRESTACION'!I16</f>
        <v>53804.376000000004</v>
      </c>
      <c r="I25" s="220">
        <f>'FLUJO  COSTOS DE PRESTACION'!J16</f>
        <v>53804.376000000004</v>
      </c>
      <c r="J25" s="220">
        <f>'FLUJO  COSTOS DE PRESTACION'!K16</f>
        <v>53804.376000000004</v>
      </c>
      <c r="K25" s="220">
        <f>'FLUJO  COSTOS DE PRESTACION'!L16</f>
        <v>53804.376000000004</v>
      </c>
      <c r="L25" s="220">
        <f>'FLUJO  COSTOS DE PRESTACION'!M16</f>
        <v>53804.376000000004</v>
      </c>
    </row>
    <row r="26" spans="3:12" ht="19.5" customHeight="1" hidden="1">
      <c r="C26" s="220">
        <f>'FLUJO  COSTOS DE PRESTACION'!D24</f>
        <v>150</v>
      </c>
      <c r="D26" s="220">
        <f>'FLUJO  COSTOS DE PRESTACION'!E24</f>
        <v>150</v>
      </c>
      <c r="E26" s="220">
        <f>'FLUJO  COSTOS DE PRESTACION'!F24</f>
        <v>150</v>
      </c>
      <c r="F26" s="220">
        <f>'FLUJO  COSTOS DE PRESTACION'!G24</f>
        <v>150</v>
      </c>
      <c r="G26" s="220">
        <f>'FLUJO  COSTOS DE PRESTACION'!H24</f>
        <v>150</v>
      </c>
      <c r="H26" s="220">
        <f>'FLUJO  COSTOS DE PRESTACION'!I24</f>
        <v>150</v>
      </c>
      <c r="I26" s="220">
        <f>'FLUJO  COSTOS DE PRESTACION'!J24</f>
        <v>150</v>
      </c>
      <c r="J26" s="220">
        <f>'FLUJO  COSTOS DE PRESTACION'!K24</f>
        <v>150</v>
      </c>
      <c r="K26" s="220">
        <f>'FLUJO  COSTOS DE PRESTACION'!L24</f>
        <v>150</v>
      </c>
      <c r="L26" s="220">
        <f>'FLUJO  COSTOS DE PRESTACION'!M24</f>
        <v>150</v>
      </c>
    </row>
    <row r="27" spans="3:11" ht="19.5" customHeight="1" hidden="1">
      <c r="C27" s="220">
        <f>'FLUJO  COSTOS DE PRESTACION'!D20</f>
        <v>9930.275</v>
      </c>
      <c r="D27" s="220">
        <f>'FLUJO  COSTOS DE PRESTACION'!E20</f>
        <v>9930.275</v>
      </c>
      <c r="E27" s="220">
        <f>'FLUJO  COSTOS DE PRESTACION'!F20</f>
        <v>9930.275</v>
      </c>
      <c r="F27" s="220">
        <f>'FLUJO  COSTOS DE PRESTACION'!G20</f>
        <v>9930.275</v>
      </c>
      <c r="G27" s="220">
        <f>'FLUJO  COSTOS DE PRESTACION'!H20</f>
        <v>9930.275</v>
      </c>
      <c r="H27" s="220">
        <f>'FLUJO  COSTOS DE PRESTACION'!I20</f>
        <v>9930.275</v>
      </c>
      <c r="I27" s="220"/>
      <c r="J27" s="220"/>
      <c r="K27" s="220"/>
    </row>
    <row r="28" spans="3:11" ht="19.5" customHeight="1" hidden="1">
      <c r="C28" s="220">
        <f>'FLUJO  COSTOS DE PRESTACION'!D25</f>
        <v>799.9999999999999</v>
      </c>
      <c r="D28" s="220">
        <f>'FLUJO  COSTOS DE PRESTACION'!E25</f>
        <v>799.9999999999999</v>
      </c>
      <c r="E28" s="220">
        <f>'FLUJO  COSTOS DE PRESTACION'!F25</f>
        <v>799.9999999999999</v>
      </c>
      <c r="F28" s="220">
        <f>'FLUJO  COSTOS DE PRESTACION'!G25</f>
        <v>799.9999999999999</v>
      </c>
      <c r="G28" s="220">
        <f>'FLUJO  COSTOS DE PRESTACION'!H25</f>
        <v>799.9999999999999</v>
      </c>
      <c r="H28" s="220">
        <f>'FLUJO  COSTOS DE PRESTACION'!I25</f>
        <v>799.9999999999999</v>
      </c>
      <c r="I28" s="220">
        <f>'FLUJO  COSTOS DE PRESTACION'!J25</f>
        <v>0</v>
      </c>
      <c r="J28" s="220">
        <f>'FLUJO  COSTOS DE PRESTACION'!K25</f>
        <v>0</v>
      </c>
      <c r="K28" s="220">
        <f>'FLUJO  COSTOS DE PRESTACION'!L25</f>
        <v>0</v>
      </c>
    </row>
    <row r="29" spans="3:12" ht="19.5" customHeight="1" hidden="1">
      <c r="C29" s="220">
        <f>C15</f>
        <v>6891.028144103778</v>
      </c>
      <c r="D29" s="220">
        <f aca="true" t="shared" si="10" ref="D29:L29">D15</f>
        <v>16030.743527153776</v>
      </c>
      <c r="E29" s="220">
        <f t="shared" si="10"/>
        <v>16252.259691068504</v>
      </c>
      <c r="F29" s="220">
        <f t="shared" si="10"/>
        <v>16687.0738374175</v>
      </c>
      <c r="G29" s="220">
        <f t="shared" si="10"/>
        <v>17132.490288010984</v>
      </c>
      <c r="H29" s="220">
        <f t="shared" si="10"/>
        <v>18166.952182906865</v>
      </c>
      <c r="I29" s="220">
        <f t="shared" si="10"/>
        <v>19325.217238412868</v>
      </c>
      <c r="J29" s="220">
        <f t="shared" si="10"/>
        <v>19815.31161022144</v>
      </c>
      <c r="K29" s="220">
        <f t="shared" si="10"/>
        <v>20321.44886304415</v>
      </c>
      <c r="L29" s="220">
        <f t="shared" si="10"/>
        <v>20845.82653646232</v>
      </c>
    </row>
    <row r="30" spans="3:12" ht="19.5" customHeight="1" hidden="1">
      <c r="C30" s="210">
        <f>'SERV. DEUDA'!H13</f>
        <v>0</v>
      </c>
      <c r="D30" s="210">
        <f>'SERV. DEUDA'!H17</f>
        <v>0</v>
      </c>
      <c r="E30" s="210">
        <f>'SERV. DEUDA'!H21</f>
        <v>-51278.62215</v>
      </c>
      <c r="F30" s="210">
        <f>'SERV. DEUDA'!H25</f>
        <v>-51278.62215</v>
      </c>
      <c r="G30" s="210">
        <f>'SERV. DEUDA'!H29</f>
        <v>-51278.62215</v>
      </c>
      <c r="H30" s="210">
        <f>'SERV. DEUDA'!H33</f>
        <v>-51278.62215</v>
      </c>
      <c r="I30" s="210">
        <f>'SERV. DEUDA'!H37</f>
        <v>-51278.62215</v>
      </c>
      <c r="J30" s="210">
        <f>'SERV. DEUDA'!H41</f>
        <v>-51278.62215</v>
      </c>
      <c r="K30" s="210">
        <f>'SERV. DEUDA'!H45</f>
        <v>-51278.62215</v>
      </c>
      <c r="L30" s="210">
        <f>'SERV. DEUDA'!H49</f>
        <v>-51278.62215</v>
      </c>
    </row>
    <row r="31" spans="3:12" ht="19.5" customHeight="1" hidden="1">
      <c r="C31" s="220">
        <f>C23+C25+C26+C27+C28+C29+C30</f>
        <v>133594.93244103776</v>
      </c>
      <c r="D31" s="220">
        <f>D23+D25+D26+D27+D28+D29+D30</f>
        <v>181709.07874822256</v>
      </c>
      <c r="E31" s="220">
        <f aca="true" t="shared" si="11" ref="E31:L31">E23+E25+E26+E27+E28+E29+E30</f>
        <v>132047.52459480005</v>
      </c>
      <c r="F31" s="220">
        <f t="shared" si="11"/>
        <v>135221.66786314774</v>
      </c>
      <c r="G31" s="220">
        <f t="shared" si="11"/>
        <v>138473.20795248015</v>
      </c>
      <c r="H31" s="220">
        <f t="shared" si="11"/>
        <v>146024.77978522013</v>
      </c>
      <c r="I31" s="220">
        <f t="shared" si="11"/>
        <v>143749.8396904139</v>
      </c>
      <c r="J31" s="220">
        <f t="shared" si="11"/>
        <v>147327.52860461647</v>
      </c>
      <c r="K31" s="220">
        <f t="shared" si="11"/>
        <v>151022.33055022225</v>
      </c>
      <c r="L31" s="220">
        <f t="shared" si="11"/>
        <v>154850.2875661749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">
    <mergeCell ref="A1:L1"/>
  </mergeCells>
  <printOptions/>
  <pageMargins left="0.79" right="0.79" top="0.98" bottom="0.98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3:P593"/>
  <sheetViews>
    <sheetView zoomScalePageLayoutView="0" workbookViewId="0" topLeftCell="D1">
      <selection activeCell="C4" sqref="C4"/>
    </sheetView>
  </sheetViews>
  <sheetFormatPr defaultColWidth="11.421875" defaultRowHeight="12.75"/>
  <cols>
    <col min="1" max="1" width="11.421875" style="417" customWidth="1"/>
    <col min="2" max="2" width="12.28125" style="417" bestFit="1" customWidth="1"/>
    <col min="3" max="4" width="11.421875" style="417" customWidth="1"/>
    <col min="5" max="5" width="12.57421875" style="417" bestFit="1" customWidth="1"/>
    <col min="6" max="6" width="13.00390625" style="417" customWidth="1"/>
    <col min="7" max="7" width="3.00390625" style="417" customWidth="1"/>
    <col min="8" max="13" width="11.421875" style="417" customWidth="1"/>
    <col min="14" max="14" width="2.7109375" style="417" customWidth="1"/>
    <col min="15" max="16384" width="11.421875" style="417" customWidth="1"/>
  </cols>
  <sheetData>
    <row r="1" ht="12.75"/>
    <row r="2" ht="12.75"/>
    <row r="3" spans="1:6" ht="12.75">
      <c r="A3" s="416" t="s">
        <v>437</v>
      </c>
      <c r="B3" s="417">
        <v>1.01</v>
      </c>
      <c r="E3" s="418"/>
      <c r="F3" s="418"/>
    </row>
    <row r="4" spans="1:13" ht="13.5" thickBot="1">
      <c r="A4" s="416" t="s">
        <v>438</v>
      </c>
      <c r="B4" s="419">
        <v>0.4</v>
      </c>
      <c r="E4" s="873" t="s">
        <v>439</v>
      </c>
      <c r="F4" s="874"/>
      <c r="G4" s="420"/>
      <c r="L4" s="873" t="s">
        <v>440</v>
      </c>
      <c r="M4" s="874"/>
    </row>
    <row r="5" spans="1:13" ht="13.5" thickBot="1">
      <c r="A5" s="416" t="s">
        <v>441</v>
      </c>
      <c r="B5" s="419">
        <v>0.25</v>
      </c>
      <c r="E5" s="421" t="s">
        <v>442</v>
      </c>
      <c r="F5" s="422" t="s">
        <v>443</v>
      </c>
      <c r="G5" s="420"/>
      <c r="I5" s="423"/>
      <c r="K5" s="424"/>
      <c r="L5" s="425" t="s">
        <v>442</v>
      </c>
      <c r="M5" s="426" t="s">
        <v>443</v>
      </c>
    </row>
    <row r="6" spans="1:16" ht="12.75">
      <c r="A6" s="416"/>
      <c r="E6" s="427" t="s">
        <v>444</v>
      </c>
      <c r="F6" s="428">
        <f>B8</f>
        <v>0.0363</v>
      </c>
      <c r="H6" s="429" t="s">
        <v>445</v>
      </c>
      <c r="K6" s="424"/>
      <c r="L6" s="427" t="s">
        <v>446</v>
      </c>
      <c r="M6" s="430">
        <f>F10</f>
        <v>0.252748972628372</v>
      </c>
      <c r="O6" s="429" t="s">
        <v>447</v>
      </c>
      <c r="P6" s="429"/>
    </row>
    <row r="7" spans="1:15" ht="12.75">
      <c r="A7" s="416" t="s">
        <v>448</v>
      </c>
      <c r="B7" s="417">
        <f>+B3*(1-(B4*B5))/((1-B4))</f>
        <v>1.5150000000000001</v>
      </c>
      <c r="E7" s="427" t="s">
        <v>449</v>
      </c>
      <c r="F7" s="431">
        <f>B7</f>
        <v>1.5150000000000001</v>
      </c>
      <c r="H7" s="417" t="s">
        <v>450</v>
      </c>
      <c r="K7" s="424"/>
      <c r="L7" s="427" t="s">
        <v>451</v>
      </c>
      <c r="M7" s="445">
        <v>0.1021</v>
      </c>
      <c r="O7" s="417" t="s">
        <v>452</v>
      </c>
    </row>
    <row r="8" spans="1:15" ht="12.75">
      <c r="A8" s="416" t="s">
        <v>453</v>
      </c>
      <c r="B8" s="432">
        <v>0.0363</v>
      </c>
      <c r="E8" s="427" t="s">
        <v>454</v>
      </c>
      <c r="F8" s="428">
        <f>B10</f>
        <v>0.12570526246097158</v>
      </c>
      <c r="H8" s="417" t="s">
        <v>455</v>
      </c>
      <c r="K8" s="424"/>
      <c r="L8" s="427" t="s">
        <v>456</v>
      </c>
      <c r="M8" s="433">
        <f>B4</f>
        <v>0.4</v>
      </c>
      <c r="O8" s="417" t="s">
        <v>457</v>
      </c>
    </row>
    <row r="9" spans="1:16" ht="13.5" thickBot="1">
      <c r="A9" s="416" t="s">
        <v>458</v>
      </c>
      <c r="B9" s="432">
        <v>0.081</v>
      </c>
      <c r="E9" s="434" t="s">
        <v>459</v>
      </c>
      <c r="F9" s="435">
        <f>B9</f>
        <v>0.081</v>
      </c>
      <c r="H9" s="423" t="s">
        <v>460</v>
      </c>
      <c r="I9" s="423"/>
      <c r="K9" s="424"/>
      <c r="L9" s="434" t="s">
        <v>461</v>
      </c>
      <c r="M9" s="436">
        <f>B5</f>
        <v>0.25</v>
      </c>
      <c r="O9" s="417" t="s">
        <v>462</v>
      </c>
      <c r="P9" s="423"/>
    </row>
    <row r="10" spans="1:15" ht="13.5" thickTop="1">
      <c r="A10" s="416" t="s">
        <v>463</v>
      </c>
      <c r="B10" s="432">
        <f>D15</f>
        <v>0.12570526246097158</v>
      </c>
      <c r="E10" s="427" t="s">
        <v>464</v>
      </c>
      <c r="F10" s="428">
        <f>F6+(F7*(F8-F6))+F9</f>
        <v>0.252748972628372</v>
      </c>
      <c r="K10" s="424"/>
      <c r="L10" s="437" t="s">
        <v>440</v>
      </c>
      <c r="M10" s="438">
        <f>(M7*M8*(1-M9))+(F10*(1-M8))</f>
        <v>0.18227938357702317</v>
      </c>
      <c r="O10" s="429"/>
    </row>
    <row r="14" ht="12.75">
      <c r="C14" s="416" t="s">
        <v>465</v>
      </c>
    </row>
    <row r="15" spans="1:4" ht="12.75">
      <c r="A15" s="439" t="s">
        <v>466</v>
      </c>
      <c r="B15" s="439" t="s">
        <v>467</v>
      </c>
      <c r="C15" s="440">
        <f>AVERAGE(C16:C592)</f>
        <v>0.010475438538414298</v>
      </c>
      <c r="D15" s="441">
        <f>C15*12</f>
        <v>0.12570526246097158</v>
      </c>
    </row>
    <row r="16" spans="1:4" ht="12.75">
      <c r="A16" s="442">
        <v>38748</v>
      </c>
      <c r="B16" s="443">
        <v>29.52</v>
      </c>
      <c r="C16" s="440">
        <f aca="true" t="shared" si="0" ref="C16:C79">LN(B16/B17)</f>
        <v>-0.0010157441198355276</v>
      </c>
      <c r="D16" s="444"/>
    </row>
    <row r="17" spans="1:4" ht="12.75">
      <c r="A17" s="442">
        <v>38720</v>
      </c>
      <c r="B17" s="443">
        <v>29.55</v>
      </c>
      <c r="C17" s="440">
        <f t="shared" si="0"/>
        <v>-0.08743429938967426</v>
      </c>
      <c r="D17" s="444"/>
    </row>
    <row r="18" spans="1:4" ht="12.75">
      <c r="A18" s="442">
        <v>38686</v>
      </c>
      <c r="B18" s="443">
        <v>32.25</v>
      </c>
      <c r="C18" s="440">
        <f t="shared" si="0"/>
        <v>0.07632868297716502</v>
      </c>
      <c r="D18" s="444"/>
    </row>
    <row r="19" spans="1:4" ht="12.75">
      <c r="A19" s="442">
        <v>38657</v>
      </c>
      <c r="B19" s="443">
        <v>29.88</v>
      </c>
      <c r="C19" s="440">
        <f t="shared" si="0"/>
        <v>0.0991327375219746</v>
      </c>
      <c r="D19" s="444"/>
    </row>
    <row r="20" spans="1:4" ht="12.75">
      <c r="A20" s="442">
        <v>38625</v>
      </c>
      <c r="B20" s="443">
        <v>27.06</v>
      </c>
      <c r="C20" s="440">
        <f t="shared" si="0"/>
        <v>-0.0033204236373024112</v>
      </c>
      <c r="D20" s="444"/>
    </row>
    <row r="21" spans="1:4" ht="12.75">
      <c r="A21" s="442">
        <v>38595</v>
      </c>
      <c r="B21" s="443">
        <v>27.15</v>
      </c>
      <c r="C21" s="440">
        <f t="shared" si="0"/>
        <v>0.05333084421196392</v>
      </c>
      <c r="D21" s="444"/>
    </row>
    <row r="22" spans="1:4" ht="12.75">
      <c r="A22" s="442">
        <v>38566</v>
      </c>
      <c r="B22" s="443">
        <v>25.74</v>
      </c>
      <c r="C22" s="440">
        <f t="shared" si="0"/>
        <v>0.03599360264790545</v>
      </c>
      <c r="D22" s="444"/>
    </row>
    <row r="23" spans="1:4" ht="12.75">
      <c r="A23" s="442">
        <v>38533</v>
      </c>
      <c r="B23" s="443">
        <v>24.83</v>
      </c>
      <c r="C23" s="440">
        <f t="shared" si="0"/>
        <v>0.07395308467916217</v>
      </c>
      <c r="D23" s="444"/>
    </row>
    <row r="24" spans="1:4" ht="12.75">
      <c r="A24" s="442">
        <v>38503</v>
      </c>
      <c r="B24" s="443">
        <v>23.06</v>
      </c>
      <c r="C24" s="440">
        <f t="shared" si="0"/>
        <v>-0.03745118528891424</v>
      </c>
      <c r="D24" s="444"/>
    </row>
    <row r="25" spans="1:4" ht="12.75">
      <c r="A25" s="442">
        <v>38472</v>
      </c>
      <c r="B25" s="443">
        <v>23.94</v>
      </c>
      <c r="C25" s="440">
        <f t="shared" si="0"/>
        <v>0.10054524568132839</v>
      </c>
      <c r="D25" s="444"/>
    </row>
    <row r="26" spans="1:4" ht="12.75">
      <c r="A26" s="442">
        <v>38442</v>
      </c>
      <c r="B26" s="443">
        <v>21.65</v>
      </c>
      <c r="C26" s="440">
        <f t="shared" si="0"/>
        <v>0.18741533951421097</v>
      </c>
      <c r="D26" s="444"/>
    </row>
    <row r="27" spans="1:4" ht="12.75">
      <c r="A27" s="442">
        <v>38412</v>
      </c>
      <c r="B27" s="443">
        <v>17.95</v>
      </c>
      <c r="C27" s="440">
        <f t="shared" si="0"/>
        <v>0.07939296522713896</v>
      </c>
      <c r="D27" s="444"/>
    </row>
    <row r="28" spans="1:4" ht="12.75">
      <c r="A28" s="442">
        <v>38384</v>
      </c>
      <c r="B28" s="443">
        <v>16.58</v>
      </c>
      <c r="C28" s="440">
        <f t="shared" si="0"/>
        <v>-0.209296615628355</v>
      </c>
      <c r="D28" s="444"/>
    </row>
    <row r="29" spans="1:4" ht="12.75">
      <c r="A29" s="442">
        <v>38353</v>
      </c>
      <c r="B29" s="443">
        <v>20.44</v>
      </c>
      <c r="C29" s="440">
        <f t="shared" si="0"/>
        <v>-0.09290558319661316</v>
      </c>
      <c r="D29" s="444"/>
    </row>
    <row r="30" spans="1:4" ht="12.75">
      <c r="A30" s="442">
        <v>38321</v>
      </c>
      <c r="B30" s="443">
        <v>22.43</v>
      </c>
      <c r="C30" s="440">
        <f t="shared" si="0"/>
        <v>0.02254378610232015</v>
      </c>
      <c r="D30" s="444"/>
    </row>
    <row r="31" spans="1:4" ht="12.75">
      <c r="A31" s="442">
        <v>38293</v>
      </c>
      <c r="B31" s="443">
        <v>21.93</v>
      </c>
      <c r="C31" s="440">
        <f t="shared" si="0"/>
        <v>-0.1405744752432155</v>
      </c>
      <c r="D31" s="444"/>
    </row>
    <row r="32" spans="1:4" ht="12.75">
      <c r="A32" s="442">
        <v>38260</v>
      </c>
      <c r="B32" s="443">
        <v>25.24</v>
      </c>
      <c r="C32" s="440">
        <f t="shared" si="0"/>
        <v>-0.16909393862283414</v>
      </c>
      <c r="D32" s="444"/>
    </row>
    <row r="33" spans="1:4" ht="12.75">
      <c r="A33" s="442">
        <v>38231</v>
      </c>
      <c r="B33" s="443">
        <v>29.89</v>
      </c>
      <c r="C33" s="440">
        <f t="shared" si="0"/>
        <v>-0.05278097947333677</v>
      </c>
      <c r="D33" s="444"/>
    </row>
    <row r="34" spans="1:4" ht="12.75">
      <c r="A34" s="442">
        <v>38199</v>
      </c>
      <c r="B34" s="443">
        <v>31.51</v>
      </c>
      <c r="C34" s="440">
        <f t="shared" si="0"/>
        <v>0.0638828596891823</v>
      </c>
      <c r="D34" s="444"/>
    </row>
    <row r="35" spans="1:4" ht="12.75">
      <c r="A35" s="442">
        <v>38168</v>
      </c>
      <c r="B35" s="443">
        <v>29.56</v>
      </c>
      <c r="C35" s="440">
        <f t="shared" si="0"/>
        <v>-0.0276915108487007</v>
      </c>
      <c r="D35" s="444"/>
    </row>
    <row r="36" spans="1:4" ht="12.75">
      <c r="A36" s="442">
        <v>38139</v>
      </c>
      <c r="B36" s="443">
        <v>30.39</v>
      </c>
      <c r="C36" s="440">
        <f t="shared" si="0"/>
        <v>-0.07417848158438727</v>
      </c>
      <c r="D36" s="444"/>
    </row>
    <row r="37" spans="1:4" ht="12.75">
      <c r="A37" s="442">
        <v>38107</v>
      </c>
      <c r="B37" s="443">
        <v>32.73</v>
      </c>
      <c r="C37" s="440">
        <f t="shared" si="0"/>
        <v>0.035451473699095244</v>
      </c>
      <c r="D37" s="444"/>
    </row>
    <row r="38" spans="1:4" ht="12.75">
      <c r="A38" s="442">
        <v>38077</v>
      </c>
      <c r="B38" s="443">
        <v>31.59</v>
      </c>
      <c r="C38" s="440">
        <f t="shared" si="0"/>
        <v>0.033148650515674026</v>
      </c>
      <c r="D38" s="444"/>
    </row>
    <row r="39" spans="1:4" ht="12.75">
      <c r="A39" s="442">
        <v>38048</v>
      </c>
      <c r="B39" s="443">
        <v>30.56</v>
      </c>
      <c r="C39" s="440">
        <f t="shared" si="0"/>
        <v>-0.03251533827158062</v>
      </c>
      <c r="D39" s="444"/>
    </row>
    <row r="40" spans="1:4" ht="12.75">
      <c r="A40" s="442">
        <v>38017</v>
      </c>
      <c r="B40" s="443">
        <v>31.57</v>
      </c>
      <c r="C40" s="440">
        <f t="shared" si="0"/>
        <v>0.08284464442776358</v>
      </c>
      <c r="D40" s="444"/>
    </row>
    <row r="41" spans="1:4" ht="12.75">
      <c r="A41" s="442">
        <v>37987</v>
      </c>
      <c r="B41" s="443">
        <v>29.06</v>
      </c>
      <c r="C41" s="440">
        <f t="shared" si="0"/>
        <v>-0.07871830941886898</v>
      </c>
      <c r="D41" s="444"/>
    </row>
    <row r="42" spans="1:4" ht="12.75">
      <c r="A42" s="442">
        <v>37957</v>
      </c>
      <c r="B42" s="443">
        <v>31.44</v>
      </c>
      <c r="C42" s="440">
        <f t="shared" si="0"/>
        <v>-0.015778175225860534</v>
      </c>
      <c r="D42" s="444"/>
    </row>
    <row r="43" spans="1:4" ht="12.75">
      <c r="A43" s="442">
        <v>37925</v>
      </c>
      <c r="B43" s="443">
        <v>31.94</v>
      </c>
      <c r="C43" s="440">
        <f t="shared" si="0"/>
        <v>-0.0437981499764161</v>
      </c>
      <c r="D43" s="444"/>
    </row>
    <row r="44" spans="1:4" ht="12.75">
      <c r="A44" s="442">
        <v>37894</v>
      </c>
      <c r="B44" s="443">
        <v>33.37</v>
      </c>
      <c r="C44" s="440">
        <f t="shared" si="0"/>
        <v>0.006916280764865664</v>
      </c>
      <c r="D44" s="444"/>
    </row>
    <row r="45" spans="1:4" ht="12.75">
      <c r="A45" s="442">
        <v>37867</v>
      </c>
      <c r="B45" s="443">
        <v>33.14</v>
      </c>
      <c r="C45" s="440">
        <f t="shared" si="0"/>
        <v>0.02320006374892769</v>
      </c>
      <c r="D45" s="444"/>
    </row>
    <row r="46" spans="1:4" ht="12.75">
      <c r="A46" s="442">
        <v>37833</v>
      </c>
      <c r="B46" s="443">
        <v>32.38</v>
      </c>
      <c r="C46" s="440">
        <f t="shared" si="0"/>
        <v>0.018074658463358026</v>
      </c>
      <c r="D46" s="444"/>
    </row>
    <row r="47" spans="1:4" ht="12.75">
      <c r="A47" s="442">
        <v>37803</v>
      </c>
      <c r="B47" s="443">
        <v>31.8</v>
      </c>
      <c r="C47" s="440">
        <f t="shared" si="0"/>
        <v>-0.03400636798519498</v>
      </c>
      <c r="D47" s="444"/>
    </row>
    <row r="48" spans="1:4" ht="12.75">
      <c r="A48" s="442">
        <v>37772</v>
      </c>
      <c r="B48" s="443">
        <v>32.9</v>
      </c>
      <c r="C48" s="440">
        <f t="shared" si="0"/>
        <v>-0.03728992824547289</v>
      </c>
      <c r="D48" s="444"/>
    </row>
    <row r="49" spans="1:4" ht="12.75">
      <c r="A49" s="442">
        <v>37741</v>
      </c>
      <c r="B49" s="443">
        <v>34.15</v>
      </c>
      <c r="C49" s="440">
        <f t="shared" si="0"/>
        <v>0.012968056770829682</v>
      </c>
      <c r="D49" s="444"/>
    </row>
    <row r="50" spans="1:4" ht="12.75">
      <c r="A50" s="442">
        <v>37712</v>
      </c>
      <c r="B50" s="443">
        <v>33.71</v>
      </c>
      <c r="C50" s="440">
        <f t="shared" si="0"/>
        <v>0.01584724448367103</v>
      </c>
      <c r="D50" s="444"/>
    </row>
    <row r="51" spans="1:4" ht="12.75">
      <c r="A51" s="442">
        <v>37680</v>
      </c>
      <c r="B51" s="443">
        <v>33.18</v>
      </c>
      <c r="C51" s="440">
        <f t="shared" si="0"/>
        <v>0.005439723295818121</v>
      </c>
      <c r="D51" s="444"/>
    </row>
    <row r="52" spans="1:4" ht="12.75">
      <c r="A52" s="442">
        <v>37652</v>
      </c>
      <c r="B52" s="443">
        <v>33</v>
      </c>
      <c r="C52" s="440">
        <f t="shared" si="0"/>
        <v>-0.02661242415247978</v>
      </c>
      <c r="D52" s="444"/>
    </row>
    <row r="53" spans="1:4" ht="12.75">
      <c r="A53" s="442">
        <v>37623</v>
      </c>
      <c r="B53" s="443">
        <v>33.89</v>
      </c>
      <c r="C53" s="440">
        <f t="shared" si="0"/>
        <v>0.026006547126977954</v>
      </c>
      <c r="D53" s="444"/>
    </row>
    <row r="54" spans="1:4" ht="12.75">
      <c r="A54" s="442">
        <v>37590</v>
      </c>
      <c r="B54" s="443">
        <v>33.02</v>
      </c>
      <c r="C54" s="440">
        <f t="shared" si="0"/>
        <v>0.04522294251430864</v>
      </c>
      <c r="D54" s="444"/>
    </row>
    <row r="55" spans="1:4" ht="12.75">
      <c r="A55" s="442">
        <v>37560</v>
      </c>
      <c r="B55" s="443">
        <v>31.56</v>
      </c>
      <c r="C55" s="440">
        <f t="shared" si="0"/>
        <v>0.04936066908173945</v>
      </c>
      <c r="D55" s="444"/>
    </row>
    <row r="56" spans="1:4" ht="12.75">
      <c r="A56" s="442">
        <v>37530</v>
      </c>
      <c r="B56" s="443">
        <v>30.04</v>
      </c>
      <c r="C56" s="440">
        <f t="shared" si="0"/>
        <v>0.017461827163662288</v>
      </c>
      <c r="D56" s="444"/>
    </row>
    <row r="57" spans="1:4" ht="12.75">
      <c r="A57" s="442">
        <v>37499</v>
      </c>
      <c r="B57" s="443">
        <v>29.52</v>
      </c>
      <c r="C57" s="440">
        <f t="shared" si="0"/>
        <v>0.041852900608463625</v>
      </c>
      <c r="D57" s="444"/>
    </row>
    <row r="58" spans="1:4" ht="12.75">
      <c r="A58" s="442">
        <v>37468</v>
      </c>
      <c r="B58" s="443">
        <v>28.31</v>
      </c>
      <c r="C58" s="440">
        <f t="shared" si="0"/>
        <v>-0.0014119310499528888</v>
      </c>
      <c r="D58" s="444"/>
    </row>
    <row r="59" spans="1:4" ht="12.75">
      <c r="A59" s="442">
        <v>37439</v>
      </c>
      <c r="B59" s="443">
        <v>28.35</v>
      </c>
      <c r="C59" s="440">
        <f t="shared" si="0"/>
        <v>-0.010526412986987392</v>
      </c>
      <c r="D59" s="444"/>
    </row>
    <row r="60" spans="1:4" ht="12.75">
      <c r="A60" s="442">
        <v>37407</v>
      </c>
      <c r="B60" s="443">
        <v>28.65</v>
      </c>
      <c r="C60" s="440">
        <f t="shared" si="0"/>
        <v>-0.01661512781059464</v>
      </c>
      <c r="D60" s="444"/>
    </row>
    <row r="61" spans="1:4" ht="12.75">
      <c r="A61" s="442">
        <v>37376</v>
      </c>
      <c r="B61" s="443">
        <v>29.13</v>
      </c>
      <c r="C61" s="440">
        <f t="shared" si="0"/>
        <v>0.08710500556513932</v>
      </c>
      <c r="D61" s="444"/>
    </row>
    <row r="62" spans="1:4" ht="12.75">
      <c r="A62" s="442">
        <v>37348</v>
      </c>
      <c r="B62" s="443">
        <v>26.7</v>
      </c>
      <c r="C62" s="440">
        <f t="shared" si="0"/>
        <v>0.0026251655803630437</v>
      </c>
      <c r="D62" s="444"/>
    </row>
    <row r="63" spans="1:4" ht="12.75">
      <c r="A63" s="442">
        <v>37315</v>
      </c>
      <c r="B63" s="443">
        <v>26.63</v>
      </c>
      <c r="C63" s="440">
        <f t="shared" si="0"/>
        <v>-0.003748130324986865</v>
      </c>
      <c r="D63" s="444"/>
    </row>
    <row r="64" spans="1:4" ht="12.75">
      <c r="A64" s="442">
        <v>37287</v>
      </c>
      <c r="B64" s="443">
        <v>26.73</v>
      </c>
      <c r="C64" s="440">
        <f t="shared" si="0"/>
        <v>0.10067433543543584</v>
      </c>
      <c r="D64" s="444"/>
    </row>
    <row r="65" spans="1:4" ht="12.75">
      <c r="A65" s="442">
        <v>37258</v>
      </c>
      <c r="B65" s="443">
        <v>24.17</v>
      </c>
      <c r="C65" s="440">
        <f t="shared" si="0"/>
        <v>0.05441206075091637</v>
      </c>
      <c r="D65" s="444"/>
    </row>
    <row r="66" spans="1:4" ht="12.75">
      <c r="A66" s="442">
        <v>37225</v>
      </c>
      <c r="B66" s="443">
        <v>22.89</v>
      </c>
      <c r="C66" s="440">
        <f t="shared" si="0"/>
        <v>-0.02885022481891059</v>
      </c>
      <c r="D66" s="444"/>
    </row>
    <row r="67" spans="1:4" ht="12.75">
      <c r="A67" s="442">
        <v>37195</v>
      </c>
      <c r="B67" s="443">
        <v>23.56</v>
      </c>
      <c r="C67" s="440">
        <f t="shared" si="0"/>
        <v>0.022752644950792066</v>
      </c>
      <c r="D67" s="444"/>
    </row>
    <row r="68" spans="1:4" ht="12.75">
      <c r="A68" s="442">
        <v>37166</v>
      </c>
      <c r="B68" s="443">
        <v>23.03</v>
      </c>
      <c r="C68" s="440">
        <f t="shared" si="0"/>
        <v>0.010037177872198719</v>
      </c>
      <c r="D68" s="444"/>
    </row>
    <row r="69" spans="1:4" ht="12.75">
      <c r="A69" s="442">
        <v>37134</v>
      </c>
      <c r="B69" s="443">
        <v>22.8</v>
      </c>
      <c r="C69" s="440">
        <f t="shared" si="0"/>
        <v>-0.042925044717033886</v>
      </c>
      <c r="D69" s="444"/>
    </row>
    <row r="70" spans="1:4" ht="12.75">
      <c r="A70" s="442">
        <v>37103</v>
      </c>
      <c r="B70" s="443">
        <v>23.8</v>
      </c>
      <c r="C70" s="440">
        <f t="shared" si="0"/>
        <v>-0.01790595415100532</v>
      </c>
      <c r="D70" s="444"/>
    </row>
    <row r="71" spans="1:4" ht="12.75">
      <c r="A71" s="442">
        <v>37072</v>
      </c>
      <c r="B71" s="443">
        <v>24.23</v>
      </c>
      <c r="C71" s="440">
        <f t="shared" si="0"/>
        <v>0.01832621051356806</v>
      </c>
      <c r="D71" s="444"/>
    </row>
    <row r="72" spans="1:4" ht="12.75">
      <c r="A72" s="442">
        <v>37042</v>
      </c>
      <c r="B72" s="443">
        <v>23.79</v>
      </c>
      <c r="C72" s="440">
        <f t="shared" si="0"/>
        <v>-0.08613527523570672</v>
      </c>
      <c r="D72" s="444"/>
    </row>
    <row r="73" spans="1:4" ht="12.75">
      <c r="A73" s="442">
        <v>37012</v>
      </c>
      <c r="B73" s="443">
        <v>25.93</v>
      </c>
      <c r="C73" s="440">
        <f t="shared" si="0"/>
        <v>0.03852677735304534</v>
      </c>
      <c r="D73" s="444"/>
    </row>
    <row r="74" spans="1:4" ht="12.75">
      <c r="A74" s="442">
        <v>36981</v>
      </c>
      <c r="B74" s="443">
        <v>24.95</v>
      </c>
      <c r="C74" s="440">
        <f t="shared" si="0"/>
        <v>-0.08450322418241679</v>
      </c>
      <c r="D74" s="444"/>
    </row>
    <row r="75" spans="1:4" ht="12.75">
      <c r="A75" s="442">
        <v>36950</v>
      </c>
      <c r="B75" s="443">
        <v>27.15</v>
      </c>
      <c r="C75" s="440">
        <f t="shared" si="0"/>
        <v>0.028013036227673888</v>
      </c>
      <c r="D75" s="444"/>
    </row>
    <row r="76" spans="1:4" ht="12.75">
      <c r="A76" s="442">
        <v>36922</v>
      </c>
      <c r="B76" s="443">
        <v>26.4</v>
      </c>
      <c r="C76" s="440">
        <f t="shared" si="0"/>
        <v>-0.024322995140220134</v>
      </c>
      <c r="D76" s="444"/>
    </row>
    <row r="77" spans="1:4" ht="12.75">
      <c r="A77" s="442">
        <v>36893</v>
      </c>
      <c r="B77" s="443">
        <v>27.05</v>
      </c>
      <c r="C77" s="440">
        <f t="shared" si="0"/>
        <v>0.029259401595042017</v>
      </c>
      <c r="D77" s="444"/>
    </row>
    <row r="78" spans="1:4" ht="12.75">
      <c r="A78" s="442">
        <v>36860</v>
      </c>
      <c r="B78" s="443">
        <v>26.27</v>
      </c>
      <c r="C78" s="440">
        <f t="shared" si="0"/>
        <v>0.04277479455022382</v>
      </c>
      <c r="D78" s="444"/>
    </row>
    <row r="79" spans="1:4" ht="12.75">
      <c r="A79" s="442">
        <v>36830</v>
      </c>
      <c r="B79" s="443">
        <v>25.17</v>
      </c>
      <c r="C79" s="440">
        <f t="shared" si="0"/>
        <v>0.0635589983780083</v>
      </c>
      <c r="D79" s="444"/>
    </row>
    <row r="80" spans="1:4" ht="12.75">
      <c r="A80" s="442">
        <v>36799</v>
      </c>
      <c r="B80" s="443">
        <v>23.62</v>
      </c>
      <c r="C80" s="440">
        <f aca="true" t="shared" si="1" ref="C80:C143">LN(B80/B81)</f>
        <v>0.11187335193115555</v>
      </c>
      <c r="D80" s="444"/>
    </row>
    <row r="81" spans="1:4" ht="12.75">
      <c r="A81" s="442">
        <v>36769</v>
      </c>
      <c r="B81" s="443">
        <v>21.12</v>
      </c>
      <c r="C81" s="440">
        <f t="shared" si="1"/>
        <v>0.0042704691234522855</v>
      </c>
      <c r="D81" s="444"/>
    </row>
    <row r="82" spans="1:4" ht="12.75">
      <c r="A82" s="442">
        <v>36739</v>
      </c>
      <c r="B82" s="443">
        <v>21.03</v>
      </c>
      <c r="C82" s="440">
        <f t="shared" si="1"/>
        <v>-0.027668822496453804</v>
      </c>
      <c r="D82" s="444"/>
    </row>
    <row r="83" spans="1:4" ht="12.75">
      <c r="A83" s="442">
        <v>36707</v>
      </c>
      <c r="B83" s="443">
        <v>21.62</v>
      </c>
      <c r="C83" s="440">
        <f t="shared" si="1"/>
        <v>-0.0990036281396765</v>
      </c>
      <c r="D83" s="444"/>
    </row>
    <row r="84" spans="1:4" ht="12.75">
      <c r="A84" s="442">
        <v>36677</v>
      </c>
      <c r="B84" s="443">
        <v>23.87</v>
      </c>
      <c r="C84" s="440">
        <f t="shared" si="1"/>
        <v>0.08248949137526351</v>
      </c>
      <c r="D84" s="444"/>
    </row>
    <row r="85" spans="1:4" ht="12.75">
      <c r="A85" s="442">
        <v>36648</v>
      </c>
      <c r="B85" s="443">
        <v>21.98</v>
      </c>
      <c r="C85" s="440">
        <f t="shared" si="1"/>
        <v>0.018829488574410243</v>
      </c>
      <c r="D85" s="444"/>
    </row>
    <row r="86" spans="1:4" ht="12.75">
      <c r="A86" s="442">
        <v>36616</v>
      </c>
      <c r="B86" s="443">
        <v>21.57</v>
      </c>
      <c r="C86" s="440">
        <f t="shared" si="1"/>
        <v>-0.08143256196259067</v>
      </c>
      <c r="D86" s="444"/>
    </row>
    <row r="87" spans="1:4" ht="12.75">
      <c r="A87" s="442">
        <v>36585</v>
      </c>
      <c r="B87" s="443">
        <v>23.4</v>
      </c>
      <c r="C87" s="440">
        <f t="shared" si="1"/>
        <v>-0.06012173017898216</v>
      </c>
      <c r="D87" s="444"/>
    </row>
    <row r="88" spans="1:4" ht="12.75">
      <c r="A88" s="442">
        <v>36557</v>
      </c>
      <c r="B88" s="443">
        <v>24.85</v>
      </c>
      <c r="C88" s="440">
        <f t="shared" si="1"/>
        <v>0.10023172751714751</v>
      </c>
      <c r="D88" s="444"/>
    </row>
    <row r="89" spans="1:4" ht="12.75">
      <c r="A89" s="442">
        <v>36526</v>
      </c>
      <c r="B89" s="443">
        <v>22.48</v>
      </c>
      <c r="C89" s="440">
        <f t="shared" si="1"/>
        <v>0.028425103483891143</v>
      </c>
      <c r="D89" s="444"/>
    </row>
    <row r="90" spans="1:4" ht="12.75">
      <c r="A90" s="442">
        <v>36494</v>
      </c>
      <c r="B90" s="443">
        <v>21.85</v>
      </c>
      <c r="C90" s="440">
        <f t="shared" si="1"/>
        <v>0.019875856521996377</v>
      </c>
      <c r="D90" s="444"/>
    </row>
    <row r="91" spans="1:4" ht="12.75">
      <c r="A91" s="442">
        <v>36466</v>
      </c>
      <c r="B91" s="443">
        <v>21.42</v>
      </c>
      <c r="C91" s="440">
        <f t="shared" si="1"/>
        <v>0.01980262729617973</v>
      </c>
      <c r="D91" s="444"/>
    </row>
    <row r="92" spans="1:4" ht="12.75">
      <c r="A92" s="442">
        <v>36433</v>
      </c>
      <c r="B92" s="443">
        <v>21</v>
      </c>
      <c r="C92" s="440">
        <f t="shared" si="1"/>
        <v>0.11546429743742477</v>
      </c>
      <c r="D92" s="444"/>
    </row>
    <row r="93" spans="1:4" ht="12.75">
      <c r="A93" s="442">
        <v>36404</v>
      </c>
      <c r="B93" s="443">
        <v>18.71</v>
      </c>
      <c r="C93" s="440">
        <f t="shared" si="1"/>
        <v>-0.016432916831245897</v>
      </c>
      <c r="D93" s="444"/>
    </row>
    <row r="94" spans="1:4" ht="12.75">
      <c r="A94" s="442">
        <v>36372</v>
      </c>
      <c r="B94" s="443">
        <v>19.02</v>
      </c>
      <c r="C94" s="440">
        <f t="shared" si="1"/>
        <v>-0.06709833350316967</v>
      </c>
      <c r="D94" s="444"/>
    </row>
    <row r="95" spans="1:4" ht="12.75">
      <c r="A95" s="442">
        <v>36341</v>
      </c>
      <c r="B95" s="443">
        <v>20.34</v>
      </c>
      <c r="C95" s="440">
        <f t="shared" si="1"/>
        <v>0.10459603137442959</v>
      </c>
      <c r="D95" s="444"/>
    </row>
    <row r="96" spans="1:4" ht="12.75">
      <c r="A96" s="442">
        <v>36312</v>
      </c>
      <c r="B96" s="443">
        <v>18.32</v>
      </c>
      <c r="C96" s="440">
        <f t="shared" si="1"/>
        <v>0.004924770555412559</v>
      </c>
      <c r="D96" s="444"/>
    </row>
    <row r="97" spans="1:4" ht="12.75">
      <c r="A97" s="442">
        <v>36280</v>
      </c>
      <c r="B97" s="443">
        <v>18.23</v>
      </c>
      <c r="C97" s="440">
        <f t="shared" si="1"/>
        <v>0.05178421950245392</v>
      </c>
      <c r="D97" s="444"/>
    </row>
    <row r="98" spans="1:4" ht="12.75">
      <c r="A98" s="442">
        <v>36250</v>
      </c>
      <c r="B98" s="443">
        <v>17.31</v>
      </c>
      <c r="C98" s="440">
        <f t="shared" si="1"/>
        <v>0.0919075409205672</v>
      </c>
      <c r="D98" s="444"/>
    </row>
    <row r="99" spans="1:4" ht="12.75">
      <c r="A99" s="442">
        <v>36221</v>
      </c>
      <c r="B99" s="443">
        <v>15.79</v>
      </c>
      <c r="C99" s="440">
        <f t="shared" si="1"/>
        <v>-0.002530045625370066</v>
      </c>
      <c r="D99" s="444"/>
    </row>
    <row r="100" spans="1:4" ht="12.75">
      <c r="A100" s="442">
        <v>36193</v>
      </c>
      <c r="B100" s="443">
        <v>15.83</v>
      </c>
      <c r="C100" s="440">
        <f t="shared" si="1"/>
        <v>-0.024954507633579082</v>
      </c>
      <c r="D100" s="444"/>
    </row>
    <row r="101" spans="1:4" ht="12.75">
      <c r="A101" s="442">
        <v>36161</v>
      </c>
      <c r="B101" s="443">
        <v>16.23</v>
      </c>
      <c r="C101" s="440">
        <f t="shared" si="1"/>
        <v>0.07018185372623521</v>
      </c>
      <c r="D101" s="444"/>
    </row>
    <row r="102" spans="1:4" ht="12.75">
      <c r="A102" s="442">
        <v>36130</v>
      </c>
      <c r="B102" s="443">
        <v>15.13</v>
      </c>
      <c r="C102" s="440">
        <f t="shared" si="1"/>
        <v>-0.18254184537288268</v>
      </c>
      <c r="D102" s="444"/>
    </row>
    <row r="103" spans="1:4" ht="12.75">
      <c r="A103" s="442">
        <v>36099</v>
      </c>
      <c r="B103" s="443">
        <v>18.16</v>
      </c>
      <c r="C103" s="440">
        <f t="shared" si="1"/>
        <v>0.17136854477475746</v>
      </c>
      <c r="D103" s="444"/>
    </row>
    <row r="104" spans="1:4" ht="12.75">
      <c r="A104" s="442">
        <v>36068</v>
      </c>
      <c r="B104" s="443">
        <v>15.3</v>
      </c>
      <c r="C104" s="440">
        <f t="shared" si="1"/>
        <v>0.0981245940716496</v>
      </c>
      <c r="D104" s="444"/>
    </row>
    <row r="105" spans="1:4" ht="12.75">
      <c r="A105" s="442">
        <v>36040</v>
      </c>
      <c r="B105" s="443">
        <v>13.87</v>
      </c>
      <c r="C105" s="440">
        <f t="shared" si="1"/>
        <v>-0.03541446576419332</v>
      </c>
      <c r="D105" s="444"/>
    </row>
    <row r="106" spans="1:4" ht="12.75">
      <c r="A106" s="442">
        <v>36007</v>
      </c>
      <c r="B106" s="443">
        <v>14.37</v>
      </c>
      <c r="C106" s="440">
        <f t="shared" si="1"/>
        <v>-0.12295020868481302</v>
      </c>
      <c r="D106" s="444"/>
    </row>
    <row r="107" spans="1:4" ht="12.75">
      <c r="A107" s="442">
        <v>35976</v>
      </c>
      <c r="B107" s="443">
        <v>16.25</v>
      </c>
      <c r="C107" s="440">
        <f t="shared" si="1"/>
        <v>-0.06376899435854265</v>
      </c>
      <c r="D107" s="444"/>
    </row>
    <row r="108" spans="1:4" ht="12.75">
      <c r="A108" s="442">
        <v>35948</v>
      </c>
      <c r="B108" s="443">
        <v>17.32</v>
      </c>
      <c r="C108" s="440">
        <f t="shared" si="1"/>
        <v>-0.19218423069825244</v>
      </c>
      <c r="D108" s="444"/>
    </row>
    <row r="109" spans="1:4" ht="12.75">
      <c r="A109" s="442">
        <v>35915</v>
      </c>
      <c r="B109" s="443">
        <v>20.99</v>
      </c>
      <c r="C109" s="440">
        <f t="shared" si="1"/>
        <v>-0.01184006254119642</v>
      </c>
      <c r="D109" s="444"/>
    </row>
    <row r="110" spans="1:4" ht="12.75">
      <c r="A110" s="442">
        <v>35885</v>
      </c>
      <c r="B110" s="443">
        <v>21.24</v>
      </c>
      <c r="C110" s="440">
        <f t="shared" si="1"/>
        <v>0.004246290881451004</v>
      </c>
      <c r="D110" s="444"/>
    </row>
    <row r="111" spans="1:4" ht="12.75">
      <c r="A111" s="442">
        <v>35854</v>
      </c>
      <c r="B111" s="443">
        <v>21.15</v>
      </c>
      <c r="C111" s="440">
        <f t="shared" si="1"/>
        <v>0.0037896776761893354</v>
      </c>
      <c r="D111" s="444"/>
    </row>
    <row r="112" spans="1:4" ht="12.75">
      <c r="A112" s="442">
        <v>35826</v>
      </c>
      <c r="B112" s="443">
        <v>21.07</v>
      </c>
      <c r="C112" s="440">
        <f t="shared" si="1"/>
        <v>0.08774513190525773</v>
      </c>
      <c r="D112" s="444"/>
    </row>
    <row r="113" spans="1:4" ht="12.75">
      <c r="A113" s="442">
        <v>35796</v>
      </c>
      <c r="B113" s="443">
        <v>19.3</v>
      </c>
      <c r="C113" s="440">
        <f t="shared" si="1"/>
        <v>0.016192571086645534</v>
      </c>
      <c r="D113" s="444"/>
    </row>
    <row r="114" spans="1:4" ht="12.75">
      <c r="A114" s="442">
        <v>35766</v>
      </c>
      <c r="B114" s="443">
        <v>18.99</v>
      </c>
      <c r="C114" s="440">
        <f t="shared" si="1"/>
        <v>0.022903797466139936</v>
      </c>
      <c r="D114" s="444"/>
    </row>
    <row r="115" spans="1:4" ht="12.75">
      <c r="A115" s="442">
        <v>35734</v>
      </c>
      <c r="B115" s="443">
        <v>18.56</v>
      </c>
      <c r="C115" s="440">
        <f t="shared" si="1"/>
        <v>0.09665807055968356</v>
      </c>
      <c r="D115" s="444"/>
    </row>
    <row r="116" spans="1:4" ht="12.75">
      <c r="A116" s="442">
        <v>35703</v>
      </c>
      <c r="B116" s="443">
        <v>16.85</v>
      </c>
      <c r="C116" s="440">
        <f t="shared" si="1"/>
        <v>-0.0017788323694401626</v>
      </c>
      <c r="D116" s="444"/>
    </row>
    <row r="117" spans="1:4" ht="12.75">
      <c r="A117" s="442">
        <v>35676</v>
      </c>
      <c r="B117" s="443">
        <v>16.88</v>
      </c>
      <c r="C117" s="440">
        <f t="shared" si="1"/>
        <v>-0.31197002567310195</v>
      </c>
      <c r="D117" s="444"/>
    </row>
    <row r="118" spans="1:4" ht="12.75">
      <c r="A118" s="442">
        <v>35642</v>
      </c>
      <c r="B118" s="443">
        <v>23.06</v>
      </c>
      <c r="C118" s="440">
        <f t="shared" si="1"/>
        <v>-0.03536044649680527</v>
      </c>
      <c r="D118" s="444"/>
    </row>
    <row r="119" spans="1:4" ht="12.75">
      <c r="A119" s="442">
        <v>35612</v>
      </c>
      <c r="B119" s="443">
        <v>23.89</v>
      </c>
      <c r="C119" s="440">
        <f t="shared" si="1"/>
        <v>-0.09191769718190243</v>
      </c>
      <c r="D119" s="444"/>
    </row>
    <row r="120" spans="1:4" ht="12.75">
      <c r="A120" s="442">
        <v>35581</v>
      </c>
      <c r="B120" s="443">
        <v>26.19</v>
      </c>
      <c r="C120" s="440">
        <f t="shared" si="1"/>
        <v>-0.09047362137565801</v>
      </c>
      <c r="D120" s="444"/>
    </row>
    <row r="121" spans="1:4" ht="12.75">
      <c r="A121" s="442">
        <v>35550</v>
      </c>
      <c r="B121" s="443">
        <v>28.67</v>
      </c>
      <c r="C121" s="440">
        <f t="shared" si="1"/>
        <v>0.04421397494576675</v>
      </c>
      <c r="D121" s="444"/>
    </row>
    <row r="122" spans="1:4" ht="12.75">
      <c r="A122" s="442">
        <v>35521</v>
      </c>
      <c r="B122" s="443">
        <v>27.43</v>
      </c>
      <c r="C122" s="440">
        <f t="shared" si="1"/>
        <v>0.05623670539893886</v>
      </c>
      <c r="D122" s="444"/>
    </row>
    <row r="123" spans="1:4" ht="12.75">
      <c r="A123" s="442">
        <v>35489</v>
      </c>
      <c r="B123" s="443">
        <v>25.93</v>
      </c>
      <c r="C123" s="440">
        <f t="shared" si="1"/>
        <v>-0.07894447512374186</v>
      </c>
      <c r="D123" s="444"/>
    </row>
    <row r="124" spans="1:4" ht="12.75">
      <c r="A124" s="442">
        <v>35461</v>
      </c>
      <c r="B124" s="443">
        <v>28.06</v>
      </c>
      <c r="C124" s="440">
        <f t="shared" si="1"/>
        <v>0.016167048732251804</v>
      </c>
      <c r="D124" s="444"/>
    </row>
    <row r="125" spans="1:4" ht="12.75">
      <c r="A125" s="442">
        <v>35431</v>
      </c>
      <c r="B125" s="443">
        <v>27.61</v>
      </c>
      <c r="C125" s="440">
        <f t="shared" si="1"/>
        <v>0.0508930618661748</v>
      </c>
      <c r="D125" s="444"/>
    </row>
    <row r="126" spans="1:4" ht="12.75">
      <c r="A126" s="442">
        <v>35399</v>
      </c>
      <c r="B126" s="443">
        <v>26.24</v>
      </c>
      <c r="C126" s="440">
        <f t="shared" si="1"/>
        <v>0.006883392379189245</v>
      </c>
      <c r="D126" s="444"/>
    </row>
    <row r="127" spans="1:4" ht="12.75">
      <c r="A127" s="442">
        <v>35369</v>
      </c>
      <c r="B127" s="443">
        <v>26.06</v>
      </c>
      <c r="C127" s="440">
        <f t="shared" si="1"/>
        <v>-0.2131164715450825</v>
      </c>
      <c r="D127" s="444"/>
    </row>
    <row r="128" spans="1:4" ht="12.75">
      <c r="A128" s="442">
        <v>35339</v>
      </c>
      <c r="B128" s="443">
        <v>32.25</v>
      </c>
      <c r="C128" s="440">
        <f t="shared" si="1"/>
        <v>-0.06570063631774853</v>
      </c>
      <c r="D128" s="444"/>
    </row>
    <row r="129" spans="1:4" ht="12.75">
      <c r="A129" s="442">
        <v>35308</v>
      </c>
      <c r="B129" s="443">
        <v>34.44</v>
      </c>
      <c r="C129" s="440">
        <f t="shared" si="1"/>
        <v>-0.018127384592556715</v>
      </c>
      <c r="D129" s="444"/>
    </row>
    <row r="130" spans="1:4" ht="12.75">
      <c r="A130" s="442">
        <v>35277</v>
      </c>
      <c r="B130" s="443">
        <v>35.07</v>
      </c>
      <c r="C130" s="440">
        <f t="shared" si="1"/>
        <v>0.010030174359937251</v>
      </c>
      <c r="D130" s="444"/>
    </row>
    <row r="131" spans="1:4" ht="12.75">
      <c r="A131" s="442">
        <v>35248</v>
      </c>
      <c r="B131" s="443">
        <v>34.72</v>
      </c>
      <c r="C131" s="440">
        <f t="shared" si="1"/>
        <v>-0.006602578887669947</v>
      </c>
      <c r="D131" s="444"/>
    </row>
    <row r="132" spans="1:4" ht="12.75">
      <c r="A132" s="442">
        <v>35216</v>
      </c>
      <c r="B132" s="443">
        <v>34.95</v>
      </c>
      <c r="C132" s="440">
        <f t="shared" si="1"/>
        <v>-0.08340449851971495</v>
      </c>
      <c r="D132" s="444"/>
    </row>
    <row r="133" spans="1:4" ht="12.75">
      <c r="A133" s="442">
        <v>35185</v>
      </c>
      <c r="B133" s="443">
        <v>37.99</v>
      </c>
      <c r="C133" s="440">
        <f t="shared" si="1"/>
        <v>-0.033647066370834075</v>
      </c>
      <c r="D133" s="444"/>
    </row>
    <row r="134" spans="1:4" ht="12.75">
      <c r="A134" s="442">
        <v>35157</v>
      </c>
      <c r="B134" s="443">
        <v>39.29</v>
      </c>
      <c r="C134" s="440">
        <f t="shared" si="1"/>
        <v>0.056275477645808585</v>
      </c>
      <c r="D134" s="444"/>
    </row>
    <row r="135" spans="1:4" ht="12.75">
      <c r="A135" s="442">
        <v>35124</v>
      </c>
      <c r="B135" s="443">
        <v>37.14</v>
      </c>
      <c r="C135" s="440">
        <f t="shared" si="1"/>
        <v>0.19304116569502197</v>
      </c>
      <c r="D135" s="444"/>
    </row>
    <row r="136" spans="1:4" ht="12.75">
      <c r="A136" s="442">
        <v>35095</v>
      </c>
      <c r="B136" s="443">
        <v>30.62</v>
      </c>
      <c r="C136" s="440">
        <f t="shared" si="1"/>
        <v>-0.06572168767367009</v>
      </c>
      <c r="D136" s="444"/>
    </row>
    <row r="137" spans="1:4" ht="12.75">
      <c r="A137" s="442">
        <v>35066</v>
      </c>
      <c r="B137" s="443">
        <v>32.7</v>
      </c>
      <c r="C137" s="440">
        <f t="shared" si="1"/>
        <v>0.2162863815880729</v>
      </c>
      <c r="D137" s="444"/>
    </row>
    <row r="138" spans="1:4" ht="12.75">
      <c r="A138" s="442">
        <v>35033</v>
      </c>
      <c r="B138" s="443">
        <v>26.34</v>
      </c>
      <c r="C138" s="440">
        <f t="shared" si="1"/>
        <v>0.04822085017739678</v>
      </c>
      <c r="D138" s="444"/>
    </row>
    <row r="139" spans="1:4" ht="12.75">
      <c r="A139" s="442">
        <v>35003</v>
      </c>
      <c r="B139" s="443">
        <v>25.1</v>
      </c>
      <c r="C139" s="440">
        <f t="shared" si="1"/>
        <v>0.05908198758749754</v>
      </c>
      <c r="D139" s="444"/>
    </row>
    <row r="140" spans="1:4" ht="12.75">
      <c r="A140" s="442">
        <v>34972</v>
      </c>
      <c r="B140" s="443">
        <v>23.66</v>
      </c>
      <c r="C140" s="440">
        <f t="shared" si="1"/>
        <v>0.021359205845446226</v>
      </c>
      <c r="D140" s="444"/>
    </row>
    <row r="141" spans="1:4" ht="12.75">
      <c r="A141" s="442">
        <v>34942</v>
      </c>
      <c r="B141" s="443">
        <v>23.16</v>
      </c>
      <c r="C141" s="440">
        <f t="shared" si="1"/>
        <v>-0.0651859798846955</v>
      </c>
      <c r="D141" s="444"/>
    </row>
    <row r="142" spans="1:4" ht="12.75">
      <c r="A142" s="442">
        <v>34912</v>
      </c>
      <c r="B142" s="443">
        <v>24.72</v>
      </c>
      <c r="C142" s="440">
        <f t="shared" si="1"/>
        <v>0.006900778348960436</v>
      </c>
      <c r="D142" s="444"/>
    </row>
    <row r="143" spans="1:4" ht="12.75">
      <c r="A143" s="442">
        <v>34880</v>
      </c>
      <c r="B143" s="443">
        <v>24.55</v>
      </c>
      <c r="C143" s="440">
        <f t="shared" si="1"/>
        <v>-0.11165431371500997</v>
      </c>
      <c r="D143" s="444"/>
    </row>
    <row r="144" spans="1:4" ht="12.75">
      <c r="A144" s="442">
        <v>34850</v>
      </c>
      <c r="B144" s="443">
        <v>27.45</v>
      </c>
      <c r="C144" s="440">
        <f aca="true" t="shared" si="2" ref="C144:C207">LN(B144/B145)</f>
        <v>0.05657998906724166</v>
      </c>
      <c r="D144" s="444"/>
    </row>
    <row r="145" spans="1:4" ht="12.75">
      <c r="A145" s="442">
        <v>34821</v>
      </c>
      <c r="B145" s="443">
        <v>25.94</v>
      </c>
      <c r="C145" s="440">
        <f t="shared" si="2"/>
        <v>-0.08636866214007421</v>
      </c>
      <c r="D145" s="444"/>
    </row>
    <row r="146" spans="1:4" ht="12.75">
      <c r="A146" s="442">
        <v>34789</v>
      </c>
      <c r="B146" s="443">
        <v>28.28</v>
      </c>
      <c r="C146" s="440">
        <f t="shared" si="2"/>
        <v>0.02000066670666965</v>
      </c>
      <c r="D146" s="444"/>
    </row>
    <row r="147" spans="1:4" ht="12.75">
      <c r="A147" s="442">
        <v>34758</v>
      </c>
      <c r="B147" s="443">
        <v>27.72</v>
      </c>
      <c r="C147" s="440">
        <f t="shared" si="2"/>
        <v>-0.12306009275722725</v>
      </c>
      <c r="D147" s="444"/>
    </row>
    <row r="148" spans="1:4" ht="12.75">
      <c r="A148" s="442">
        <v>34730</v>
      </c>
      <c r="B148" s="443">
        <v>31.35</v>
      </c>
      <c r="C148" s="440">
        <f t="shared" si="2"/>
        <v>0.0642195927342938</v>
      </c>
      <c r="D148" s="444"/>
    </row>
    <row r="149" spans="1:4" ht="12.75">
      <c r="A149" s="442">
        <v>34702</v>
      </c>
      <c r="B149" s="443">
        <v>29.4</v>
      </c>
      <c r="C149" s="440">
        <f t="shared" si="2"/>
        <v>0.09558232567619099</v>
      </c>
      <c r="D149" s="444"/>
    </row>
    <row r="150" spans="1:4" ht="12.75">
      <c r="A150" s="442">
        <v>34668</v>
      </c>
      <c r="B150" s="443">
        <v>26.72</v>
      </c>
      <c r="C150" s="440">
        <f t="shared" si="2"/>
        <v>-0.07078766706297465</v>
      </c>
      <c r="D150" s="444"/>
    </row>
    <row r="151" spans="1:4" ht="12.75">
      <c r="A151" s="442">
        <v>34639</v>
      </c>
      <c r="B151" s="443">
        <v>28.68</v>
      </c>
      <c r="C151" s="440">
        <f t="shared" si="2"/>
        <v>0.17814618538347404</v>
      </c>
      <c r="D151" s="444"/>
    </row>
    <row r="152" spans="1:4" ht="12.75">
      <c r="A152" s="442">
        <v>34607</v>
      </c>
      <c r="B152" s="443">
        <v>24</v>
      </c>
      <c r="C152" s="440">
        <f t="shared" si="2"/>
        <v>0.06231876439925819</v>
      </c>
      <c r="D152" s="444"/>
    </row>
    <row r="153" spans="1:4" ht="12.75">
      <c r="A153" s="442">
        <v>34577</v>
      </c>
      <c r="B153" s="443">
        <v>22.55</v>
      </c>
      <c r="C153" s="440">
        <f t="shared" si="2"/>
        <v>-0.07843814627914153</v>
      </c>
      <c r="D153" s="444"/>
    </row>
    <row r="154" spans="1:4" ht="12.75">
      <c r="A154" s="442">
        <v>34548</v>
      </c>
      <c r="B154" s="443">
        <v>24.39</v>
      </c>
      <c r="C154" s="440">
        <f t="shared" si="2"/>
        <v>-0.2274801780017088</v>
      </c>
      <c r="D154" s="444"/>
    </row>
    <row r="155" spans="1:4" ht="12.75">
      <c r="A155" s="442">
        <v>34515</v>
      </c>
      <c r="B155" s="443">
        <v>30.62</v>
      </c>
      <c r="C155" s="440">
        <f t="shared" si="2"/>
        <v>-0.015232833841124678</v>
      </c>
      <c r="D155" s="444"/>
    </row>
    <row r="156" spans="1:4" ht="12.75">
      <c r="A156" s="442">
        <v>34485</v>
      </c>
      <c r="B156" s="443">
        <v>31.09</v>
      </c>
      <c r="C156" s="440">
        <f t="shared" si="2"/>
        <v>-0.07495767767855656</v>
      </c>
      <c r="D156" s="444"/>
    </row>
    <row r="157" spans="1:4" ht="12.75">
      <c r="A157" s="442">
        <v>34454</v>
      </c>
      <c r="B157" s="443">
        <v>33.51</v>
      </c>
      <c r="C157" s="440">
        <f t="shared" si="2"/>
        <v>-0.09528305049245826</v>
      </c>
      <c r="D157" s="444"/>
    </row>
    <row r="158" spans="1:4" ht="12.75">
      <c r="A158" s="442">
        <v>34424</v>
      </c>
      <c r="B158" s="443">
        <v>36.86</v>
      </c>
      <c r="C158" s="440">
        <f t="shared" si="2"/>
        <v>0.15587037070678497</v>
      </c>
      <c r="D158" s="444"/>
    </row>
    <row r="159" spans="1:4" ht="12.75">
      <c r="A159" s="442">
        <v>34394</v>
      </c>
      <c r="B159" s="443">
        <v>31.54</v>
      </c>
      <c r="C159" s="440">
        <f t="shared" si="2"/>
        <v>-0.04767228862059816</v>
      </c>
      <c r="D159" s="444"/>
    </row>
    <row r="160" spans="1:4" ht="12.75">
      <c r="A160" s="442">
        <v>34366</v>
      </c>
      <c r="B160" s="443">
        <v>33.08</v>
      </c>
      <c r="C160" s="440">
        <f t="shared" si="2"/>
        <v>0.046404861327994616</v>
      </c>
      <c r="D160" s="444"/>
    </row>
    <row r="161" spans="1:4" ht="12.75">
      <c r="A161" s="442">
        <v>34335</v>
      </c>
      <c r="B161" s="443">
        <v>31.58</v>
      </c>
      <c r="C161" s="440">
        <f t="shared" si="2"/>
        <v>0.07801289242784631</v>
      </c>
      <c r="D161" s="444"/>
    </row>
    <row r="162" spans="1:4" ht="12.75">
      <c r="A162" s="442">
        <v>34303</v>
      </c>
      <c r="B162" s="443">
        <v>29.21</v>
      </c>
      <c r="C162" s="440">
        <f t="shared" si="2"/>
        <v>0.04159257549078867</v>
      </c>
      <c r="D162" s="444"/>
    </row>
    <row r="163" spans="1:4" ht="12.75">
      <c r="A163" s="442">
        <v>34275</v>
      </c>
      <c r="B163" s="443">
        <v>28.02</v>
      </c>
      <c r="C163" s="440">
        <f t="shared" si="2"/>
        <v>0.142030752580829</v>
      </c>
      <c r="D163" s="444"/>
    </row>
    <row r="164" spans="1:4" ht="12.75">
      <c r="A164" s="442">
        <v>34242</v>
      </c>
      <c r="B164" s="443">
        <v>24.31</v>
      </c>
      <c r="C164" s="440">
        <f t="shared" si="2"/>
        <v>0.02330525784738165</v>
      </c>
      <c r="D164" s="444"/>
    </row>
    <row r="165" spans="1:4" ht="12.75">
      <c r="A165" s="442">
        <v>34213</v>
      </c>
      <c r="B165" s="443">
        <v>23.75</v>
      </c>
      <c r="C165" s="440">
        <f t="shared" si="2"/>
        <v>0.04830607083520435</v>
      </c>
      <c r="D165" s="444"/>
    </row>
    <row r="166" spans="1:4" ht="12.75">
      <c r="A166" s="442">
        <v>34181</v>
      </c>
      <c r="B166" s="443">
        <v>22.63</v>
      </c>
      <c r="C166" s="440">
        <f t="shared" si="2"/>
        <v>-0.05082920085332536</v>
      </c>
      <c r="D166" s="444"/>
    </row>
    <row r="167" spans="1:4" ht="12.75">
      <c r="A167" s="442">
        <v>34150</v>
      </c>
      <c r="B167" s="443">
        <v>23.81</v>
      </c>
      <c r="C167" s="440">
        <f t="shared" si="2"/>
        <v>0.008435309401349898</v>
      </c>
      <c r="D167" s="444"/>
    </row>
    <row r="168" spans="1:4" ht="12.75">
      <c r="A168" s="442">
        <v>34121</v>
      </c>
      <c r="B168" s="443">
        <v>23.61</v>
      </c>
      <c r="C168" s="440">
        <f t="shared" si="2"/>
        <v>-0.01971126934319874</v>
      </c>
      <c r="D168" s="444"/>
    </row>
    <row r="169" spans="1:4" ht="12.75">
      <c r="A169" s="442">
        <v>34089</v>
      </c>
      <c r="B169" s="443">
        <v>24.08</v>
      </c>
      <c r="C169" s="440">
        <f t="shared" si="2"/>
        <v>0.0012466238888499356</v>
      </c>
      <c r="D169" s="444"/>
    </row>
    <row r="170" spans="1:4" ht="12.75">
      <c r="A170" s="442">
        <v>34059</v>
      </c>
      <c r="B170" s="443">
        <v>24.05</v>
      </c>
      <c r="C170" s="440">
        <f t="shared" si="2"/>
        <v>0.11674407452396443</v>
      </c>
      <c r="D170" s="444"/>
    </row>
    <row r="171" spans="1:4" ht="12.75">
      <c r="A171" s="442">
        <v>34030</v>
      </c>
      <c r="B171" s="443">
        <v>21.4</v>
      </c>
      <c r="C171" s="440">
        <f t="shared" si="2"/>
        <v>-0.018519047767237642</v>
      </c>
      <c r="D171" s="444"/>
    </row>
    <row r="172" spans="1:4" ht="12.75">
      <c r="A172" s="442">
        <v>34002</v>
      </c>
      <c r="B172" s="443">
        <v>21.8</v>
      </c>
      <c r="C172" s="440">
        <f t="shared" si="2"/>
        <v>0.01851904776723753</v>
      </c>
      <c r="D172" s="444"/>
    </row>
    <row r="173" spans="1:4" ht="12.75">
      <c r="A173" s="442">
        <v>33970</v>
      </c>
      <c r="B173" s="443">
        <v>21.4</v>
      </c>
      <c r="C173" s="440">
        <f t="shared" si="2"/>
        <v>0.045408039538994985</v>
      </c>
      <c r="D173" s="444"/>
    </row>
    <row r="174" spans="1:4" ht="12.75">
      <c r="A174" s="442">
        <v>33939</v>
      </c>
      <c r="B174" s="443">
        <v>20.45</v>
      </c>
      <c r="C174" s="440">
        <f t="shared" si="2"/>
        <v>-0.05748435908403382</v>
      </c>
      <c r="D174" s="444"/>
    </row>
    <row r="175" spans="1:4" ht="12.75">
      <c r="A175" s="442">
        <v>33908</v>
      </c>
      <c r="B175" s="443">
        <v>21.66</v>
      </c>
      <c r="C175" s="440">
        <f t="shared" si="2"/>
        <v>0.11484414513242151</v>
      </c>
      <c r="D175" s="444"/>
    </row>
    <row r="176" spans="1:4" ht="12.75">
      <c r="A176" s="442">
        <v>33877</v>
      </c>
      <c r="B176" s="443">
        <v>19.31</v>
      </c>
      <c r="C176" s="440">
        <f t="shared" si="2"/>
        <v>0.042311969855016694</v>
      </c>
      <c r="D176" s="444"/>
    </row>
    <row r="177" spans="1:4" ht="12.75">
      <c r="A177" s="442">
        <v>33849</v>
      </c>
      <c r="B177" s="443">
        <v>18.51</v>
      </c>
      <c r="C177" s="440">
        <f t="shared" si="2"/>
        <v>0.10410072965480563</v>
      </c>
      <c r="D177" s="444"/>
    </row>
    <row r="178" spans="1:4" ht="12.75">
      <c r="A178" s="442">
        <v>33816</v>
      </c>
      <c r="B178" s="443">
        <v>16.68</v>
      </c>
      <c r="C178" s="440">
        <f t="shared" si="2"/>
        <v>0.024273036356206333</v>
      </c>
      <c r="D178" s="444"/>
    </row>
    <row r="179" spans="1:4" ht="12.75">
      <c r="A179" s="442">
        <v>33785</v>
      </c>
      <c r="B179" s="443">
        <v>16.28</v>
      </c>
      <c r="C179" s="440">
        <f t="shared" si="2"/>
        <v>-0.12078153865264005</v>
      </c>
      <c r="D179" s="444"/>
    </row>
    <row r="180" spans="1:4" ht="12.75">
      <c r="A180" s="442">
        <v>33757</v>
      </c>
      <c r="B180" s="443">
        <v>18.37</v>
      </c>
      <c r="C180" s="440">
        <f t="shared" si="2"/>
        <v>0.03489692234560091</v>
      </c>
      <c r="D180" s="444"/>
    </row>
    <row r="181" spans="1:4" ht="12.75">
      <c r="A181" s="442">
        <v>33724</v>
      </c>
      <c r="B181" s="443">
        <v>17.74</v>
      </c>
      <c r="C181" s="440">
        <f t="shared" si="2"/>
        <v>-0.02064229501388869</v>
      </c>
      <c r="D181" s="444"/>
    </row>
    <row r="182" spans="1:4" ht="12.75">
      <c r="A182" s="442">
        <v>33694</v>
      </c>
      <c r="B182" s="443">
        <v>18.11</v>
      </c>
      <c r="C182" s="440">
        <f t="shared" si="2"/>
        <v>-0.028308912718175087</v>
      </c>
      <c r="D182" s="444"/>
    </row>
    <row r="183" spans="1:4" ht="12.75">
      <c r="A183" s="442">
        <v>33663</v>
      </c>
      <c r="B183" s="443">
        <v>18.63</v>
      </c>
      <c r="C183" s="440">
        <f t="shared" si="2"/>
        <v>-0.024915150439087177</v>
      </c>
      <c r="D183" s="444"/>
    </row>
    <row r="184" spans="1:4" ht="12.75">
      <c r="A184" s="442">
        <v>33634</v>
      </c>
      <c r="B184" s="443">
        <v>19.1</v>
      </c>
      <c r="C184" s="440">
        <f t="shared" si="2"/>
        <v>0.019561818596587028</v>
      </c>
      <c r="D184" s="444"/>
    </row>
    <row r="185" spans="1:4" ht="12.75">
      <c r="A185" s="442">
        <v>33604</v>
      </c>
      <c r="B185" s="443">
        <v>18.73</v>
      </c>
      <c r="C185" s="440">
        <f t="shared" si="2"/>
        <v>0.08696284154661296</v>
      </c>
      <c r="D185" s="444"/>
    </row>
    <row r="186" spans="1:4" ht="12.75">
      <c r="A186" s="442">
        <v>33572</v>
      </c>
      <c r="B186" s="443">
        <v>17.17</v>
      </c>
      <c r="C186" s="440">
        <f t="shared" si="2"/>
        <v>-0.019608471388376313</v>
      </c>
      <c r="D186" s="444"/>
    </row>
    <row r="187" spans="1:4" ht="12.75">
      <c r="A187" s="442">
        <v>33542</v>
      </c>
      <c r="B187" s="443">
        <v>17.51</v>
      </c>
      <c r="C187" s="440">
        <f t="shared" si="2"/>
        <v>0.042584445258700386</v>
      </c>
      <c r="D187" s="444"/>
    </row>
    <row r="188" spans="1:4" ht="12.75">
      <c r="A188" s="442">
        <v>33512</v>
      </c>
      <c r="B188" s="443">
        <v>16.78</v>
      </c>
      <c r="C188" s="440">
        <f t="shared" si="2"/>
        <v>0.0059773041084596025</v>
      </c>
      <c r="D188" s="444"/>
    </row>
    <row r="189" spans="1:4" ht="12.75">
      <c r="A189" s="442">
        <v>33481</v>
      </c>
      <c r="B189" s="443">
        <v>16.68</v>
      </c>
      <c r="C189" s="440">
        <f t="shared" si="2"/>
        <v>0.019982499587338137</v>
      </c>
      <c r="D189" s="444"/>
    </row>
    <row r="190" spans="1:4" ht="12.75">
      <c r="A190" s="442">
        <v>33450</v>
      </c>
      <c r="B190" s="443">
        <v>16.35</v>
      </c>
      <c r="C190" s="440">
        <f t="shared" si="2"/>
        <v>-0.04133562405790716</v>
      </c>
      <c r="D190" s="444"/>
    </row>
    <row r="191" spans="1:4" ht="12.75">
      <c r="A191" s="442">
        <v>33421</v>
      </c>
      <c r="B191" s="443">
        <v>17.04</v>
      </c>
      <c r="C191" s="440">
        <f t="shared" si="2"/>
        <v>0.056123324212286656</v>
      </c>
      <c r="D191" s="444"/>
    </row>
    <row r="192" spans="1:4" ht="12.75">
      <c r="A192" s="442">
        <v>33389</v>
      </c>
      <c r="B192" s="443">
        <v>16.11</v>
      </c>
      <c r="C192" s="440">
        <f t="shared" si="2"/>
        <v>0</v>
      </c>
      <c r="D192" s="444"/>
    </row>
    <row r="193" spans="1:4" ht="12.75">
      <c r="A193" s="442">
        <v>33358</v>
      </c>
      <c r="B193" s="443">
        <v>16.11</v>
      </c>
      <c r="C193" s="440">
        <f t="shared" si="2"/>
        <v>0.002486017439461656</v>
      </c>
      <c r="D193" s="444"/>
    </row>
    <row r="194" spans="1:4" ht="12.75">
      <c r="A194" s="442">
        <v>33330</v>
      </c>
      <c r="B194" s="443">
        <v>16.07</v>
      </c>
      <c r="C194" s="440">
        <f t="shared" si="2"/>
        <v>0.03611415582422036</v>
      </c>
      <c r="D194" s="444"/>
    </row>
    <row r="195" spans="1:4" ht="12.75">
      <c r="A195" s="442">
        <v>33297</v>
      </c>
      <c r="B195" s="443">
        <v>15.5</v>
      </c>
      <c r="C195" s="440">
        <f t="shared" si="2"/>
        <v>0.0019373593402261763</v>
      </c>
      <c r="D195" s="444"/>
    </row>
    <row r="196" spans="1:4" ht="12.75">
      <c r="A196" s="442">
        <v>33269</v>
      </c>
      <c r="B196" s="443">
        <v>15.47</v>
      </c>
      <c r="C196" s="440">
        <f t="shared" si="2"/>
        <v>0.048337777823784255</v>
      </c>
      <c r="D196" s="444"/>
    </row>
    <row r="197" spans="1:4" ht="12.75">
      <c r="A197" s="442">
        <v>33240</v>
      </c>
      <c r="B197" s="443">
        <v>14.74</v>
      </c>
      <c r="C197" s="440">
        <f t="shared" si="2"/>
        <v>0.10204925435417016</v>
      </c>
      <c r="D197" s="444"/>
    </row>
    <row r="198" spans="1:4" ht="12.75">
      <c r="A198" s="442">
        <v>33207</v>
      </c>
      <c r="B198" s="443">
        <v>13.31</v>
      </c>
      <c r="C198" s="440">
        <f t="shared" si="2"/>
        <v>0.05640738113472576</v>
      </c>
      <c r="D198" s="444"/>
    </row>
    <row r="199" spans="1:4" ht="12.75">
      <c r="A199" s="442">
        <v>33177</v>
      </c>
      <c r="B199" s="443">
        <v>12.58</v>
      </c>
      <c r="C199" s="440">
        <f t="shared" si="2"/>
        <v>0.09586677346557518</v>
      </c>
      <c r="D199" s="444"/>
    </row>
    <row r="200" spans="1:4" ht="12.75">
      <c r="A200" s="442">
        <v>33148</v>
      </c>
      <c r="B200" s="443">
        <v>11.43</v>
      </c>
      <c r="C200" s="440">
        <f t="shared" si="2"/>
        <v>0.021220955482885436</v>
      </c>
      <c r="D200" s="444"/>
    </row>
    <row r="201" spans="1:4" ht="12.75">
      <c r="A201" s="442">
        <v>33116</v>
      </c>
      <c r="B201" s="443">
        <v>11.19</v>
      </c>
      <c r="C201" s="440">
        <f t="shared" si="2"/>
        <v>-0.06235786104337488</v>
      </c>
      <c r="D201" s="444"/>
    </row>
    <row r="202" spans="1:4" ht="12.75">
      <c r="A202" s="442">
        <v>33085</v>
      </c>
      <c r="B202" s="443">
        <v>11.91</v>
      </c>
      <c r="C202" s="440">
        <f t="shared" si="2"/>
        <v>-0.026513566331872237</v>
      </c>
      <c r="D202" s="444"/>
    </row>
    <row r="203" spans="1:4" ht="12.75">
      <c r="A203" s="442">
        <v>33054</v>
      </c>
      <c r="B203" s="443">
        <v>12.23</v>
      </c>
      <c r="C203" s="440">
        <f t="shared" si="2"/>
        <v>0.018985299911080784</v>
      </c>
      <c r="D203" s="444"/>
    </row>
    <row r="204" spans="1:4" ht="12.75">
      <c r="A204" s="442">
        <v>33024</v>
      </c>
      <c r="B204" s="443">
        <v>12</v>
      </c>
      <c r="C204" s="440">
        <f t="shared" si="2"/>
        <v>-0.040821994520255166</v>
      </c>
      <c r="D204" s="444"/>
    </row>
    <row r="205" spans="1:4" ht="12.75">
      <c r="A205" s="442">
        <v>32994</v>
      </c>
      <c r="B205" s="443">
        <v>12.5</v>
      </c>
      <c r="C205" s="440">
        <f t="shared" si="2"/>
        <v>0.02020270731751947</v>
      </c>
      <c r="D205" s="444"/>
    </row>
    <row r="206" spans="1:4" ht="12.75">
      <c r="A206" s="442">
        <v>32966</v>
      </c>
      <c r="B206" s="443">
        <v>12.25</v>
      </c>
      <c r="C206" s="440">
        <f t="shared" si="2"/>
        <v>0.013974744484067146</v>
      </c>
      <c r="D206" s="444"/>
    </row>
    <row r="207" spans="1:4" ht="12.75">
      <c r="A207" s="442">
        <v>32932</v>
      </c>
      <c r="B207" s="443">
        <v>12.08</v>
      </c>
      <c r="C207" s="440">
        <f t="shared" si="2"/>
        <v>-0.13384177491453195</v>
      </c>
      <c r="D207" s="444"/>
    </row>
    <row r="208" spans="1:4" ht="12.75">
      <c r="A208" s="442">
        <v>32904</v>
      </c>
      <c r="B208" s="443">
        <v>13.81</v>
      </c>
      <c r="C208" s="440">
        <f aca="true" t="shared" si="3" ref="C208:C271">LN(B208/B209)</f>
        <v>0.016058739258148415</v>
      </c>
      <c r="D208" s="444"/>
    </row>
    <row r="209" spans="1:4" ht="12.75">
      <c r="A209" s="442">
        <v>32875</v>
      </c>
      <c r="B209" s="443">
        <v>13.59</v>
      </c>
      <c r="C209" s="440">
        <f t="shared" si="3"/>
        <v>0.10380829117231634</v>
      </c>
      <c r="D209" s="444"/>
    </row>
    <row r="210" spans="1:4" ht="12.75">
      <c r="A210" s="442">
        <v>32842</v>
      </c>
      <c r="B210" s="443">
        <v>12.25</v>
      </c>
      <c r="C210" s="440">
        <f t="shared" si="3"/>
        <v>0.06666322570414239</v>
      </c>
      <c r="D210" s="444"/>
    </row>
    <row r="211" spans="1:4" ht="12.75">
      <c r="A211" s="442">
        <v>32812</v>
      </c>
      <c r="B211" s="443">
        <v>11.46</v>
      </c>
      <c r="C211" s="440">
        <f t="shared" si="3"/>
        <v>-0.07479335178739262</v>
      </c>
      <c r="D211" s="444"/>
    </row>
    <row r="212" spans="1:4" ht="12.75">
      <c r="A212" s="442">
        <v>32781</v>
      </c>
      <c r="B212" s="443">
        <v>12.35</v>
      </c>
      <c r="C212" s="440">
        <f t="shared" si="3"/>
        <v>0.13133600206108695</v>
      </c>
      <c r="D212" s="444"/>
    </row>
    <row r="213" spans="1:4" ht="12.75">
      <c r="A213" s="442">
        <v>32751</v>
      </c>
      <c r="B213" s="443">
        <v>10.83</v>
      </c>
      <c r="C213" s="440">
        <f t="shared" si="3"/>
        <v>-0.038936561698645095</v>
      </c>
      <c r="D213" s="444"/>
    </row>
    <row r="214" spans="1:4" ht="12.75">
      <c r="A214" s="442">
        <v>32721</v>
      </c>
      <c r="B214" s="443">
        <v>11.26</v>
      </c>
      <c r="C214" s="440">
        <f t="shared" si="3"/>
        <v>0.04635086813787257</v>
      </c>
      <c r="D214" s="444"/>
    </row>
    <row r="215" spans="1:4" ht="12.75">
      <c r="A215" s="442">
        <v>32689</v>
      </c>
      <c r="B215" s="443">
        <v>10.75</v>
      </c>
      <c r="C215" s="440">
        <f t="shared" si="3"/>
        <v>-0.08211569172479277</v>
      </c>
      <c r="D215" s="444"/>
    </row>
    <row r="216" spans="1:4" ht="12.75">
      <c r="A216" s="442">
        <v>32659</v>
      </c>
      <c r="B216" s="443">
        <v>11.67</v>
      </c>
      <c r="C216" s="440">
        <f t="shared" si="3"/>
        <v>-0.07667536765896765</v>
      </c>
      <c r="D216" s="444"/>
    </row>
    <row r="217" spans="1:4" ht="12.75">
      <c r="A217" s="442">
        <v>32630</v>
      </c>
      <c r="B217" s="443">
        <v>12.6</v>
      </c>
      <c r="C217" s="440">
        <f t="shared" si="3"/>
        <v>0.07667536765896771</v>
      </c>
      <c r="D217" s="444"/>
    </row>
    <row r="218" spans="1:4" ht="12.75">
      <c r="A218" s="442">
        <v>32598</v>
      </c>
      <c r="B218" s="443">
        <v>11.67</v>
      </c>
      <c r="C218" s="440">
        <f t="shared" si="3"/>
        <v>-0.08615411161351154</v>
      </c>
      <c r="D218" s="444"/>
    </row>
    <row r="219" spans="1:4" ht="12.75">
      <c r="A219" s="442">
        <v>32567</v>
      </c>
      <c r="B219" s="443">
        <v>12.72</v>
      </c>
      <c r="C219" s="440">
        <f t="shared" si="3"/>
        <v>0.002361276185679907</v>
      </c>
      <c r="D219" s="444"/>
    </row>
    <row r="220" spans="1:4" ht="12.75">
      <c r="A220" s="442">
        <v>32539</v>
      </c>
      <c r="B220" s="443">
        <v>12.69</v>
      </c>
      <c r="C220" s="440">
        <f t="shared" si="3"/>
        <v>-0.02797385204240618</v>
      </c>
      <c r="D220" s="444"/>
    </row>
    <row r="221" spans="1:4" ht="12.75">
      <c r="A221" s="442">
        <v>32511</v>
      </c>
      <c r="B221" s="443">
        <v>13.05</v>
      </c>
      <c r="C221" s="440">
        <f t="shared" si="3"/>
        <v>0.060816211049706144</v>
      </c>
      <c r="D221" s="444"/>
    </row>
    <row r="222" spans="1:4" ht="12.75">
      <c r="A222" s="442">
        <v>32477</v>
      </c>
      <c r="B222" s="443">
        <v>12.28</v>
      </c>
      <c r="C222" s="440">
        <f t="shared" si="3"/>
        <v>0.018907262782332335</v>
      </c>
      <c r="D222" s="444"/>
    </row>
    <row r="223" spans="1:4" ht="12.75">
      <c r="A223" s="442">
        <v>32448</v>
      </c>
      <c r="B223" s="443">
        <v>12.05</v>
      </c>
      <c r="C223" s="440">
        <f t="shared" si="3"/>
        <v>0.06869653128623487</v>
      </c>
      <c r="D223" s="444"/>
    </row>
    <row r="224" spans="1:4" ht="12.75">
      <c r="A224" s="442">
        <v>32416</v>
      </c>
      <c r="B224" s="443">
        <v>11.25</v>
      </c>
      <c r="C224" s="440">
        <f t="shared" si="3"/>
        <v>0.08434825957014609</v>
      </c>
      <c r="D224" s="444"/>
    </row>
    <row r="225" spans="1:4" ht="12.75">
      <c r="A225" s="442">
        <v>32386</v>
      </c>
      <c r="B225" s="443">
        <v>10.34</v>
      </c>
      <c r="C225" s="440">
        <f t="shared" si="3"/>
        <v>0.04956415801612099</v>
      </c>
      <c r="D225" s="444"/>
    </row>
    <row r="226" spans="1:4" ht="12.75">
      <c r="A226" s="442">
        <v>32357</v>
      </c>
      <c r="B226" s="443">
        <v>9.84</v>
      </c>
      <c r="C226" s="440">
        <f t="shared" si="3"/>
        <v>-0.042771312876304736</v>
      </c>
      <c r="D226" s="444"/>
    </row>
    <row r="227" spans="1:4" ht="12.75">
      <c r="A227" s="442">
        <v>32324</v>
      </c>
      <c r="B227" s="443">
        <v>10.27</v>
      </c>
      <c r="C227" s="440">
        <f t="shared" si="3"/>
        <v>-0.001945525905491331</v>
      </c>
      <c r="D227" s="444"/>
    </row>
    <row r="228" spans="1:4" ht="12.75">
      <c r="A228" s="442">
        <v>32294</v>
      </c>
      <c r="B228" s="443">
        <v>10.29</v>
      </c>
      <c r="C228" s="440">
        <f t="shared" si="3"/>
        <v>-0.05022372357237729</v>
      </c>
      <c r="D228" s="444"/>
    </row>
    <row r="229" spans="1:4" ht="12.75">
      <c r="A229" s="442">
        <v>32263</v>
      </c>
      <c r="B229" s="443">
        <v>10.82</v>
      </c>
      <c r="C229" s="440">
        <f t="shared" si="3"/>
        <v>0.04151539568059283</v>
      </c>
      <c r="D229" s="444"/>
    </row>
    <row r="230" spans="1:4" ht="12.75">
      <c r="A230" s="442">
        <v>32233</v>
      </c>
      <c r="B230" s="443">
        <v>10.38</v>
      </c>
      <c r="C230" s="440">
        <f t="shared" si="3"/>
        <v>-0.037811687743108384</v>
      </c>
      <c r="D230" s="444"/>
    </row>
    <row r="231" spans="1:4" ht="12.75">
      <c r="A231" s="442">
        <v>32203</v>
      </c>
      <c r="B231" s="443">
        <v>10.78</v>
      </c>
      <c r="C231" s="440">
        <f t="shared" si="3"/>
        <v>-0.013818736707596126</v>
      </c>
      <c r="D231" s="444"/>
    </row>
    <row r="232" spans="1:4" ht="12.75">
      <c r="A232" s="442">
        <v>32175</v>
      </c>
      <c r="B232" s="443">
        <v>10.93</v>
      </c>
      <c r="C232" s="440">
        <f t="shared" si="3"/>
        <v>0.11938541667911005</v>
      </c>
      <c r="D232" s="444"/>
    </row>
    <row r="233" spans="1:4" ht="12.75">
      <c r="A233" s="442">
        <v>32143</v>
      </c>
      <c r="B233" s="443">
        <v>9.7</v>
      </c>
      <c r="C233" s="440">
        <f t="shared" si="3"/>
        <v>0.17656496194961777</v>
      </c>
      <c r="D233" s="444"/>
    </row>
    <row r="234" spans="1:4" ht="12.75">
      <c r="A234" s="442">
        <v>32112</v>
      </c>
      <c r="B234" s="443">
        <v>8.13</v>
      </c>
      <c r="C234" s="440">
        <f t="shared" si="3"/>
        <v>0.08869007471471875</v>
      </c>
      <c r="D234" s="444"/>
    </row>
    <row r="235" spans="1:4" ht="12.75">
      <c r="A235" s="442">
        <v>32081</v>
      </c>
      <c r="B235" s="443">
        <v>7.44</v>
      </c>
      <c r="C235" s="440">
        <f t="shared" si="3"/>
        <v>-0.12492592316876354</v>
      </c>
      <c r="D235" s="444"/>
    </row>
    <row r="236" spans="1:4" ht="12.75">
      <c r="A236" s="442">
        <v>32050</v>
      </c>
      <c r="B236" s="443">
        <v>8.43</v>
      </c>
      <c r="C236" s="440">
        <f t="shared" si="3"/>
        <v>0.04240489948076001</v>
      </c>
      <c r="D236" s="444"/>
    </row>
    <row r="237" spans="1:4" ht="12.75">
      <c r="A237" s="442">
        <v>32022</v>
      </c>
      <c r="B237" s="443">
        <v>8.08</v>
      </c>
      <c r="C237" s="440">
        <f t="shared" si="3"/>
        <v>-0.041217955721231374</v>
      </c>
      <c r="D237" s="444"/>
    </row>
    <row r="238" spans="1:4" ht="12.75">
      <c r="A238" s="442">
        <v>31989</v>
      </c>
      <c r="B238" s="443">
        <v>8.42</v>
      </c>
      <c r="C238" s="440">
        <f t="shared" si="3"/>
        <v>-0.01649036189941546</v>
      </c>
      <c r="D238" s="444"/>
    </row>
    <row r="239" spans="1:4" ht="12.75">
      <c r="A239" s="442">
        <v>31958</v>
      </c>
      <c r="B239" s="443">
        <v>8.56</v>
      </c>
      <c r="C239" s="440">
        <f t="shared" si="3"/>
        <v>0.08150405529586795</v>
      </c>
      <c r="D239" s="444"/>
    </row>
    <row r="240" spans="1:4" ht="12.75">
      <c r="A240" s="442">
        <v>31930</v>
      </c>
      <c r="B240" s="443">
        <v>7.89</v>
      </c>
      <c r="C240" s="440">
        <f t="shared" si="3"/>
        <v>-0.039756788606554176</v>
      </c>
      <c r="D240" s="444"/>
    </row>
    <row r="241" spans="1:4" ht="12.75">
      <c r="A241" s="442">
        <v>31897</v>
      </c>
      <c r="B241" s="443">
        <v>8.21</v>
      </c>
      <c r="C241" s="440">
        <f t="shared" si="3"/>
        <v>0.007334996211565471</v>
      </c>
      <c r="D241" s="444"/>
    </row>
    <row r="242" spans="1:4" ht="12.75">
      <c r="A242" s="442">
        <v>31867</v>
      </c>
      <c r="B242" s="443">
        <v>8.15</v>
      </c>
      <c r="C242" s="440">
        <f t="shared" si="3"/>
        <v>-0.03140354673208529</v>
      </c>
      <c r="D242" s="444"/>
    </row>
    <row r="243" spans="1:4" ht="12.75">
      <c r="A243" s="442">
        <v>31836</v>
      </c>
      <c r="B243" s="443">
        <v>8.41</v>
      </c>
      <c r="C243" s="440">
        <f t="shared" si="3"/>
        <v>-0.036197763936031614</v>
      </c>
      <c r="D243" s="444"/>
    </row>
    <row r="244" spans="1:4" ht="12.75">
      <c r="A244" s="442">
        <v>31808</v>
      </c>
      <c r="B244" s="443">
        <v>8.72</v>
      </c>
      <c r="C244" s="440">
        <f t="shared" si="3"/>
        <v>0.13091359008244374</v>
      </c>
      <c r="D244" s="444"/>
    </row>
    <row r="245" spans="1:4" ht="12.75">
      <c r="A245" s="442">
        <v>31778</v>
      </c>
      <c r="B245" s="443">
        <v>7.65</v>
      </c>
      <c r="C245" s="440">
        <f t="shared" si="3"/>
        <v>0.06619566686589017</v>
      </c>
      <c r="D245" s="444"/>
    </row>
    <row r="246" spans="1:4" ht="12.75">
      <c r="A246" s="442">
        <v>31748</v>
      </c>
      <c r="B246" s="443">
        <v>7.16</v>
      </c>
      <c r="C246" s="440">
        <f t="shared" si="3"/>
        <v>0.018323275149980733</v>
      </c>
      <c r="D246" s="444"/>
    </row>
    <row r="247" spans="1:4" ht="12.75">
      <c r="A247" s="442">
        <v>31716</v>
      </c>
      <c r="B247" s="443">
        <v>7.03</v>
      </c>
      <c r="C247" s="440">
        <f t="shared" si="3"/>
        <v>0.0907685881207037</v>
      </c>
      <c r="D247" s="444"/>
    </row>
    <row r="248" spans="1:4" ht="12.75">
      <c r="A248" s="442">
        <v>31685</v>
      </c>
      <c r="B248" s="443">
        <v>6.42</v>
      </c>
      <c r="C248" s="440">
        <f t="shared" si="3"/>
        <v>0.006250020345171326</v>
      </c>
      <c r="D248" s="444"/>
    </row>
    <row r="249" spans="1:4" ht="12.75">
      <c r="A249" s="442">
        <v>31658</v>
      </c>
      <c r="B249" s="443">
        <v>6.38</v>
      </c>
      <c r="C249" s="440">
        <f t="shared" si="3"/>
        <v>-0.12230085394015926</v>
      </c>
      <c r="D249" s="444"/>
    </row>
    <row r="250" spans="1:4" ht="12.75">
      <c r="A250" s="442">
        <v>31624</v>
      </c>
      <c r="B250" s="443">
        <v>7.21</v>
      </c>
      <c r="C250" s="440">
        <f t="shared" si="3"/>
        <v>-0.13958101785034577</v>
      </c>
      <c r="D250" s="444"/>
    </row>
    <row r="251" spans="1:4" ht="12.75">
      <c r="A251" s="442">
        <v>31594</v>
      </c>
      <c r="B251" s="443">
        <v>8.29</v>
      </c>
      <c r="C251" s="440">
        <f t="shared" si="3"/>
        <v>-0.08550239828169047</v>
      </c>
      <c r="D251" s="444"/>
    </row>
    <row r="252" spans="1:4" ht="12.75">
      <c r="A252" s="442">
        <v>31563</v>
      </c>
      <c r="B252" s="443">
        <v>9.03</v>
      </c>
      <c r="C252" s="440">
        <f t="shared" si="3"/>
        <v>-0.005521825184307973</v>
      </c>
      <c r="D252" s="444"/>
    </row>
    <row r="253" spans="1:4" ht="12.75">
      <c r="A253" s="442">
        <v>31532</v>
      </c>
      <c r="B253" s="443">
        <v>9.08</v>
      </c>
      <c r="C253" s="440">
        <f t="shared" si="3"/>
        <v>0.15451785442290167</v>
      </c>
      <c r="D253" s="444"/>
    </row>
    <row r="254" spans="1:4" ht="12.75">
      <c r="A254" s="442">
        <v>31503</v>
      </c>
      <c r="B254" s="443">
        <v>7.78</v>
      </c>
      <c r="C254" s="440">
        <f t="shared" si="3"/>
        <v>-0.0038486256612942265</v>
      </c>
      <c r="D254" s="444"/>
    </row>
    <row r="255" spans="1:4" ht="12.75">
      <c r="A255" s="442">
        <v>31471</v>
      </c>
      <c r="B255" s="443">
        <v>7.81</v>
      </c>
      <c r="C255" s="440">
        <f t="shared" si="3"/>
        <v>0.014184634991956381</v>
      </c>
      <c r="D255" s="444"/>
    </row>
    <row r="256" spans="1:4" ht="12.75">
      <c r="A256" s="442">
        <v>31443</v>
      </c>
      <c r="B256" s="443">
        <v>7.7</v>
      </c>
      <c r="C256" s="440">
        <f t="shared" si="3"/>
        <v>0.05061000088641792</v>
      </c>
      <c r="D256" s="444"/>
    </row>
    <row r="257" spans="1:4" ht="12.75">
      <c r="A257" s="442">
        <v>31413</v>
      </c>
      <c r="B257" s="443">
        <v>7.32</v>
      </c>
      <c r="C257" s="440">
        <f t="shared" si="3"/>
        <v>-0.071176278467895</v>
      </c>
      <c r="D257" s="444"/>
    </row>
    <row r="258" spans="1:4" ht="12.75">
      <c r="A258" s="442">
        <v>31381</v>
      </c>
      <c r="B258" s="443">
        <v>7.86</v>
      </c>
      <c r="C258" s="440">
        <f t="shared" si="3"/>
        <v>-0.1420825136137728</v>
      </c>
      <c r="D258" s="444"/>
    </row>
    <row r="259" spans="1:4" ht="12.75">
      <c r="A259" s="442">
        <v>31351</v>
      </c>
      <c r="B259" s="443">
        <v>9.06</v>
      </c>
      <c r="C259" s="440">
        <f t="shared" si="3"/>
        <v>0.04054609439435001</v>
      </c>
      <c r="D259" s="444"/>
    </row>
    <row r="260" spans="1:4" ht="12.75">
      <c r="A260" s="442">
        <v>31321</v>
      </c>
      <c r="B260" s="443">
        <v>8.7</v>
      </c>
      <c r="C260" s="440">
        <f t="shared" si="3"/>
        <v>0.0256125758567263</v>
      </c>
      <c r="D260" s="444"/>
    </row>
    <row r="261" spans="1:4" ht="12.75">
      <c r="A261" s="442">
        <v>31290</v>
      </c>
      <c r="B261" s="443">
        <v>8.48</v>
      </c>
      <c r="C261" s="440">
        <f t="shared" si="3"/>
        <v>0.02871010588243136</v>
      </c>
      <c r="D261" s="444"/>
    </row>
    <row r="262" spans="1:4" ht="12.75">
      <c r="A262" s="442">
        <v>31259</v>
      </c>
      <c r="B262" s="443">
        <v>8.24</v>
      </c>
      <c r="C262" s="440">
        <f t="shared" si="3"/>
        <v>0.08877816190151563</v>
      </c>
      <c r="D262" s="444"/>
    </row>
    <row r="263" spans="1:4" ht="12.75">
      <c r="A263" s="442">
        <v>31230</v>
      </c>
      <c r="B263" s="443">
        <v>7.54</v>
      </c>
      <c r="C263" s="440">
        <f t="shared" si="3"/>
        <v>0.12861737782209354</v>
      </c>
      <c r="D263" s="444"/>
    </row>
    <row r="264" spans="1:4" ht="12.75">
      <c r="A264" s="442">
        <v>31198</v>
      </c>
      <c r="B264" s="443">
        <v>6.63</v>
      </c>
      <c r="C264" s="440">
        <f t="shared" si="3"/>
        <v>0.01673042825920957</v>
      </c>
      <c r="D264" s="444"/>
    </row>
    <row r="265" spans="1:4" ht="12.75">
      <c r="A265" s="442">
        <v>31167</v>
      </c>
      <c r="B265" s="443">
        <v>6.52</v>
      </c>
      <c r="C265" s="440">
        <f t="shared" si="3"/>
        <v>0.08980389486130307</v>
      </c>
      <c r="D265" s="444"/>
    </row>
    <row r="266" spans="1:4" ht="12.75">
      <c r="A266" s="442">
        <v>31139</v>
      </c>
      <c r="B266" s="443">
        <v>5.96</v>
      </c>
      <c r="C266" s="440">
        <f t="shared" si="3"/>
        <v>0.08214222555581908</v>
      </c>
      <c r="D266" s="444"/>
    </row>
    <row r="267" spans="1:4" ht="12.75">
      <c r="A267" s="442">
        <v>31106</v>
      </c>
      <c r="B267" s="443">
        <v>5.49</v>
      </c>
      <c r="C267" s="440">
        <f t="shared" si="3"/>
        <v>0.058123199250047566</v>
      </c>
      <c r="D267" s="444"/>
    </row>
    <row r="268" spans="1:4" ht="12.75">
      <c r="A268" s="442">
        <v>31078</v>
      </c>
      <c r="B268" s="443">
        <v>5.18</v>
      </c>
      <c r="C268" s="440">
        <f t="shared" si="3"/>
        <v>-0.013423020332140774</v>
      </c>
      <c r="D268" s="444"/>
    </row>
    <row r="269" spans="1:4" ht="12.75">
      <c r="A269" s="442">
        <v>31049</v>
      </c>
      <c r="B269" s="443">
        <v>5.25</v>
      </c>
      <c r="C269" s="440">
        <f t="shared" si="3"/>
        <v>0.13434805253107854</v>
      </c>
      <c r="D269" s="444"/>
    </row>
    <row r="270" spans="1:4" ht="12.75">
      <c r="A270" s="442">
        <v>31016</v>
      </c>
      <c r="B270" s="443">
        <v>4.59</v>
      </c>
      <c r="C270" s="440">
        <f t="shared" si="3"/>
        <v>0.03548044001540964</v>
      </c>
      <c r="D270" s="444"/>
    </row>
    <row r="271" spans="1:4" ht="12.75">
      <c r="A271" s="442">
        <v>30986</v>
      </c>
      <c r="B271" s="443">
        <v>4.43</v>
      </c>
      <c r="C271" s="440">
        <f t="shared" si="3"/>
        <v>-0.04415728404109847</v>
      </c>
      <c r="D271" s="444"/>
    </row>
    <row r="272" spans="1:4" ht="12.75">
      <c r="A272" s="442">
        <v>30957</v>
      </c>
      <c r="B272" s="443">
        <v>4.63</v>
      </c>
      <c r="C272" s="440">
        <f aca="true" t="shared" si="4" ref="C272:C335">LN(B272/B273)</f>
        <v>0.024044874254002868</v>
      </c>
      <c r="D272" s="444"/>
    </row>
    <row r="273" spans="1:4" ht="12.75">
      <c r="A273" s="442">
        <v>30925</v>
      </c>
      <c r="B273" s="443">
        <v>4.52</v>
      </c>
      <c r="C273" s="440">
        <f t="shared" si="4"/>
        <v>0.03374898473664082</v>
      </c>
      <c r="D273" s="444"/>
    </row>
    <row r="274" spans="1:4" ht="12.75">
      <c r="A274" s="442">
        <v>30894</v>
      </c>
      <c r="B274" s="443">
        <v>4.37</v>
      </c>
      <c r="C274" s="440">
        <f t="shared" si="4"/>
        <v>-0.006841531816716712</v>
      </c>
      <c r="D274" s="444"/>
    </row>
    <row r="275" spans="1:4" ht="12.75">
      <c r="A275" s="442">
        <v>30863</v>
      </c>
      <c r="B275" s="443">
        <v>4.4</v>
      </c>
      <c r="C275" s="440">
        <f t="shared" si="4"/>
        <v>0.0022753138371356054</v>
      </c>
      <c r="D275" s="444"/>
    </row>
    <row r="276" spans="1:4" ht="12.75">
      <c r="A276" s="442">
        <v>30833</v>
      </c>
      <c r="B276" s="443">
        <v>4.39</v>
      </c>
      <c r="C276" s="440">
        <f t="shared" si="4"/>
        <v>0.08308453511402114</v>
      </c>
      <c r="D276" s="444"/>
    </row>
    <row r="277" spans="1:4" ht="12.75">
      <c r="A277" s="442">
        <v>30803</v>
      </c>
      <c r="B277" s="443">
        <v>4.04</v>
      </c>
      <c r="C277" s="440">
        <f t="shared" si="4"/>
        <v>0.009950330853168092</v>
      </c>
      <c r="D277" s="444"/>
    </row>
    <row r="278" spans="1:4" ht="12.75">
      <c r="A278" s="442">
        <v>30775</v>
      </c>
      <c r="B278" s="443">
        <v>4</v>
      </c>
      <c r="C278" s="440">
        <f t="shared" si="4"/>
        <v>-0.0271286673882527</v>
      </c>
      <c r="D278" s="444"/>
    </row>
    <row r="279" spans="1:4" ht="12.75">
      <c r="A279" s="442">
        <v>30741</v>
      </c>
      <c r="B279" s="443">
        <v>4.11</v>
      </c>
      <c r="C279" s="440">
        <f t="shared" si="4"/>
        <v>-0.03819079873238976</v>
      </c>
      <c r="D279" s="444"/>
    </row>
    <row r="280" spans="1:4" ht="12.75">
      <c r="A280" s="442">
        <v>30712</v>
      </c>
      <c r="B280" s="443">
        <v>4.27</v>
      </c>
      <c r="C280" s="440">
        <f t="shared" si="4"/>
        <v>0.05536913526747432</v>
      </c>
      <c r="D280" s="444"/>
    </row>
    <row r="281" spans="1:4" ht="12.75">
      <c r="A281" s="442">
        <v>30684</v>
      </c>
      <c r="B281" s="443">
        <v>4.04</v>
      </c>
      <c r="C281" s="440">
        <f t="shared" si="4"/>
        <v>-0.01717833653508463</v>
      </c>
      <c r="D281" s="444"/>
    </row>
    <row r="282" spans="1:4" ht="12.75">
      <c r="A282" s="442">
        <v>30650</v>
      </c>
      <c r="B282" s="443">
        <v>4.11</v>
      </c>
      <c r="C282" s="440">
        <f t="shared" si="4"/>
        <v>0.12143934685949394</v>
      </c>
      <c r="D282" s="444"/>
    </row>
    <row r="283" spans="1:4" ht="12.75">
      <c r="A283" s="442">
        <v>30621</v>
      </c>
      <c r="B283" s="443">
        <v>3.64</v>
      </c>
      <c r="C283" s="440">
        <f t="shared" si="4"/>
        <v>-0.05348868495098612</v>
      </c>
      <c r="D283" s="444"/>
    </row>
    <row r="284" spans="1:4" ht="12.75">
      <c r="A284" s="442">
        <v>30589</v>
      </c>
      <c r="B284" s="443">
        <v>3.84</v>
      </c>
      <c r="C284" s="440">
        <f t="shared" si="4"/>
        <v>-0.3372160075740576</v>
      </c>
      <c r="D284" s="444"/>
    </row>
    <row r="285" spans="1:4" ht="12.75">
      <c r="A285" s="442">
        <v>30559</v>
      </c>
      <c r="B285" s="443">
        <v>5.38</v>
      </c>
      <c r="C285" s="440">
        <f t="shared" si="4"/>
        <v>-0.031109553584650115</v>
      </c>
      <c r="D285" s="444"/>
    </row>
    <row r="286" spans="1:4" ht="12.75">
      <c r="A286" s="442">
        <v>30530</v>
      </c>
      <c r="B286" s="443">
        <v>5.55</v>
      </c>
      <c r="C286" s="440">
        <f t="shared" si="4"/>
        <v>0.10436001532424266</v>
      </c>
      <c r="D286" s="444"/>
    </row>
    <row r="287" spans="1:4" ht="12.75">
      <c r="A287" s="442">
        <v>30497</v>
      </c>
      <c r="B287" s="443">
        <v>5</v>
      </c>
      <c r="C287" s="440">
        <f t="shared" si="4"/>
        <v>-0.0019980026626729977</v>
      </c>
      <c r="D287" s="444"/>
    </row>
    <row r="288" spans="1:4" ht="12.75">
      <c r="A288" s="442">
        <v>30467</v>
      </c>
      <c r="B288" s="443">
        <v>5.01</v>
      </c>
      <c r="C288" s="440">
        <f t="shared" si="4"/>
        <v>0.1230363310397292</v>
      </c>
      <c r="D288" s="444"/>
    </row>
    <row r="289" spans="1:4" ht="12.75">
      <c r="A289" s="442">
        <v>30436</v>
      </c>
      <c r="B289" s="443">
        <v>4.43</v>
      </c>
      <c r="C289" s="440">
        <f t="shared" si="4"/>
        <v>-0.004504512121104653</v>
      </c>
      <c r="D289" s="444"/>
    </row>
    <row r="290" spans="1:4" ht="12.75">
      <c r="A290" s="442">
        <v>30406</v>
      </c>
      <c r="B290" s="443">
        <v>4.45</v>
      </c>
      <c r="C290" s="440">
        <f t="shared" si="4"/>
        <v>0.02964869392212987</v>
      </c>
      <c r="D290" s="444"/>
    </row>
    <row r="291" spans="1:4" ht="12.75">
      <c r="A291" s="442">
        <v>30376</v>
      </c>
      <c r="B291" s="443">
        <v>4.32</v>
      </c>
      <c r="C291" s="440">
        <f t="shared" si="4"/>
        <v>0.049832373747875754</v>
      </c>
      <c r="D291" s="444"/>
    </row>
    <row r="292" spans="1:4" ht="12.75">
      <c r="A292" s="442">
        <v>30348</v>
      </c>
      <c r="B292" s="443">
        <v>4.11</v>
      </c>
      <c r="C292" s="440">
        <f t="shared" si="4"/>
        <v>0.04988565451086883</v>
      </c>
      <c r="D292" s="444"/>
    </row>
    <row r="293" spans="1:4" ht="12.75">
      <c r="A293" s="442">
        <v>30317</v>
      </c>
      <c r="B293" s="443">
        <v>3.91</v>
      </c>
      <c r="C293" s="440">
        <f t="shared" si="4"/>
        <v>0.27161407347996136</v>
      </c>
      <c r="D293" s="444"/>
    </row>
    <row r="294" spans="1:4" ht="12.75">
      <c r="A294" s="442">
        <v>30285</v>
      </c>
      <c r="B294" s="443">
        <v>2.98</v>
      </c>
      <c r="C294" s="440">
        <f t="shared" si="4"/>
        <v>0</v>
      </c>
      <c r="D294" s="444"/>
    </row>
    <row r="295" spans="1:4" ht="12.75">
      <c r="A295" s="442">
        <v>30257</v>
      </c>
      <c r="B295" s="443">
        <v>2.98</v>
      </c>
      <c r="C295" s="440">
        <f t="shared" si="4"/>
        <v>-0.01663931900396467</v>
      </c>
      <c r="D295" s="444"/>
    </row>
    <row r="296" spans="1:4" ht="12.75">
      <c r="A296" s="442">
        <v>30224</v>
      </c>
      <c r="B296" s="443">
        <v>3.03</v>
      </c>
      <c r="C296" s="440">
        <f t="shared" si="4"/>
        <v>0.10426101032440926</v>
      </c>
      <c r="D296" s="444"/>
    </row>
    <row r="297" spans="1:4" ht="12.75">
      <c r="A297" s="442">
        <v>30195</v>
      </c>
      <c r="B297" s="443">
        <v>2.73</v>
      </c>
      <c r="C297" s="440">
        <f t="shared" si="4"/>
        <v>-0.13992119072329373</v>
      </c>
      <c r="D297" s="444"/>
    </row>
    <row r="298" spans="1:4" ht="12.75">
      <c r="A298" s="442">
        <v>30163</v>
      </c>
      <c r="B298" s="443">
        <v>3.14</v>
      </c>
      <c r="C298" s="440">
        <f t="shared" si="4"/>
        <v>-0.058749504072190394</v>
      </c>
      <c r="D298" s="444"/>
    </row>
    <row r="299" spans="1:4" ht="12.75">
      <c r="A299" s="442">
        <v>30132</v>
      </c>
      <c r="B299" s="443">
        <v>3.33</v>
      </c>
      <c r="C299" s="440">
        <f t="shared" si="4"/>
        <v>-0.12410269746756694</v>
      </c>
      <c r="D299" s="444"/>
    </row>
    <row r="300" spans="1:4" ht="12.75">
      <c r="A300" s="442">
        <v>30103</v>
      </c>
      <c r="B300" s="443">
        <v>3.77</v>
      </c>
      <c r="C300" s="440">
        <f t="shared" si="4"/>
        <v>0.15459286422535418</v>
      </c>
      <c r="D300" s="444"/>
    </row>
    <row r="301" spans="1:4" ht="12.75">
      <c r="A301" s="442">
        <v>30071</v>
      </c>
      <c r="B301" s="443">
        <v>3.23</v>
      </c>
      <c r="C301" s="440">
        <f t="shared" si="4"/>
        <v>0.0443110463249112</v>
      </c>
      <c r="D301" s="444"/>
    </row>
    <row r="302" spans="1:4" ht="12.75">
      <c r="A302" s="442">
        <v>30041</v>
      </c>
      <c r="B302" s="443">
        <v>3.09</v>
      </c>
      <c r="C302" s="440">
        <f t="shared" si="4"/>
        <v>0.18038169197612797</v>
      </c>
      <c r="D302" s="444"/>
    </row>
    <row r="303" spans="1:4" ht="12.75">
      <c r="A303" s="442">
        <v>30012</v>
      </c>
      <c r="B303" s="443">
        <v>2.58</v>
      </c>
      <c r="C303" s="440">
        <f t="shared" si="4"/>
        <v>0.0764960329901068</v>
      </c>
      <c r="D303" s="444"/>
    </row>
    <row r="304" spans="1:4" ht="12.75">
      <c r="A304" s="442">
        <v>29984</v>
      </c>
      <c r="B304" s="443">
        <v>2.39</v>
      </c>
      <c r="C304" s="440">
        <f t="shared" si="4"/>
        <v>0.16325757288972353</v>
      </c>
      <c r="D304" s="444"/>
    </row>
    <row r="305" spans="1:4" ht="12.75">
      <c r="A305" s="442">
        <v>29952</v>
      </c>
      <c r="B305" s="443">
        <v>2.03</v>
      </c>
      <c r="C305" s="440">
        <f t="shared" si="4"/>
        <v>0.04534781997845904</v>
      </c>
      <c r="D305" s="444"/>
    </row>
    <row r="306" spans="1:4" ht="12.75">
      <c r="A306" s="442">
        <v>29921</v>
      </c>
      <c r="B306" s="443">
        <v>1.94</v>
      </c>
      <c r="C306" s="440">
        <f t="shared" si="4"/>
        <v>0.13795944414025474</v>
      </c>
      <c r="D306" s="444"/>
    </row>
    <row r="307" spans="1:4" ht="12.75">
      <c r="A307" s="442">
        <v>29890</v>
      </c>
      <c r="B307" s="443">
        <v>1.69</v>
      </c>
      <c r="C307" s="440">
        <f t="shared" si="4"/>
        <v>0.0736529095747654</v>
      </c>
      <c r="D307" s="444"/>
    </row>
    <row r="308" spans="1:4" ht="12.75">
      <c r="A308" s="442">
        <v>29859</v>
      </c>
      <c r="B308" s="443">
        <v>1.57</v>
      </c>
      <c r="C308" s="440">
        <f t="shared" si="4"/>
        <v>0.09340117508840079</v>
      </c>
      <c r="D308" s="444"/>
    </row>
    <row r="309" spans="1:4" ht="12.75">
      <c r="A309" s="442">
        <v>29831</v>
      </c>
      <c r="B309" s="443">
        <v>1.43</v>
      </c>
      <c r="C309" s="440">
        <f t="shared" si="4"/>
        <v>-0.06103589058636913</v>
      </c>
      <c r="D309" s="444"/>
    </row>
    <row r="310" spans="1:4" ht="12.75">
      <c r="A310" s="442">
        <v>29798</v>
      </c>
      <c r="B310" s="443">
        <v>1.52</v>
      </c>
      <c r="C310" s="440">
        <f t="shared" si="4"/>
        <v>0.026668247082161273</v>
      </c>
      <c r="D310" s="444"/>
    </row>
    <row r="311" spans="1:4" ht="12.75">
      <c r="A311" s="442">
        <v>29767</v>
      </c>
      <c r="B311" s="443">
        <v>1.48</v>
      </c>
      <c r="C311" s="440">
        <f t="shared" si="4"/>
        <v>-0.07796154146971193</v>
      </c>
      <c r="D311" s="444"/>
    </row>
    <row r="312" spans="1:4" ht="12.75">
      <c r="A312" s="442">
        <v>29739</v>
      </c>
      <c r="B312" s="443">
        <v>1.6</v>
      </c>
      <c r="C312" s="440">
        <f t="shared" si="4"/>
        <v>0.07796154146971192</v>
      </c>
      <c r="D312" s="444"/>
    </row>
    <row r="313" spans="1:4" ht="12.75">
      <c r="A313" s="442">
        <v>29706</v>
      </c>
      <c r="B313" s="443">
        <v>1.48</v>
      </c>
      <c r="C313" s="440">
        <f t="shared" si="4"/>
        <v>0.1296778233085326</v>
      </c>
      <c r="D313" s="444"/>
    </row>
    <row r="314" spans="1:4" ht="12.75">
      <c r="A314" s="442">
        <v>29676</v>
      </c>
      <c r="B314" s="443">
        <v>1.3</v>
      </c>
      <c r="C314" s="440">
        <f t="shared" si="4"/>
        <v>-0.030305349495328922</v>
      </c>
      <c r="D314" s="444"/>
    </row>
    <row r="315" spans="1:4" ht="12.75">
      <c r="A315" s="442">
        <v>29645</v>
      </c>
      <c r="B315" s="443">
        <v>1.34</v>
      </c>
      <c r="C315" s="440">
        <f t="shared" si="4"/>
        <v>0.015037877364540502</v>
      </c>
      <c r="D315" s="444"/>
    </row>
    <row r="316" spans="1:4" ht="12.75">
      <c r="A316" s="442">
        <v>29617</v>
      </c>
      <c r="B316" s="443">
        <v>1.32</v>
      </c>
      <c r="C316" s="440">
        <f t="shared" si="4"/>
        <v>0.04652001563489291</v>
      </c>
      <c r="D316" s="444"/>
    </row>
    <row r="317" spans="1:4" ht="12.75">
      <c r="A317" s="442">
        <v>29587</v>
      </c>
      <c r="B317" s="443">
        <v>1.26</v>
      </c>
      <c r="C317" s="440">
        <f t="shared" si="4"/>
        <v>0.22116139011021854</v>
      </c>
      <c r="D317" s="444"/>
    </row>
    <row r="318" spans="1:4" ht="12.75">
      <c r="A318" s="442">
        <v>29557</v>
      </c>
      <c r="B318" s="443">
        <v>1.01</v>
      </c>
      <c r="C318" s="440">
        <f t="shared" si="4"/>
        <v>0.020000666706669435</v>
      </c>
      <c r="D318" s="444"/>
    </row>
    <row r="319" spans="1:4" ht="12.75">
      <c r="A319" s="442">
        <v>29525</v>
      </c>
      <c r="B319" s="443">
        <v>0.99</v>
      </c>
      <c r="C319" s="440">
        <f t="shared" si="4"/>
        <v>0.030771658666753687</v>
      </c>
      <c r="D319" s="444"/>
    </row>
    <row r="320" spans="1:4" ht="12.75">
      <c r="A320" s="442">
        <v>29494</v>
      </c>
      <c r="B320" s="443">
        <v>0.96</v>
      </c>
      <c r="C320" s="440">
        <f t="shared" si="4"/>
        <v>-0.03077165866675366</v>
      </c>
      <c r="D320" s="444"/>
    </row>
    <row r="321" spans="1:4" ht="12.75">
      <c r="A321" s="442">
        <v>29467</v>
      </c>
      <c r="B321" s="443">
        <v>0.99</v>
      </c>
      <c r="C321" s="440">
        <f t="shared" si="4"/>
        <v>0.051825067864586155</v>
      </c>
      <c r="D321" s="444"/>
    </row>
    <row r="322" spans="1:4" ht="12.75">
      <c r="A322" s="442">
        <v>29433</v>
      </c>
      <c r="B322" s="443">
        <v>0.94</v>
      </c>
      <c r="C322" s="440">
        <f t="shared" si="4"/>
        <v>0.06595796779179737</v>
      </c>
      <c r="D322" s="444"/>
    </row>
    <row r="323" spans="1:4" ht="12.75">
      <c r="A323" s="442">
        <v>29403</v>
      </c>
      <c r="B323" s="443">
        <v>0.88</v>
      </c>
      <c r="C323" s="440">
        <f t="shared" si="4"/>
        <v>0.10788896201118492</v>
      </c>
      <c r="D323" s="444"/>
    </row>
    <row r="324" spans="1:4" ht="12.75">
      <c r="A324" s="442">
        <v>29372</v>
      </c>
      <c r="B324" s="443">
        <v>0.79</v>
      </c>
      <c r="C324" s="440">
        <f t="shared" si="4"/>
        <v>-0.2749430466743512</v>
      </c>
      <c r="D324" s="444"/>
    </row>
    <row r="325" spans="1:4" ht="12.75">
      <c r="A325" s="442">
        <v>29341</v>
      </c>
      <c r="B325" s="443">
        <v>1.04</v>
      </c>
      <c r="C325" s="440">
        <f t="shared" si="4"/>
        <v>-0.009569451016150672</v>
      </c>
      <c r="D325" s="444"/>
    </row>
    <row r="326" spans="1:4" ht="12.75">
      <c r="A326" s="442">
        <v>29312</v>
      </c>
      <c r="B326" s="443">
        <v>1.05</v>
      </c>
      <c r="C326" s="440">
        <f t="shared" si="4"/>
        <v>-0.055569851154810765</v>
      </c>
      <c r="D326" s="444"/>
    </row>
    <row r="327" spans="1:4" ht="12.75">
      <c r="A327" s="442">
        <v>29280</v>
      </c>
      <c r="B327" s="443">
        <v>1.11</v>
      </c>
      <c r="C327" s="440">
        <f t="shared" si="4"/>
        <v>0.29068959351573637</v>
      </c>
      <c r="D327" s="444"/>
    </row>
    <row r="328" spans="1:4" ht="12.75">
      <c r="A328" s="442">
        <v>29251</v>
      </c>
      <c r="B328" s="443">
        <v>0.83</v>
      </c>
      <c r="C328" s="440">
        <f t="shared" si="4"/>
        <v>-0.11375888535665815</v>
      </c>
      <c r="D328" s="444"/>
    </row>
    <row r="329" spans="1:4" ht="12.75">
      <c r="A329" s="442">
        <v>29222</v>
      </c>
      <c r="B329" s="443">
        <v>0.93</v>
      </c>
      <c r="C329" s="440">
        <f t="shared" si="4"/>
        <v>0.06669137449867235</v>
      </c>
      <c r="D329" s="444"/>
    </row>
    <row r="330" spans="1:4" ht="12.75">
      <c r="A330" s="442">
        <v>29189</v>
      </c>
      <c r="B330" s="443">
        <v>0.87</v>
      </c>
      <c r="C330" s="440">
        <f t="shared" si="4"/>
        <v>0.09646026618756211</v>
      </c>
      <c r="D330" s="444"/>
    </row>
    <row r="331" spans="1:4" ht="12.75">
      <c r="A331" s="442">
        <v>29159</v>
      </c>
      <c r="B331" s="443">
        <v>0.79</v>
      </c>
      <c r="C331" s="440">
        <f t="shared" si="4"/>
        <v>-0.24567266437423793</v>
      </c>
      <c r="D331" s="444"/>
    </row>
    <row r="332" spans="1:4" ht="12.75">
      <c r="A332" s="442">
        <v>29130</v>
      </c>
      <c r="B332" s="443">
        <v>1.01</v>
      </c>
      <c r="C332" s="440">
        <f t="shared" si="4"/>
        <v>-0.009852296443011594</v>
      </c>
      <c r="D332" s="444"/>
    </row>
    <row r="333" spans="1:4" ht="12.75">
      <c r="A333" s="442">
        <v>29098</v>
      </c>
      <c r="B333" s="443">
        <v>1.02</v>
      </c>
      <c r="C333" s="440">
        <f t="shared" si="4"/>
        <v>0.0502618347808883</v>
      </c>
      <c r="D333" s="444"/>
    </row>
    <row r="334" spans="1:4" ht="12.75">
      <c r="A334" s="442">
        <v>29067</v>
      </c>
      <c r="B334" s="443">
        <v>0.97</v>
      </c>
      <c r="C334" s="440">
        <f t="shared" si="4"/>
        <v>-0.06001800972625304</v>
      </c>
      <c r="D334" s="444"/>
    </row>
    <row r="335" spans="1:4" ht="12.75">
      <c r="A335" s="442">
        <v>29036</v>
      </c>
      <c r="B335" s="443">
        <v>1.03</v>
      </c>
      <c r="C335" s="440">
        <f t="shared" si="4"/>
        <v>-0.07480121308269841</v>
      </c>
      <c r="D335" s="444"/>
    </row>
    <row r="336" spans="1:4" ht="12.75">
      <c r="A336" s="442">
        <v>29006</v>
      </c>
      <c r="B336" s="443">
        <v>1.11</v>
      </c>
      <c r="C336" s="440">
        <f aca="true" t="shared" si="5" ref="C336:C399">LN(B336/B337)</f>
        <v>-0.10265415406008321</v>
      </c>
      <c r="D336" s="444"/>
    </row>
    <row r="337" spans="1:4" ht="12.75">
      <c r="A337" s="442">
        <v>28976</v>
      </c>
      <c r="B337" s="443">
        <v>1.23</v>
      </c>
      <c r="C337" s="440">
        <f t="shared" si="5"/>
        <v>-0.03200273108617383</v>
      </c>
      <c r="D337" s="444"/>
    </row>
    <row r="338" spans="1:4" ht="12.75">
      <c r="A338" s="442">
        <v>28948</v>
      </c>
      <c r="B338" s="443">
        <v>1.27</v>
      </c>
      <c r="C338" s="440">
        <f t="shared" si="5"/>
        <v>0.015873349156290163</v>
      </c>
      <c r="D338" s="444"/>
    </row>
    <row r="339" spans="1:4" ht="12.75">
      <c r="A339" s="442">
        <v>28914</v>
      </c>
      <c r="B339" s="443">
        <v>1.25</v>
      </c>
      <c r="C339" s="440">
        <f t="shared" si="5"/>
        <v>0.024292692569044483</v>
      </c>
      <c r="D339" s="444"/>
    </row>
    <row r="340" spans="1:4" ht="12.75">
      <c r="A340" s="442">
        <v>28886</v>
      </c>
      <c r="B340" s="443">
        <v>1.22</v>
      </c>
      <c r="C340" s="440">
        <f t="shared" si="5"/>
        <v>0.10354067894084017</v>
      </c>
      <c r="D340" s="444"/>
    </row>
    <row r="341" spans="1:4" ht="12.75">
      <c r="A341" s="442">
        <v>28857</v>
      </c>
      <c r="B341" s="443">
        <v>1.1</v>
      </c>
      <c r="C341" s="440">
        <f t="shared" si="5"/>
        <v>0.06575137756278043</v>
      </c>
      <c r="D341" s="444"/>
    </row>
    <row r="342" spans="1:4" ht="12.75">
      <c r="A342" s="442">
        <v>28824</v>
      </c>
      <c r="B342" s="443">
        <v>1.03</v>
      </c>
      <c r="C342" s="440">
        <f t="shared" si="5"/>
        <v>-0.038099846232270404</v>
      </c>
      <c r="D342" s="444"/>
    </row>
    <row r="343" spans="1:4" ht="12.75">
      <c r="A343" s="442">
        <v>28794</v>
      </c>
      <c r="B343" s="443">
        <v>1.07</v>
      </c>
      <c r="C343" s="440">
        <f t="shared" si="5"/>
        <v>0</v>
      </c>
      <c r="D343" s="444"/>
    </row>
    <row r="344" spans="1:4" ht="12.75">
      <c r="A344" s="442">
        <v>28763</v>
      </c>
      <c r="B344" s="443">
        <v>1.07</v>
      </c>
      <c r="C344" s="440">
        <f t="shared" si="5"/>
        <v>0.15104025741286592</v>
      </c>
      <c r="D344" s="444"/>
    </row>
    <row r="345" spans="1:4" ht="12.75">
      <c r="A345" s="442">
        <v>28733</v>
      </c>
      <c r="B345" s="443">
        <v>0.92</v>
      </c>
      <c r="C345" s="440">
        <f t="shared" si="5"/>
        <v>0.05588045839445663</v>
      </c>
      <c r="D345" s="444"/>
    </row>
    <row r="346" spans="1:4" ht="12.75">
      <c r="A346" s="442">
        <v>28703</v>
      </c>
      <c r="B346" s="443">
        <v>0.87</v>
      </c>
      <c r="C346" s="440">
        <f t="shared" si="5"/>
        <v>0.059188871390330654</v>
      </c>
      <c r="D346" s="444"/>
    </row>
    <row r="347" spans="1:4" ht="12.75">
      <c r="A347" s="442">
        <v>28671</v>
      </c>
      <c r="B347" s="443">
        <v>0.82</v>
      </c>
      <c r="C347" s="440">
        <f t="shared" si="5"/>
        <v>-0.1471576443362877</v>
      </c>
      <c r="D347" s="444"/>
    </row>
    <row r="348" spans="1:4" ht="12.75">
      <c r="A348" s="442">
        <v>28641</v>
      </c>
      <c r="B348" s="443">
        <v>0.95</v>
      </c>
      <c r="C348" s="440">
        <f t="shared" si="5"/>
        <v>0.03208831455150045</v>
      </c>
      <c r="D348" s="444"/>
    </row>
    <row r="349" spans="1:4" ht="12.75">
      <c r="A349" s="442">
        <v>28612</v>
      </c>
      <c r="B349" s="443">
        <v>0.92</v>
      </c>
      <c r="C349" s="440">
        <f t="shared" si="5"/>
        <v>0.01092907053219023</v>
      </c>
      <c r="D349" s="444"/>
    </row>
    <row r="350" spans="1:4" ht="12.75">
      <c r="A350" s="442">
        <v>28580</v>
      </c>
      <c r="B350" s="443">
        <v>0.91</v>
      </c>
      <c r="C350" s="440">
        <f t="shared" si="5"/>
        <v>0.06820825002653357</v>
      </c>
      <c r="D350" s="444"/>
    </row>
    <row r="351" spans="1:4" ht="12.75">
      <c r="A351" s="442">
        <v>28549</v>
      </c>
      <c r="B351" s="443">
        <v>0.85</v>
      </c>
      <c r="C351" s="440">
        <f t="shared" si="5"/>
        <v>0.03593200922606337</v>
      </c>
      <c r="D351" s="444"/>
    </row>
    <row r="352" spans="1:4" ht="12.75">
      <c r="A352" s="442">
        <v>28521</v>
      </c>
      <c r="B352" s="443">
        <v>0.82</v>
      </c>
      <c r="C352" s="440">
        <f t="shared" si="5"/>
        <v>0.024692612590371414</v>
      </c>
      <c r="D352" s="444"/>
    </row>
    <row r="353" spans="1:4" ht="12.75">
      <c r="A353" s="442">
        <v>28493</v>
      </c>
      <c r="B353" s="443">
        <v>0.8</v>
      </c>
      <c r="C353" s="440">
        <f t="shared" si="5"/>
        <v>-0.0368139731227162</v>
      </c>
      <c r="D353" s="444"/>
    </row>
    <row r="354" spans="1:4" ht="12.75">
      <c r="A354" s="442">
        <v>28459</v>
      </c>
      <c r="B354" s="443">
        <v>0.83</v>
      </c>
      <c r="C354" s="440">
        <f t="shared" si="5"/>
        <v>-0.047067510857985856</v>
      </c>
      <c r="D354" s="444"/>
    </row>
    <row r="355" spans="1:4" ht="12.75">
      <c r="A355" s="442">
        <v>28430</v>
      </c>
      <c r="B355" s="443">
        <v>0.87</v>
      </c>
      <c r="C355" s="440">
        <f t="shared" si="5"/>
        <v>0.03509131981127019</v>
      </c>
      <c r="D355" s="444"/>
    </row>
    <row r="356" spans="1:4" ht="12.75">
      <c r="A356" s="442">
        <v>28398</v>
      </c>
      <c r="B356" s="443">
        <v>0.84</v>
      </c>
      <c r="C356" s="440">
        <f t="shared" si="5"/>
        <v>0.1267517056391438</v>
      </c>
      <c r="D356" s="444"/>
    </row>
    <row r="357" spans="1:4" ht="12.75">
      <c r="A357" s="442">
        <v>28368</v>
      </c>
      <c r="B357" s="443">
        <v>0.74</v>
      </c>
      <c r="C357" s="440">
        <f t="shared" si="5"/>
        <v>-0.10265415406008334</v>
      </c>
      <c r="D357" s="444"/>
    </row>
    <row r="358" spans="1:4" ht="12.75">
      <c r="A358" s="442">
        <v>28339</v>
      </c>
      <c r="B358" s="443">
        <v>0.82</v>
      </c>
      <c r="C358" s="440">
        <f t="shared" si="5"/>
        <v>-0.047628048989254705</v>
      </c>
      <c r="D358" s="444"/>
    </row>
    <row r="359" spans="1:4" ht="12.75">
      <c r="A359" s="442">
        <v>28306</v>
      </c>
      <c r="B359" s="443">
        <v>0.86</v>
      </c>
      <c r="C359" s="440">
        <f t="shared" si="5"/>
        <v>-0.16077322058775173</v>
      </c>
      <c r="D359" s="444"/>
    </row>
    <row r="360" spans="1:4" ht="12.75">
      <c r="A360" s="442">
        <v>28276</v>
      </c>
      <c r="B360" s="443">
        <v>1.01</v>
      </c>
      <c r="C360" s="440">
        <f t="shared" si="5"/>
        <v>0.050772325373423355</v>
      </c>
      <c r="D360" s="444"/>
    </row>
    <row r="361" spans="1:4" ht="12.75">
      <c r="A361" s="442">
        <v>28245</v>
      </c>
      <c r="B361" s="443">
        <v>0.96</v>
      </c>
      <c r="C361" s="440">
        <f t="shared" si="5"/>
        <v>0.03174869831458027</v>
      </c>
      <c r="D361" s="444"/>
    </row>
    <row r="362" spans="1:4" ht="12.75">
      <c r="A362" s="442">
        <v>28215</v>
      </c>
      <c r="B362" s="443">
        <v>0.93</v>
      </c>
      <c r="C362" s="440">
        <f t="shared" si="5"/>
        <v>-0.04211148535012685</v>
      </c>
      <c r="D362" s="444"/>
    </row>
    <row r="363" spans="1:4" ht="12.75">
      <c r="A363" s="442">
        <v>28185</v>
      </c>
      <c r="B363" s="443">
        <v>0.97</v>
      </c>
      <c r="C363" s="440">
        <f t="shared" si="5"/>
        <v>0.020834086902842053</v>
      </c>
      <c r="D363" s="444"/>
    </row>
    <row r="364" spans="1:4" ht="12.75">
      <c r="A364" s="442">
        <v>28157</v>
      </c>
      <c r="B364" s="443">
        <v>0.95</v>
      </c>
      <c r="C364" s="440">
        <f t="shared" si="5"/>
        <v>0.13503628380394292</v>
      </c>
      <c r="D364" s="444"/>
    </row>
    <row r="365" spans="1:4" ht="12.75">
      <c r="A365" s="442">
        <v>28126</v>
      </c>
      <c r="B365" s="443">
        <v>0.83</v>
      </c>
      <c r="C365" s="440">
        <f t="shared" si="5"/>
        <v>0.01212136053234482</v>
      </c>
      <c r="D365" s="444"/>
    </row>
    <row r="366" spans="1:4" ht="12.75">
      <c r="A366" s="442">
        <v>28094</v>
      </c>
      <c r="B366" s="443">
        <v>0.82</v>
      </c>
      <c r="C366" s="440">
        <f t="shared" si="5"/>
        <v>0.012270092591814183</v>
      </c>
      <c r="D366" s="444"/>
    </row>
    <row r="367" spans="1:4" ht="12.75">
      <c r="A367" s="442">
        <v>28066</v>
      </c>
      <c r="B367" s="443">
        <v>0.81</v>
      </c>
      <c r="C367" s="440">
        <f t="shared" si="5"/>
        <v>0.18975653528147265</v>
      </c>
      <c r="D367" s="444"/>
    </row>
    <row r="368" spans="1:4" ht="12.75">
      <c r="A368" s="442">
        <v>28033</v>
      </c>
      <c r="B368" s="443">
        <v>0.67</v>
      </c>
      <c r="C368" s="440">
        <f t="shared" si="5"/>
        <v>-0.11279549414534427</v>
      </c>
      <c r="D368" s="444"/>
    </row>
    <row r="369" spans="1:4" ht="12.75">
      <c r="A369" s="442">
        <v>28004</v>
      </c>
      <c r="B369" s="443">
        <v>0.75</v>
      </c>
      <c r="C369" s="440">
        <f t="shared" si="5"/>
        <v>-0.051959738930711104</v>
      </c>
      <c r="D369" s="444"/>
    </row>
    <row r="370" spans="1:4" ht="12.75">
      <c r="A370" s="442">
        <v>27972</v>
      </c>
      <c r="B370" s="443">
        <v>0.79</v>
      </c>
      <c r="C370" s="440">
        <f t="shared" si="5"/>
        <v>-0.06136894637629201</v>
      </c>
      <c r="D370" s="444"/>
    </row>
    <row r="371" spans="1:4" ht="12.75">
      <c r="A371" s="442">
        <v>27941</v>
      </c>
      <c r="B371" s="443">
        <v>0.84</v>
      </c>
      <c r="C371" s="440">
        <f t="shared" si="5"/>
        <v>0.10008345855698243</v>
      </c>
      <c r="D371" s="444"/>
    </row>
    <row r="372" spans="1:4" ht="12.75">
      <c r="A372" s="442">
        <v>27912</v>
      </c>
      <c r="B372" s="443">
        <v>0.76</v>
      </c>
      <c r="C372" s="440">
        <f t="shared" si="5"/>
        <v>-0.05129329438755058</v>
      </c>
      <c r="D372" s="444"/>
    </row>
    <row r="373" spans="1:4" ht="12.75">
      <c r="A373" s="442">
        <v>27880</v>
      </c>
      <c r="B373" s="443">
        <v>0.8</v>
      </c>
      <c r="C373" s="440">
        <f t="shared" si="5"/>
        <v>0.06453852113757116</v>
      </c>
      <c r="D373" s="444"/>
    </row>
    <row r="374" spans="1:4" ht="12.75">
      <c r="A374" s="442">
        <v>27850</v>
      </c>
      <c r="B374" s="443">
        <v>0.75</v>
      </c>
      <c r="C374" s="440">
        <f t="shared" si="5"/>
        <v>0.05480823649499516</v>
      </c>
      <c r="D374" s="444"/>
    </row>
    <row r="375" spans="1:4" ht="12.75">
      <c r="A375" s="442">
        <v>27821</v>
      </c>
      <c r="B375" s="443">
        <v>0.71</v>
      </c>
      <c r="C375" s="440">
        <f t="shared" si="5"/>
        <v>0.028573372444056163</v>
      </c>
      <c r="D375" s="444"/>
    </row>
    <row r="376" spans="1:4" ht="12.75">
      <c r="A376" s="442">
        <v>27790</v>
      </c>
      <c r="B376" s="443">
        <v>0.69</v>
      </c>
      <c r="C376" s="440">
        <f t="shared" si="5"/>
        <v>-0.06995858860691047</v>
      </c>
      <c r="D376" s="444"/>
    </row>
    <row r="377" spans="1:4" ht="12.75">
      <c r="A377" s="442">
        <v>27760</v>
      </c>
      <c r="B377" s="443">
        <v>0.74</v>
      </c>
      <c r="C377" s="440">
        <f t="shared" si="5"/>
        <v>0.04138521616285428</v>
      </c>
      <c r="D377" s="444"/>
    </row>
    <row r="378" spans="1:4" ht="12.75">
      <c r="A378" s="442">
        <v>27730</v>
      </c>
      <c r="B378" s="443">
        <v>0.71</v>
      </c>
      <c r="C378" s="440">
        <f t="shared" si="5"/>
        <v>0.11954515064978273</v>
      </c>
      <c r="D378" s="444"/>
    </row>
    <row r="379" spans="1:4" ht="12.75">
      <c r="A379" s="442">
        <v>27698</v>
      </c>
      <c r="B379" s="443">
        <v>0.63</v>
      </c>
      <c r="C379" s="440">
        <f t="shared" si="5"/>
        <v>0.06559728248581327</v>
      </c>
      <c r="D379" s="444"/>
    </row>
    <row r="380" spans="1:4" ht="12.75">
      <c r="A380" s="442">
        <v>27667</v>
      </c>
      <c r="B380" s="443">
        <v>0.59</v>
      </c>
      <c r="C380" s="440">
        <f t="shared" si="5"/>
        <v>-0.08134563945395253</v>
      </c>
      <c r="D380" s="444"/>
    </row>
    <row r="381" spans="1:4" ht="12.75">
      <c r="A381" s="442">
        <v>27640</v>
      </c>
      <c r="B381" s="443">
        <v>0.64</v>
      </c>
      <c r="C381" s="440">
        <f t="shared" si="5"/>
        <v>0</v>
      </c>
      <c r="D381" s="444"/>
    </row>
    <row r="382" spans="1:4" ht="12.75">
      <c r="A382" s="442">
        <v>27606</v>
      </c>
      <c r="B382" s="443">
        <v>0.64</v>
      </c>
      <c r="C382" s="440">
        <f t="shared" si="5"/>
        <v>0.015748356968139112</v>
      </c>
      <c r="D382" s="444"/>
    </row>
    <row r="383" spans="1:4" ht="12.75">
      <c r="A383" s="442">
        <v>27576</v>
      </c>
      <c r="B383" s="443">
        <v>0.63</v>
      </c>
      <c r="C383" s="440">
        <f t="shared" si="5"/>
        <v>0.15415067982725816</v>
      </c>
      <c r="D383" s="444"/>
    </row>
    <row r="384" spans="1:4" ht="12.75">
      <c r="A384" s="442">
        <v>27545</v>
      </c>
      <c r="B384" s="443">
        <v>0.54</v>
      </c>
      <c r="C384" s="440">
        <f t="shared" si="5"/>
        <v>-0.01834913866819654</v>
      </c>
      <c r="D384" s="444"/>
    </row>
    <row r="385" spans="1:4" ht="12.75">
      <c r="A385" s="442">
        <v>27514</v>
      </c>
      <c r="B385" s="443">
        <v>0.55</v>
      </c>
      <c r="C385" s="440">
        <f t="shared" si="5"/>
        <v>-0.08701137698962969</v>
      </c>
      <c r="D385" s="444"/>
    </row>
    <row r="386" spans="1:4" ht="12.75">
      <c r="A386" s="442">
        <v>27485</v>
      </c>
      <c r="B386" s="443">
        <v>0.6</v>
      </c>
      <c r="C386" s="440">
        <f t="shared" si="5"/>
        <v>-0.032789822822990956</v>
      </c>
      <c r="D386" s="444"/>
    </row>
    <row r="387" spans="1:4" ht="12.75">
      <c r="A387" s="442">
        <v>27453</v>
      </c>
      <c r="B387" s="443">
        <v>0.62</v>
      </c>
      <c r="C387" s="440">
        <f t="shared" si="5"/>
        <v>0.049596941139372186</v>
      </c>
      <c r="D387" s="444"/>
    </row>
    <row r="388" spans="1:4" ht="12.75">
      <c r="A388" s="442">
        <v>27425</v>
      </c>
      <c r="B388" s="443">
        <v>0.59</v>
      </c>
      <c r="C388" s="440">
        <f t="shared" si="5"/>
        <v>-0.11211729812070624</v>
      </c>
      <c r="D388" s="444"/>
    </row>
    <row r="389" spans="1:4" ht="12.75">
      <c r="A389" s="442">
        <v>27395</v>
      </c>
      <c r="B389" s="443">
        <v>0.66</v>
      </c>
      <c r="C389" s="440">
        <f t="shared" si="5"/>
        <v>0.030771658666753687</v>
      </c>
      <c r="D389" s="444"/>
    </row>
    <row r="390" spans="1:4" ht="12.75">
      <c r="A390" s="442">
        <v>27363</v>
      </c>
      <c r="B390" s="443">
        <v>0.64</v>
      </c>
      <c r="C390" s="440">
        <f t="shared" si="5"/>
        <v>0.06453852113757116</v>
      </c>
      <c r="D390" s="444"/>
    </row>
    <row r="391" spans="1:4" ht="12.75">
      <c r="A391" s="442">
        <v>27333</v>
      </c>
      <c r="B391" s="443">
        <v>0.6</v>
      </c>
      <c r="C391" s="440">
        <f t="shared" si="5"/>
        <v>0.033901551675681416</v>
      </c>
      <c r="D391" s="444"/>
    </row>
    <row r="392" spans="1:4" ht="12.75">
      <c r="A392" s="442">
        <v>27303</v>
      </c>
      <c r="B392" s="443">
        <v>0.58</v>
      </c>
      <c r="C392" s="440">
        <f t="shared" si="5"/>
        <v>-0.15906469462968753</v>
      </c>
      <c r="D392" s="444"/>
    </row>
    <row r="393" spans="1:4" ht="12.75">
      <c r="A393" s="442">
        <v>27272</v>
      </c>
      <c r="B393" s="443">
        <v>0.68</v>
      </c>
      <c r="C393" s="440">
        <f t="shared" si="5"/>
        <v>0</v>
      </c>
      <c r="D393" s="444"/>
    </row>
    <row r="394" spans="1:4" ht="12.75">
      <c r="A394" s="442">
        <v>27241</v>
      </c>
      <c r="B394" s="443">
        <v>0.68</v>
      </c>
      <c r="C394" s="440">
        <f t="shared" si="5"/>
        <v>0.014815085785140682</v>
      </c>
      <c r="D394" s="444"/>
    </row>
    <row r="395" spans="1:4" ht="12.75">
      <c r="A395" s="442">
        <v>27212</v>
      </c>
      <c r="B395" s="443">
        <v>0.67</v>
      </c>
      <c r="C395" s="440">
        <f t="shared" si="5"/>
        <v>0.0458095360312942</v>
      </c>
      <c r="D395" s="444"/>
    </row>
    <row r="396" spans="1:4" ht="12.75">
      <c r="A396" s="442">
        <v>27180</v>
      </c>
      <c r="B396" s="443">
        <v>0.64</v>
      </c>
      <c r="C396" s="440">
        <f t="shared" si="5"/>
        <v>-0.03077165866675366</v>
      </c>
      <c r="D396" s="444"/>
    </row>
    <row r="397" spans="1:4" ht="12.75">
      <c r="A397" s="442">
        <v>27149</v>
      </c>
      <c r="B397" s="443">
        <v>0.66</v>
      </c>
      <c r="C397" s="440">
        <f t="shared" si="5"/>
        <v>0.07878087785311438</v>
      </c>
      <c r="D397" s="444"/>
    </row>
    <row r="398" spans="1:4" ht="12.75">
      <c r="A398" s="442">
        <v>27121</v>
      </c>
      <c r="B398" s="443">
        <v>0.61</v>
      </c>
      <c r="C398" s="440">
        <f t="shared" si="5"/>
        <v>0.15963014559188374</v>
      </c>
      <c r="D398" s="444"/>
    </row>
    <row r="399" spans="1:4" ht="12.75">
      <c r="A399" s="442">
        <v>27088</v>
      </c>
      <c r="B399" s="443">
        <v>0.52</v>
      </c>
      <c r="C399" s="440">
        <f t="shared" si="5"/>
        <v>0</v>
      </c>
      <c r="D399" s="444"/>
    </row>
    <row r="400" spans="1:4" ht="12.75">
      <c r="A400" s="442">
        <v>27060</v>
      </c>
      <c r="B400" s="443">
        <v>0.52</v>
      </c>
      <c r="C400" s="440">
        <f aca="true" t="shared" si="6" ref="C400:C463">LN(B400/B401)</f>
        <v>-0.019048194970694474</v>
      </c>
      <c r="D400" s="444"/>
    </row>
    <row r="401" spans="1:4" ht="12.75">
      <c r="A401" s="442">
        <v>27031</v>
      </c>
      <c r="B401" s="443">
        <v>0.53</v>
      </c>
      <c r="C401" s="440">
        <f t="shared" si="6"/>
        <v>-0.18859116980755003</v>
      </c>
      <c r="D401" s="444"/>
    </row>
    <row r="402" spans="1:4" ht="12.75">
      <c r="A402" s="442">
        <v>26998</v>
      </c>
      <c r="B402" s="443">
        <v>0.64</v>
      </c>
      <c r="C402" s="440">
        <f t="shared" si="6"/>
        <v>-0.060624621816434854</v>
      </c>
      <c r="D402" s="444"/>
    </row>
    <row r="403" spans="1:4" ht="12.75">
      <c r="A403" s="442">
        <v>26968</v>
      </c>
      <c r="B403" s="443">
        <v>0.68</v>
      </c>
      <c r="C403" s="440">
        <f t="shared" si="6"/>
        <v>0.15906469462968748</v>
      </c>
      <c r="D403" s="444"/>
    </row>
    <row r="404" spans="1:4" ht="12.75">
      <c r="A404" s="442">
        <v>26939</v>
      </c>
      <c r="B404" s="443">
        <v>0.58</v>
      </c>
      <c r="C404" s="440">
        <f t="shared" si="6"/>
        <v>-0.08269171584511341</v>
      </c>
      <c r="D404" s="444"/>
    </row>
    <row r="405" spans="1:4" ht="12.75">
      <c r="A405" s="442">
        <v>26907</v>
      </c>
      <c r="B405" s="443">
        <v>0.63</v>
      </c>
      <c r="C405" s="440">
        <f t="shared" si="6"/>
        <v>-0.015748356968139168</v>
      </c>
      <c r="D405" s="444"/>
    </row>
    <row r="406" spans="1:4" ht="12.75">
      <c r="A406" s="442">
        <v>26876</v>
      </c>
      <c r="B406" s="443">
        <v>0.64</v>
      </c>
      <c r="C406" s="440">
        <f t="shared" si="6"/>
        <v>0.0813456394539524</v>
      </c>
      <c r="D406" s="444"/>
    </row>
    <row r="407" spans="1:4" ht="12.75">
      <c r="A407" s="442">
        <v>26845</v>
      </c>
      <c r="B407" s="443">
        <v>0.59</v>
      </c>
      <c r="C407" s="440">
        <f t="shared" si="6"/>
        <v>0</v>
      </c>
      <c r="D407" s="444"/>
    </row>
    <row r="408" spans="1:4" ht="12.75">
      <c r="A408" s="442">
        <v>26815</v>
      </c>
      <c r="B408" s="443">
        <v>0.59</v>
      </c>
      <c r="C408" s="440">
        <f t="shared" si="6"/>
        <v>0.1457118111813936</v>
      </c>
      <c r="D408" s="444"/>
    </row>
    <row r="409" spans="1:4" ht="12.75">
      <c r="A409" s="442">
        <v>26785</v>
      </c>
      <c r="B409" s="443">
        <v>0.51</v>
      </c>
      <c r="C409" s="440">
        <f t="shared" si="6"/>
        <v>-0.09352605801082348</v>
      </c>
      <c r="D409" s="444"/>
    </row>
    <row r="410" spans="1:4" ht="12.75">
      <c r="A410" s="442">
        <v>26754</v>
      </c>
      <c r="B410" s="443">
        <v>0.56</v>
      </c>
      <c r="C410" s="440">
        <f t="shared" si="6"/>
        <v>0.01801850550267843</v>
      </c>
      <c r="D410" s="444"/>
    </row>
    <row r="411" spans="1:4" ht="12.75">
      <c r="A411" s="442">
        <v>26723</v>
      </c>
      <c r="B411" s="443">
        <v>0.55</v>
      </c>
      <c r="C411" s="440">
        <f t="shared" si="6"/>
        <v>-0.08701137698962969</v>
      </c>
      <c r="D411" s="444"/>
    </row>
    <row r="412" spans="1:4" ht="12.75">
      <c r="A412" s="442">
        <v>26695</v>
      </c>
      <c r="B412" s="443">
        <v>0.6</v>
      </c>
      <c r="C412" s="440">
        <f t="shared" si="6"/>
        <v>-0.0953101798043249</v>
      </c>
      <c r="D412" s="444"/>
    </row>
    <row r="413" spans="1:4" ht="12.75">
      <c r="A413" s="442">
        <v>26666</v>
      </c>
      <c r="B413" s="443">
        <v>0.66</v>
      </c>
      <c r="C413" s="440">
        <f t="shared" si="6"/>
        <v>-0.12783337150988489</v>
      </c>
      <c r="D413" s="444"/>
    </row>
    <row r="414" spans="1:4" ht="12.75">
      <c r="A414" s="442">
        <v>26633</v>
      </c>
      <c r="B414" s="443">
        <v>0.75</v>
      </c>
      <c r="C414" s="440">
        <f t="shared" si="6"/>
        <v>0.09798040836020361</v>
      </c>
      <c r="D414" s="444"/>
    </row>
    <row r="415" spans="1:4" ht="12.75">
      <c r="A415" s="442">
        <v>26603</v>
      </c>
      <c r="B415" s="443">
        <v>0.68</v>
      </c>
      <c r="C415" s="440">
        <f t="shared" si="6"/>
        <v>-0.084557388028063</v>
      </c>
      <c r="D415" s="444"/>
    </row>
    <row r="416" spans="1:4" ht="12.75">
      <c r="A416" s="442">
        <v>26572</v>
      </c>
      <c r="B416" s="443">
        <v>0.74</v>
      </c>
      <c r="C416" s="440">
        <f t="shared" si="6"/>
        <v>-0.026668247082161294</v>
      </c>
      <c r="D416" s="444"/>
    </row>
    <row r="417" spans="1:4" ht="12.75">
      <c r="A417" s="442">
        <v>26542</v>
      </c>
      <c r="B417" s="443">
        <v>0.76</v>
      </c>
      <c r="C417" s="440">
        <f t="shared" si="6"/>
        <v>-0.025975486403260677</v>
      </c>
      <c r="D417" s="444"/>
    </row>
    <row r="418" spans="1:4" ht="12.75">
      <c r="A418" s="442">
        <v>26512</v>
      </c>
      <c r="B418" s="443">
        <v>0.78</v>
      </c>
      <c r="C418" s="440">
        <f t="shared" si="6"/>
        <v>-0.012739025777429714</v>
      </c>
      <c r="D418" s="444"/>
    </row>
    <row r="419" spans="1:4" ht="12.75">
      <c r="A419" s="442">
        <v>26480</v>
      </c>
      <c r="B419" s="443">
        <v>0.79</v>
      </c>
      <c r="C419" s="440">
        <f t="shared" si="6"/>
        <v>-0.13036181786324358</v>
      </c>
      <c r="D419" s="444"/>
    </row>
    <row r="420" spans="1:4" ht="12.75">
      <c r="A420" s="442">
        <v>26450</v>
      </c>
      <c r="B420" s="443">
        <v>0.9</v>
      </c>
      <c r="C420" s="440">
        <f t="shared" si="6"/>
        <v>0.05715841383994862</v>
      </c>
      <c r="D420" s="444"/>
    </row>
    <row r="421" spans="1:4" ht="12.75">
      <c r="A421" s="442">
        <v>26421</v>
      </c>
      <c r="B421" s="443">
        <v>0.85</v>
      </c>
      <c r="C421" s="440">
        <f t="shared" si="6"/>
        <v>-0.011696039763191298</v>
      </c>
      <c r="D421" s="444"/>
    </row>
    <row r="422" spans="1:4" ht="12.75">
      <c r="A422" s="442">
        <v>26389</v>
      </c>
      <c r="B422" s="443">
        <v>0.86</v>
      </c>
      <c r="C422" s="440">
        <f t="shared" si="6"/>
        <v>-0.12036368224987513</v>
      </c>
      <c r="D422" s="444"/>
    </row>
    <row r="423" spans="1:4" ht="12.75">
      <c r="A423" s="442">
        <v>26358</v>
      </c>
      <c r="B423" s="443">
        <v>0.97</v>
      </c>
      <c r="C423" s="440">
        <f t="shared" si="6"/>
        <v>0.020834086902842053</v>
      </c>
      <c r="D423" s="444"/>
    </row>
    <row r="424" spans="1:4" ht="12.75">
      <c r="A424" s="442">
        <v>26330</v>
      </c>
      <c r="B424" s="443">
        <v>0.95</v>
      </c>
      <c r="C424" s="440">
        <f t="shared" si="6"/>
        <v>0</v>
      </c>
      <c r="D424" s="444"/>
    </row>
    <row r="425" spans="1:4" ht="12.75">
      <c r="A425" s="442">
        <v>26299</v>
      </c>
      <c r="B425" s="443">
        <v>0.95</v>
      </c>
      <c r="C425" s="440">
        <f t="shared" si="6"/>
        <v>0.18442903913351932</v>
      </c>
      <c r="D425" s="444"/>
    </row>
    <row r="426" spans="1:4" ht="12.75">
      <c r="A426" s="442">
        <v>26267</v>
      </c>
      <c r="B426" s="443">
        <v>0.79</v>
      </c>
      <c r="C426" s="440">
        <f t="shared" si="6"/>
        <v>-0.03727139479723154</v>
      </c>
      <c r="D426" s="444"/>
    </row>
    <row r="427" spans="1:4" ht="12.75">
      <c r="A427" s="442">
        <v>26239</v>
      </c>
      <c r="B427" s="443">
        <v>0.82</v>
      </c>
      <c r="C427" s="440">
        <f t="shared" si="6"/>
        <v>0.0500104205746612</v>
      </c>
      <c r="D427" s="444"/>
    </row>
    <row r="428" spans="1:4" ht="12.75">
      <c r="A428" s="442">
        <v>26206</v>
      </c>
      <c r="B428" s="443">
        <v>0.78</v>
      </c>
      <c r="C428" s="440">
        <f t="shared" si="6"/>
        <v>0.10821358464023279</v>
      </c>
      <c r="D428" s="444"/>
    </row>
    <row r="429" spans="1:4" ht="12.75">
      <c r="A429" s="442">
        <v>26177</v>
      </c>
      <c r="B429" s="443">
        <v>0.7</v>
      </c>
      <c r="C429" s="440">
        <f t="shared" si="6"/>
        <v>-0.014184634991956413</v>
      </c>
      <c r="D429" s="444"/>
    </row>
    <row r="430" spans="1:4" ht="12.75">
      <c r="A430" s="442">
        <v>26145</v>
      </c>
      <c r="B430" s="443">
        <v>0.71</v>
      </c>
      <c r="C430" s="440">
        <f t="shared" si="6"/>
        <v>-0.027779564107075706</v>
      </c>
      <c r="D430" s="444"/>
    </row>
    <row r="431" spans="1:4" ht="12.75">
      <c r="A431" s="442">
        <v>26114</v>
      </c>
      <c r="B431" s="443">
        <v>0.73</v>
      </c>
      <c r="C431" s="440">
        <f t="shared" si="6"/>
        <v>-0.0915671935254905</v>
      </c>
      <c r="D431" s="444"/>
    </row>
    <row r="432" spans="1:4" ht="12.75">
      <c r="A432" s="442">
        <v>26085</v>
      </c>
      <c r="B432" s="443">
        <v>0.8</v>
      </c>
      <c r="C432" s="440">
        <f t="shared" si="6"/>
        <v>-0.048790164169431945</v>
      </c>
      <c r="D432" s="444"/>
    </row>
    <row r="433" spans="1:4" ht="12.75">
      <c r="A433" s="442">
        <v>26053</v>
      </c>
      <c r="B433" s="443">
        <v>0.84</v>
      </c>
      <c r="C433" s="440">
        <f t="shared" si="6"/>
        <v>0.0870113769896297</v>
      </c>
      <c r="D433" s="444"/>
    </row>
    <row r="434" spans="1:4" ht="12.75">
      <c r="A434" s="442">
        <v>26023</v>
      </c>
      <c r="B434" s="443">
        <v>0.77</v>
      </c>
      <c r="C434" s="440">
        <f t="shared" si="6"/>
        <v>0.06713930283762852</v>
      </c>
      <c r="D434" s="444"/>
    </row>
    <row r="435" spans="1:4" ht="12.75">
      <c r="A435" s="442">
        <v>25994</v>
      </c>
      <c r="B435" s="443">
        <v>0.72</v>
      </c>
      <c r="C435" s="440">
        <f t="shared" si="6"/>
        <v>0.13353139262452257</v>
      </c>
      <c r="D435" s="444"/>
    </row>
    <row r="436" spans="1:4" ht="12.75">
      <c r="A436" s="442">
        <v>25966</v>
      </c>
      <c r="B436" s="443">
        <v>0.63</v>
      </c>
      <c r="C436" s="440">
        <f t="shared" si="6"/>
        <v>0.27193371548364176</v>
      </c>
      <c r="D436" s="444"/>
    </row>
    <row r="437" spans="1:4" ht="12.75">
      <c r="A437" s="442">
        <v>25934</v>
      </c>
      <c r="B437" s="443">
        <v>0.48</v>
      </c>
      <c r="C437" s="440">
        <f t="shared" si="6"/>
        <v>0.3448404862917294</v>
      </c>
      <c r="D437" s="444"/>
    </row>
    <row r="438" spans="1:4" ht="12.75">
      <c r="A438" s="442">
        <v>25903</v>
      </c>
      <c r="B438" s="443">
        <v>0.34</v>
      </c>
      <c r="C438" s="440">
        <f t="shared" si="6"/>
        <v>-0.028987536873252187</v>
      </c>
      <c r="D438" s="444"/>
    </row>
    <row r="439" spans="1:4" ht="12.75">
      <c r="A439" s="442">
        <v>25872</v>
      </c>
      <c r="B439" s="443">
        <v>0.35</v>
      </c>
      <c r="C439" s="440">
        <f t="shared" si="6"/>
        <v>-0.055569851154810765</v>
      </c>
      <c r="D439" s="444"/>
    </row>
    <row r="440" spans="1:4" ht="12.75">
      <c r="A440" s="442">
        <v>25841</v>
      </c>
      <c r="B440" s="443">
        <v>0.37</v>
      </c>
      <c r="C440" s="440">
        <f t="shared" si="6"/>
        <v>0.08455738802806297</v>
      </c>
      <c r="D440" s="444"/>
    </row>
    <row r="441" spans="1:4" ht="12.75">
      <c r="A441" s="442">
        <v>25813</v>
      </c>
      <c r="B441" s="443">
        <v>0.34</v>
      </c>
      <c r="C441" s="440">
        <f t="shared" si="6"/>
        <v>-0.46262352194811296</v>
      </c>
      <c r="D441" s="444"/>
    </row>
    <row r="442" spans="1:4" ht="12.75">
      <c r="A442" s="442">
        <v>25780</v>
      </c>
      <c r="B442" s="443">
        <v>0.54</v>
      </c>
      <c r="C442" s="440">
        <f t="shared" si="6"/>
        <v>-0.05406722127027559</v>
      </c>
      <c r="D442" s="444"/>
    </row>
    <row r="443" spans="1:4" ht="12.75">
      <c r="A443" s="442">
        <v>25749</v>
      </c>
      <c r="B443" s="443">
        <v>0.57</v>
      </c>
      <c r="C443" s="440">
        <f t="shared" si="6"/>
        <v>-0.19105523676270922</v>
      </c>
      <c r="D443" s="444"/>
    </row>
    <row r="444" spans="1:4" ht="12.75">
      <c r="A444" s="442">
        <v>25721</v>
      </c>
      <c r="B444" s="443">
        <v>0.69</v>
      </c>
      <c r="C444" s="440">
        <f t="shared" si="6"/>
        <v>-0.028573372444056114</v>
      </c>
      <c r="D444" s="444"/>
    </row>
    <row r="445" spans="1:4" ht="12.75">
      <c r="A445" s="442">
        <v>25688</v>
      </c>
      <c r="B445" s="443">
        <v>0.71</v>
      </c>
      <c r="C445" s="440">
        <f t="shared" si="6"/>
        <v>0.014184634991956381</v>
      </c>
      <c r="D445" s="444"/>
    </row>
    <row r="446" spans="1:4" ht="12.75">
      <c r="A446" s="442">
        <v>25658</v>
      </c>
      <c r="B446" s="443">
        <v>0.7</v>
      </c>
      <c r="C446" s="440">
        <f t="shared" si="6"/>
        <v>-0.10821358464023284</v>
      </c>
      <c r="D446" s="444"/>
    </row>
    <row r="447" spans="1:4" ht="12.75">
      <c r="A447" s="442">
        <v>25627</v>
      </c>
      <c r="B447" s="443">
        <v>0.78</v>
      </c>
      <c r="C447" s="440">
        <f t="shared" si="6"/>
        <v>0.09402894964827639</v>
      </c>
      <c r="D447" s="444"/>
    </row>
    <row r="448" spans="1:4" ht="12.75">
      <c r="A448" s="442">
        <v>25599</v>
      </c>
      <c r="B448" s="443">
        <v>0.71</v>
      </c>
      <c r="C448" s="440">
        <f t="shared" si="6"/>
        <v>0</v>
      </c>
      <c r="D448" s="444"/>
    </row>
    <row r="449" spans="1:4" ht="12.75">
      <c r="A449" s="442">
        <v>25569</v>
      </c>
      <c r="B449" s="443">
        <v>0.71</v>
      </c>
      <c r="C449" s="440">
        <f t="shared" si="6"/>
        <v>-0.05480823649499503</v>
      </c>
      <c r="D449" s="444"/>
    </row>
    <row r="450" spans="1:4" ht="12.75">
      <c r="A450" s="442">
        <v>25539</v>
      </c>
      <c r="B450" s="443">
        <v>0.75</v>
      </c>
      <c r="C450" s="440">
        <f t="shared" si="6"/>
        <v>0.06899287148695142</v>
      </c>
      <c r="D450" s="444"/>
    </row>
    <row r="451" spans="1:4" ht="12.75">
      <c r="A451" s="442">
        <v>25507</v>
      </c>
      <c r="B451" s="443">
        <v>0.7</v>
      </c>
      <c r="C451" s="440">
        <f t="shared" si="6"/>
        <v>-0.47889257666298163</v>
      </c>
      <c r="D451" s="444"/>
    </row>
    <row r="452" spans="1:4" ht="12.75">
      <c r="A452" s="442">
        <v>25476</v>
      </c>
      <c r="B452" s="443">
        <v>1.13</v>
      </c>
      <c r="C452" s="440">
        <f t="shared" si="6"/>
        <v>-0.10889408823913752</v>
      </c>
      <c r="D452" s="444"/>
    </row>
    <row r="453" spans="1:4" ht="12.75">
      <c r="A453" s="442">
        <v>25449</v>
      </c>
      <c r="B453" s="443">
        <v>1.26</v>
      </c>
      <c r="C453" s="440">
        <f t="shared" si="6"/>
        <v>-0.0763729787845741</v>
      </c>
      <c r="D453" s="444"/>
    </row>
    <row r="454" spans="1:4" ht="12.75">
      <c r="A454" s="442">
        <v>25415</v>
      </c>
      <c r="B454" s="443">
        <v>1.36</v>
      </c>
      <c r="C454" s="440">
        <f t="shared" si="6"/>
        <v>-0.03610500464211609</v>
      </c>
      <c r="D454" s="444"/>
    </row>
    <row r="455" spans="1:4" ht="12.75">
      <c r="A455" s="442">
        <v>25385</v>
      </c>
      <c r="B455" s="443">
        <v>1.41</v>
      </c>
      <c r="C455" s="440">
        <f t="shared" si="6"/>
        <v>0.14473884564491177</v>
      </c>
      <c r="D455" s="444"/>
    </row>
    <row r="456" spans="1:4" ht="12.75">
      <c r="A456" s="442">
        <v>25354</v>
      </c>
      <c r="B456" s="443">
        <v>1.22</v>
      </c>
      <c r="C456" s="440">
        <f t="shared" si="6"/>
        <v>-0.14473884564491168</v>
      </c>
      <c r="D456" s="444"/>
    </row>
    <row r="457" spans="1:4" ht="12.75">
      <c r="A457" s="442">
        <v>25323</v>
      </c>
      <c r="B457" s="443">
        <v>1.41</v>
      </c>
      <c r="C457" s="440">
        <f t="shared" si="6"/>
        <v>0</v>
      </c>
      <c r="D457" s="444"/>
    </row>
    <row r="458" spans="1:4" ht="12.75">
      <c r="A458" s="442">
        <v>25294</v>
      </c>
      <c r="B458" s="443">
        <v>1.41</v>
      </c>
      <c r="C458" s="440">
        <f t="shared" si="6"/>
        <v>-0.0551864155672909</v>
      </c>
      <c r="D458" s="444"/>
    </row>
    <row r="459" spans="1:4" ht="12.75">
      <c r="A459" s="442">
        <v>25262</v>
      </c>
      <c r="B459" s="443">
        <v>1.49</v>
      </c>
      <c r="C459" s="440">
        <f t="shared" si="6"/>
        <v>-0.02649161544697634</v>
      </c>
      <c r="D459" s="444"/>
    </row>
    <row r="460" spans="1:4" ht="12.75">
      <c r="A460" s="442">
        <v>25234</v>
      </c>
      <c r="B460" s="443">
        <v>1.53</v>
      </c>
      <c r="C460" s="440">
        <f t="shared" si="6"/>
        <v>-0.10536051565782628</v>
      </c>
      <c r="D460" s="444"/>
    </row>
    <row r="461" spans="1:4" ht="12.75">
      <c r="A461" s="442">
        <v>25204</v>
      </c>
      <c r="B461" s="443">
        <v>1.7</v>
      </c>
      <c r="C461" s="440">
        <f t="shared" si="6"/>
        <v>-0.10064352577968741</v>
      </c>
      <c r="D461" s="444"/>
    </row>
    <row r="462" spans="1:4" ht="12.75">
      <c r="A462" s="442">
        <v>25172</v>
      </c>
      <c r="B462" s="443">
        <v>1.88</v>
      </c>
      <c r="C462" s="440">
        <f t="shared" si="6"/>
        <v>0.17384692980298233</v>
      </c>
      <c r="D462" s="444"/>
    </row>
    <row r="463" spans="1:4" ht="12.75">
      <c r="A463" s="442">
        <v>25142</v>
      </c>
      <c r="B463" s="443">
        <v>1.58</v>
      </c>
      <c r="C463" s="440">
        <f t="shared" si="6"/>
        <v>0.019169916107720123</v>
      </c>
      <c r="D463" s="444"/>
    </row>
    <row r="464" spans="1:4" ht="12.75">
      <c r="A464" s="442">
        <v>25112</v>
      </c>
      <c r="B464" s="443">
        <v>1.55</v>
      </c>
      <c r="C464" s="440">
        <f aca="true" t="shared" si="7" ref="C464:C527">LN(B464/B465)</f>
        <v>0.08759805931798598</v>
      </c>
      <c r="D464" s="444"/>
    </row>
    <row r="465" spans="1:4" ht="12.75">
      <c r="A465" s="442">
        <v>25081</v>
      </c>
      <c r="B465" s="443">
        <v>1.42</v>
      </c>
      <c r="C465" s="440">
        <f t="shared" si="7"/>
        <v>-0.04811924834419846</v>
      </c>
      <c r="D465" s="444"/>
    </row>
    <row r="466" spans="1:4" ht="12.75">
      <c r="A466" s="442">
        <v>25050</v>
      </c>
      <c r="B466" s="443">
        <v>1.49</v>
      </c>
      <c r="C466" s="440">
        <f t="shared" si="7"/>
        <v>-0.019934214900817253</v>
      </c>
      <c r="D466" s="444"/>
    </row>
    <row r="467" spans="1:4" ht="12.75">
      <c r="A467" s="442">
        <v>25021</v>
      </c>
      <c r="B467" s="443">
        <v>1.52</v>
      </c>
      <c r="C467" s="440">
        <f t="shared" si="7"/>
        <v>0.026668247082161273</v>
      </c>
      <c r="D467" s="444"/>
    </row>
    <row r="468" spans="1:4" ht="12.75">
      <c r="A468" s="442">
        <v>24989</v>
      </c>
      <c r="B468" s="443">
        <v>1.48</v>
      </c>
      <c r="C468" s="440">
        <f t="shared" si="7"/>
        <v>0.006779686985378769</v>
      </c>
      <c r="D468" s="444"/>
    </row>
    <row r="469" spans="1:4" ht="12.75">
      <c r="A469" s="442">
        <v>24958</v>
      </c>
      <c r="B469" s="443">
        <v>1.47</v>
      </c>
      <c r="C469" s="440">
        <f t="shared" si="7"/>
        <v>0.10008345855698243</v>
      </c>
      <c r="D469" s="444"/>
    </row>
    <row r="470" spans="1:4" ht="12.75">
      <c r="A470" s="442">
        <v>24930</v>
      </c>
      <c r="B470" s="443">
        <v>1.33</v>
      </c>
      <c r="C470" s="440">
        <f t="shared" si="7"/>
        <v>0.046162041763162624</v>
      </c>
      <c r="D470" s="444"/>
    </row>
    <row r="471" spans="1:4" ht="12.75">
      <c r="A471" s="442">
        <v>24897</v>
      </c>
      <c r="B471" s="443">
        <v>1.27</v>
      </c>
      <c r="C471" s="440">
        <f t="shared" si="7"/>
        <v>-0.04616204176316249</v>
      </c>
      <c r="D471" s="444"/>
    </row>
    <row r="472" spans="1:4" ht="12.75">
      <c r="A472" s="442">
        <v>24868</v>
      </c>
      <c r="B472" s="443">
        <v>1.33</v>
      </c>
      <c r="C472" s="440">
        <f t="shared" si="7"/>
        <v>0.05406722127027579</v>
      </c>
      <c r="D472" s="444"/>
    </row>
    <row r="473" spans="1:4" ht="12.75">
      <c r="A473" s="442">
        <v>24839</v>
      </c>
      <c r="B473" s="443">
        <v>1.26</v>
      </c>
      <c r="C473" s="440">
        <f t="shared" si="7"/>
        <v>0.14493402472233424</v>
      </c>
      <c r="D473" s="444"/>
    </row>
    <row r="474" spans="1:4" ht="12.75">
      <c r="A474" s="442">
        <v>24806</v>
      </c>
      <c r="B474" s="443">
        <v>1.09</v>
      </c>
      <c r="C474" s="440">
        <f t="shared" si="7"/>
        <v>0.1587483890758878</v>
      </c>
      <c r="D474" s="444"/>
    </row>
    <row r="475" spans="1:4" ht="12.75">
      <c r="A475" s="442">
        <v>24776</v>
      </c>
      <c r="B475" s="443">
        <v>0.93</v>
      </c>
      <c r="C475" s="440">
        <f t="shared" si="7"/>
        <v>0.07825219689974834</v>
      </c>
      <c r="D475" s="444"/>
    </row>
    <row r="476" spans="1:4" ht="12.75">
      <c r="A476" s="442">
        <v>24745</v>
      </c>
      <c r="B476" s="443">
        <v>0.86</v>
      </c>
      <c r="C476" s="440">
        <f t="shared" si="7"/>
        <v>0</v>
      </c>
      <c r="D476" s="444"/>
    </row>
    <row r="477" spans="1:4" ht="12.75">
      <c r="A477" s="442">
        <v>24715</v>
      </c>
      <c r="B477" s="443">
        <v>0.86</v>
      </c>
      <c r="C477" s="440">
        <f t="shared" si="7"/>
        <v>-0.056512210263342334</v>
      </c>
      <c r="D477" s="444"/>
    </row>
    <row r="478" spans="1:4" ht="12.75">
      <c r="A478" s="442">
        <v>24685</v>
      </c>
      <c r="B478" s="443">
        <v>0.91</v>
      </c>
      <c r="C478" s="440">
        <f t="shared" si="7"/>
        <v>0.11641035184441118</v>
      </c>
      <c r="D478" s="444"/>
    </row>
    <row r="479" spans="1:4" ht="12.75">
      <c r="A479" s="442">
        <v>24653</v>
      </c>
      <c r="B479" s="443">
        <v>0.81</v>
      </c>
      <c r="C479" s="440">
        <f t="shared" si="7"/>
        <v>-0.11641035184441122</v>
      </c>
      <c r="D479" s="444"/>
    </row>
    <row r="480" spans="1:4" ht="12.75">
      <c r="A480" s="442">
        <v>24623</v>
      </c>
      <c r="B480" s="443">
        <v>0.91</v>
      </c>
      <c r="C480" s="440">
        <f t="shared" si="7"/>
        <v>-0.06385147198653267</v>
      </c>
      <c r="D480" s="444"/>
    </row>
    <row r="481" spans="1:4" ht="12.75">
      <c r="A481" s="442">
        <v>24594</v>
      </c>
      <c r="B481" s="443">
        <v>0.97</v>
      </c>
      <c r="C481" s="440">
        <f t="shared" si="7"/>
        <v>0.0749013081731177</v>
      </c>
      <c r="D481" s="444"/>
    </row>
    <row r="482" spans="1:4" ht="12.75">
      <c r="A482" s="442">
        <v>24562</v>
      </c>
      <c r="B482" s="443">
        <v>0.9</v>
      </c>
      <c r="C482" s="440">
        <f t="shared" si="7"/>
        <v>0.11778303565638346</v>
      </c>
      <c r="D482" s="444"/>
    </row>
    <row r="483" spans="1:4" ht="12.75">
      <c r="A483" s="442">
        <v>24531</v>
      </c>
      <c r="B483" s="443">
        <v>0.8</v>
      </c>
      <c r="C483" s="440">
        <f t="shared" si="7"/>
        <v>0.11934675763256623</v>
      </c>
      <c r="D483" s="444"/>
    </row>
    <row r="484" spans="1:4" ht="12.75">
      <c r="A484" s="442">
        <v>24503</v>
      </c>
      <c r="B484" s="443">
        <v>0.71</v>
      </c>
      <c r="C484" s="440">
        <f t="shared" si="7"/>
        <v>0.11954515064978273</v>
      </c>
      <c r="D484" s="444"/>
    </row>
    <row r="485" spans="1:4" ht="12.75">
      <c r="A485" s="442">
        <v>24475</v>
      </c>
      <c r="B485" s="443">
        <v>0.63</v>
      </c>
      <c r="C485" s="440">
        <f t="shared" si="7"/>
        <v>0.11778303565638346</v>
      </c>
      <c r="D485" s="444"/>
    </row>
    <row r="486" spans="1:4" ht="12.75">
      <c r="A486" s="442">
        <v>24441</v>
      </c>
      <c r="B486" s="443">
        <v>0.56</v>
      </c>
      <c r="C486" s="440">
        <f t="shared" si="7"/>
        <v>-0.06899287148695131</v>
      </c>
      <c r="D486" s="444"/>
    </row>
    <row r="487" spans="1:4" ht="12.75">
      <c r="A487" s="442">
        <v>24412</v>
      </c>
      <c r="B487" s="443">
        <v>0.6</v>
      </c>
      <c r="C487" s="440">
        <f t="shared" si="7"/>
        <v>0.22314355131420976</v>
      </c>
      <c r="D487" s="444"/>
    </row>
    <row r="488" spans="1:4" ht="12.75">
      <c r="A488" s="442">
        <v>24380</v>
      </c>
      <c r="B488" s="443">
        <v>0.48</v>
      </c>
      <c r="C488" s="440">
        <f t="shared" si="7"/>
        <v>0.021053409197832263</v>
      </c>
      <c r="D488" s="444"/>
    </row>
    <row r="489" spans="1:4" ht="12.75">
      <c r="A489" s="442">
        <v>24350</v>
      </c>
      <c r="B489" s="443">
        <v>0.47</v>
      </c>
      <c r="C489" s="440">
        <f t="shared" si="7"/>
        <v>0.1124779834266903</v>
      </c>
      <c r="D489" s="444"/>
    </row>
    <row r="490" spans="1:4" ht="12.75">
      <c r="A490" s="442">
        <v>24321</v>
      </c>
      <c r="B490" s="443">
        <v>0.42</v>
      </c>
      <c r="C490" s="440">
        <f t="shared" si="7"/>
        <v>0.024097551579060524</v>
      </c>
      <c r="D490" s="444"/>
    </row>
    <row r="491" spans="1:4" ht="12.75">
      <c r="A491" s="442">
        <v>24288</v>
      </c>
      <c r="B491" s="443">
        <v>0.41</v>
      </c>
      <c r="C491" s="440">
        <f t="shared" si="7"/>
        <v>-0.13657553500575073</v>
      </c>
      <c r="D491" s="444"/>
    </row>
    <row r="492" spans="1:4" ht="12.75">
      <c r="A492" s="442">
        <v>24258</v>
      </c>
      <c r="B492" s="443">
        <v>0.47</v>
      </c>
      <c r="C492" s="440">
        <f t="shared" si="7"/>
        <v>0.021506205220963463</v>
      </c>
      <c r="D492" s="444"/>
    </row>
    <row r="493" spans="1:4" ht="12.75">
      <c r="A493" s="442">
        <v>24227</v>
      </c>
      <c r="B493" s="443">
        <v>0.46</v>
      </c>
      <c r="C493" s="440">
        <f t="shared" si="7"/>
        <v>-0.10318423623523075</v>
      </c>
      <c r="D493" s="444"/>
    </row>
    <row r="494" spans="1:4" ht="12.75">
      <c r="A494" s="442">
        <v>24197</v>
      </c>
      <c r="B494" s="443">
        <v>0.51</v>
      </c>
      <c r="C494" s="440">
        <f t="shared" si="7"/>
        <v>-0.14571181118139365</v>
      </c>
      <c r="D494" s="444"/>
    </row>
    <row r="495" spans="1:4" ht="12.75">
      <c r="A495" s="442">
        <v>24167</v>
      </c>
      <c r="B495" s="443">
        <v>0.59</v>
      </c>
      <c r="C495" s="440">
        <f t="shared" si="7"/>
        <v>0</v>
      </c>
      <c r="D495" s="444"/>
    </row>
    <row r="496" spans="1:4" ht="12.75">
      <c r="A496" s="442">
        <v>24139</v>
      </c>
      <c r="B496" s="443">
        <v>0.59</v>
      </c>
      <c r="C496" s="440">
        <f t="shared" si="7"/>
        <v>0.05218575317057004</v>
      </c>
      <c r="D496" s="444"/>
    </row>
    <row r="497" spans="1:4" ht="12.75">
      <c r="A497" s="442">
        <v>24108</v>
      </c>
      <c r="B497" s="443">
        <v>0.56</v>
      </c>
      <c r="C497" s="440">
        <f t="shared" si="7"/>
        <v>0.05505977718302739</v>
      </c>
      <c r="D497" s="444"/>
    </row>
    <row r="498" spans="1:4" ht="12.75">
      <c r="A498" s="442">
        <v>24076</v>
      </c>
      <c r="B498" s="443">
        <v>0.53</v>
      </c>
      <c r="C498" s="440">
        <f t="shared" si="7"/>
        <v>0.07847161544149531</v>
      </c>
      <c r="D498" s="444"/>
    </row>
    <row r="499" spans="1:4" ht="12.75">
      <c r="A499" s="442">
        <v>24048</v>
      </c>
      <c r="B499" s="443">
        <v>0.49</v>
      </c>
      <c r="C499" s="440">
        <f t="shared" si="7"/>
        <v>0.08515780834030677</v>
      </c>
      <c r="D499" s="444"/>
    </row>
    <row r="500" spans="1:4" ht="12.75">
      <c r="A500" s="442">
        <v>24015</v>
      </c>
      <c r="B500" s="443">
        <v>0.45</v>
      </c>
      <c r="C500" s="440">
        <f t="shared" si="7"/>
        <v>0.1690763300439339</v>
      </c>
      <c r="D500" s="444"/>
    </row>
    <row r="501" spans="1:4" ht="12.75">
      <c r="A501" s="442">
        <v>23986</v>
      </c>
      <c r="B501" s="443">
        <v>0.38</v>
      </c>
      <c r="C501" s="440">
        <f t="shared" si="7"/>
        <v>0.1112256351102244</v>
      </c>
      <c r="D501" s="444"/>
    </row>
    <row r="502" spans="1:4" ht="12.75">
      <c r="A502" s="442">
        <v>23954</v>
      </c>
      <c r="B502" s="443">
        <v>0.34</v>
      </c>
      <c r="C502" s="440">
        <f t="shared" si="7"/>
        <v>0.12516314295400618</v>
      </c>
      <c r="D502" s="444"/>
    </row>
    <row r="503" spans="1:4" ht="12.75">
      <c r="A503" s="442">
        <v>23923</v>
      </c>
      <c r="B503" s="443">
        <v>0.3</v>
      </c>
      <c r="C503" s="440">
        <f t="shared" si="7"/>
        <v>0</v>
      </c>
      <c r="D503" s="444"/>
    </row>
    <row r="504" spans="1:4" ht="12.75">
      <c r="A504" s="442">
        <v>23894</v>
      </c>
      <c r="B504" s="443">
        <v>0.3</v>
      </c>
      <c r="C504" s="440">
        <f t="shared" si="7"/>
        <v>-0.06453852113757118</v>
      </c>
      <c r="D504" s="444"/>
    </row>
    <row r="505" spans="1:4" ht="12.75">
      <c r="A505" s="442">
        <v>23862</v>
      </c>
      <c r="B505" s="443">
        <v>0.32</v>
      </c>
      <c r="C505" s="440">
        <f t="shared" si="7"/>
        <v>-0.03077165866675366</v>
      </c>
      <c r="D505" s="444"/>
    </row>
    <row r="506" spans="1:4" ht="12.75">
      <c r="A506" s="442">
        <v>23832</v>
      </c>
      <c r="B506" s="443">
        <v>0.33</v>
      </c>
      <c r="C506" s="440">
        <f t="shared" si="7"/>
        <v>0.030771658666753687</v>
      </c>
      <c r="D506" s="444"/>
    </row>
    <row r="507" spans="1:4" ht="12.75">
      <c r="A507" s="442">
        <v>23803</v>
      </c>
      <c r="B507" s="443">
        <v>0.32</v>
      </c>
      <c r="C507" s="440">
        <f t="shared" si="7"/>
        <v>0.06453852113757116</v>
      </c>
      <c r="D507" s="444"/>
    </row>
    <row r="508" spans="1:4" ht="12.75">
      <c r="A508" s="442">
        <v>23775</v>
      </c>
      <c r="B508" s="443">
        <v>0.3</v>
      </c>
      <c r="C508" s="440">
        <f t="shared" si="7"/>
        <v>-0.0953101798043249</v>
      </c>
      <c r="D508" s="444"/>
    </row>
    <row r="509" spans="1:4" ht="12.75">
      <c r="A509" s="442">
        <v>23743</v>
      </c>
      <c r="B509" s="443">
        <v>0.33</v>
      </c>
      <c r="C509" s="440">
        <f t="shared" si="7"/>
        <v>-0.02985296314968116</v>
      </c>
      <c r="D509" s="444"/>
    </row>
    <row r="510" spans="1:4" ht="12.75">
      <c r="A510" s="442">
        <v>23712</v>
      </c>
      <c r="B510" s="443">
        <v>0.34</v>
      </c>
      <c r="C510" s="440">
        <f t="shared" si="7"/>
        <v>0.06062462181643484</v>
      </c>
      <c r="D510" s="444"/>
    </row>
    <row r="511" spans="1:4" ht="12.75">
      <c r="A511" s="442">
        <v>23681</v>
      </c>
      <c r="B511" s="443">
        <v>0.32</v>
      </c>
      <c r="C511" s="440">
        <f t="shared" si="7"/>
        <v>0.06453852113757116</v>
      </c>
      <c r="D511" s="444"/>
    </row>
    <row r="512" spans="1:4" ht="12.75">
      <c r="A512" s="442">
        <v>23650</v>
      </c>
      <c r="B512" s="443">
        <v>0.3</v>
      </c>
      <c r="C512" s="440">
        <f t="shared" si="7"/>
        <v>0.033901551675681416</v>
      </c>
      <c r="D512" s="444"/>
    </row>
    <row r="513" spans="1:4" ht="12.75">
      <c r="A513" s="442">
        <v>23622</v>
      </c>
      <c r="B513" s="443">
        <v>0.29</v>
      </c>
      <c r="C513" s="440">
        <f t="shared" si="7"/>
        <v>0.03509131981126998</v>
      </c>
      <c r="D513" s="444"/>
    </row>
    <row r="514" spans="1:4" ht="12.75">
      <c r="A514" s="442">
        <v>23589</v>
      </c>
      <c r="B514" s="443">
        <v>0.28</v>
      </c>
      <c r="C514" s="440">
        <f t="shared" si="7"/>
        <v>0.11332868530700327</v>
      </c>
      <c r="D514" s="444"/>
    </row>
    <row r="515" spans="1:4" ht="12.75">
      <c r="A515" s="442">
        <v>23558</v>
      </c>
      <c r="B515" s="443">
        <v>0.25</v>
      </c>
      <c r="C515" s="440">
        <f t="shared" si="7"/>
        <v>0</v>
      </c>
      <c r="D515" s="444"/>
    </row>
    <row r="516" spans="1:4" ht="12.75">
      <c r="A516" s="442">
        <v>23530</v>
      </c>
      <c r="B516" s="443">
        <v>0.25</v>
      </c>
      <c r="C516" s="440">
        <f t="shared" si="7"/>
        <v>-0.039220713153281385</v>
      </c>
      <c r="D516" s="444"/>
    </row>
    <row r="517" spans="1:4" ht="12.75">
      <c r="A517" s="442">
        <v>23497</v>
      </c>
      <c r="B517" s="443">
        <v>0.26</v>
      </c>
      <c r="C517" s="440">
        <f t="shared" si="7"/>
        <v>0.16705408466316624</v>
      </c>
      <c r="D517" s="444"/>
    </row>
    <row r="518" spans="1:4" ht="12.75">
      <c r="A518" s="442">
        <v>23467</v>
      </c>
      <c r="B518" s="443">
        <v>0.22</v>
      </c>
      <c r="C518" s="440">
        <f t="shared" si="7"/>
        <v>0.2578291093020997</v>
      </c>
      <c r="D518" s="444"/>
    </row>
    <row r="519" spans="1:4" ht="12.75">
      <c r="A519" s="442">
        <v>23436</v>
      </c>
      <c r="B519" s="443">
        <v>0.17</v>
      </c>
      <c r="C519" s="440">
        <f t="shared" si="7"/>
        <v>-0.05715841383994852</v>
      </c>
      <c r="D519" s="444"/>
    </row>
    <row r="520" spans="1:4" ht="12.75">
      <c r="A520" s="442">
        <v>23407</v>
      </c>
      <c r="B520" s="443">
        <v>0.18</v>
      </c>
      <c r="C520" s="440">
        <f t="shared" si="7"/>
        <v>-0.20067069546215124</v>
      </c>
      <c r="D520" s="444"/>
    </row>
    <row r="521" spans="1:4" ht="12.75">
      <c r="A521" s="442">
        <v>23377</v>
      </c>
      <c r="B521" s="443">
        <v>0.22</v>
      </c>
      <c r="C521" s="440">
        <f t="shared" si="7"/>
        <v>0</v>
      </c>
      <c r="D521" s="444"/>
    </row>
    <row r="522" spans="1:4" ht="12.75">
      <c r="A522" s="442">
        <v>23345</v>
      </c>
      <c r="B522" s="443">
        <v>0.22</v>
      </c>
      <c r="C522" s="440">
        <f t="shared" si="7"/>
        <v>-0.08701137698962969</v>
      </c>
      <c r="D522" s="444"/>
    </row>
    <row r="523" spans="1:4" ht="12.75">
      <c r="A523" s="442">
        <v>23315</v>
      </c>
      <c r="B523" s="443">
        <v>0.24</v>
      </c>
      <c r="C523" s="440">
        <f t="shared" si="7"/>
        <v>0.0870113769896297</v>
      </c>
      <c r="D523" s="444"/>
    </row>
    <row r="524" spans="1:4" ht="12.75">
      <c r="A524" s="442">
        <v>23285</v>
      </c>
      <c r="B524" s="443">
        <v>0.22</v>
      </c>
      <c r="C524" s="440">
        <f t="shared" si="7"/>
        <v>0.09531017980432474</v>
      </c>
      <c r="D524" s="444"/>
    </row>
    <row r="525" spans="1:4" ht="12.75">
      <c r="A525" s="442">
        <v>23254</v>
      </c>
      <c r="B525" s="443">
        <v>0.2</v>
      </c>
      <c r="C525" s="440">
        <f t="shared" si="7"/>
        <v>0.10536051565782635</v>
      </c>
      <c r="D525" s="444"/>
    </row>
    <row r="526" spans="1:4" ht="12.75">
      <c r="A526" s="442">
        <v>23223</v>
      </c>
      <c r="B526" s="443">
        <v>0.18</v>
      </c>
      <c r="C526" s="440">
        <f t="shared" si="7"/>
        <v>0.11778303565638346</v>
      </c>
      <c r="D526" s="444"/>
    </row>
    <row r="527" spans="1:4" ht="12.75">
      <c r="A527" s="442">
        <v>23194</v>
      </c>
      <c r="B527" s="443">
        <v>0.16</v>
      </c>
      <c r="C527" s="440">
        <f t="shared" si="7"/>
        <v>-0.22314355131420985</v>
      </c>
      <c r="D527" s="444"/>
    </row>
    <row r="528" spans="1:4" ht="12.75">
      <c r="A528" s="442">
        <v>23162</v>
      </c>
      <c r="B528" s="443">
        <v>0.2</v>
      </c>
      <c r="C528" s="440">
        <f aca="true" t="shared" si="8" ref="C528:C591">LN(B528/B529)</f>
        <v>0.05129329438755048</v>
      </c>
      <c r="D528" s="444"/>
    </row>
    <row r="529" spans="1:4" ht="12.75">
      <c r="A529" s="442">
        <v>23131</v>
      </c>
      <c r="B529" s="443">
        <v>0.19</v>
      </c>
      <c r="C529" s="440">
        <f t="shared" si="8"/>
        <v>0</v>
      </c>
      <c r="D529" s="444"/>
    </row>
    <row r="530" spans="1:4" ht="12.75">
      <c r="A530" s="442">
        <v>23103</v>
      </c>
      <c r="B530" s="443">
        <v>0.19</v>
      </c>
      <c r="C530" s="440">
        <f t="shared" si="8"/>
        <v>0.1112256351102244</v>
      </c>
      <c r="D530" s="444"/>
    </row>
    <row r="531" spans="1:4" ht="12.75">
      <c r="A531" s="442">
        <v>23070</v>
      </c>
      <c r="B531" s="443">
        <v>0.17</v>
      </c>
      <c r="C531" s="440">
        <f t="shared" si="8"/>
        <v>0.06062462181643484</v>
      </c>
      <c r="D531" s="444"/>
    </row>
    <row r="532" spans="1:4" ht="12.75">
      <c r="A532" s="442">
        <v>23042</v>
      </c>
      <c r="B532" s="443">
        <v>0.16</v>
      </c>
      <c r="C532" s="440">
        <f t="shared" si="8"/>
        <v>-0.060624621816434854</v>
      </c>
      <c r="D532" s="444"/>
    </row>
    <row r="533" spans="1:4" ht="12.75">
      <c r="A533" s="442">
        <v>23013</v>
      </c>
      <c r="B533" s="443">
        <v>0.17</v>
      </c>
      <c r="C533" s="440">
        <f t="shared" si="8"/>
        <v>0.06062462181643484</v>
      </c>
      <c r="D533" s="444"/>
    </row>
    <row r="534" spans="1:4" ht="12.75">
      <c r="A534" s="442">
        <v>22980</v>
      </c>
      <c r="B534" s="443">
        <v>0.16</v>
      </c>
      <c r="C534" s="440">
        <f t="shared" si="8"/>
        <v>0.20763936477824455</v>
      </c>
      <c r="D534" s="444"/>
    </row>
    <row r="535" spans="1:4" ht="12.75">
      <c r="A535" s="442">
        <v>22950</v>
      </c>
      <c r="B535" s="443">
        <v>0.13</v>
      </c>
      <c r="C535" s="440">
        <f t="shared" si="8"/>
        <v>0.16705408466316624</v>
      </c>
      <c r="D535" s="444"/>
    </row>
    <row r="536" spans="1:4" ht="12.75">
      <c r="A536" s="442">
        <v>22921</v>
      </c>
      <c r="B536" s="443">
        <v>0.11</v>
      </c>
      <c r="C536" s="440">
        <f t="shared" si="8"/>
        <v>0.20067069546215124</v>
      </c>
      <c r="D536" s="444"/>
    </row>
    <row r="537" spans="1:4" ht="12.75">
      <c r="A537" s="442">
        <v>22889</v>
      </c>
      <c r="B537" s="443">
        <v>0.09</v>
      </c>
      <c r="C537" s="440">
        <f t="shared" si="8"/>
        <v>0.11778303565638346</v>
      </c>
      <c r="D537" s="444"/>
    </row>
    <row r="538" spans="1:4" ht="12.75">
      <c r="A538" s="442">
        <v>22858</v>
      </c>
      <c r="B538" s="443">
        <v>0.08</v>
      </c>
      <c r="C538" s="440">
        <f t="shared" si="8"/>
        <v>-0.22314355131420985</v>
      </c>
      <c r="D538" s="444"/>
    </row>
    <row r="539" spans="1:4" ht="12.75">
      <c r="A539" s="442">
        <v>22827</v>
      </c>
      <c r="B539" s="443">
        <v>0.1</v>
      </c>
      <c r="C539" s="440">
        <f t="shared" si="8"/>
        <v>0</v>
      </c>
      <c r="D539" s="444"/>
    </row>
    <row r="540" spans="1:4" ht="12.75">
      <c r="A540" s="442">
        <v>22797</v>
      </c>
      <c r="B540" s="443">
        <v>0.1</v>
      </c>
      <c r="C540" s="440">
        <f t="shared" si="8"/>
        <v>0</v>
      </c>
      <c r="D540" s="444"/>
    </row>
    <row r="541" spans="1:4" ht="12.75">
      <c r="A541" s="442">
        <v>22767</v>
      </c>
      <c r="B541" s="443">
        <v>0.1</v>
      </c>
      <c r="C541" s="440">
        <f t="shared" si="8"/>
        <v>-0.09531017980432477</v>
      </c>
      <c r="D541" s="444"/>
    </row>
    <row r="542" spans="1:4" ht="12.75">
      <c r="A542" s="442">
        <v>22736</v>
      </c>
      <c r="B542" s="443">
        <v>0.11</v>
      </c>
      <c r="C542" s="440">
        <f t="shared" si="8"/>
        <v>0.09531017980432474</v>
      </c>
      <c r="D542" s="444"/>
    </row>
    <row r="543" spans="1:4" ht="12.75">
      <c r="A543" s="442">
        <v>22705</v>
      </c>
      <c r="B543" s="443">
        <v>0.1</v>
      </c>
      <c r="C543" s="440">
        <f t="shared" si="8"/>
        <v>-0.09531017980432477</v>
      </c>
      <c r="D543" s="444"/>
    </row>
    <row r="544" spans="1:4" ht="12.75">
      <c r="A544" s="442">
        <v>22677</v>
      </c>
      <c r="B544" s="443">
        <v>0.11</v>
      </c>
      <c r="C544" s="440">
        <f t="shared" si="8"/>
        <v>-0.08701137698962969</v>
      </c>
      <c r="D544" s="444"/>
    </row>
    <row r="545" spans="1:4" ht="12.75">
      <c r="A545" s="442">
        <v>22648</v>
      </c>
      <c r="B545" s="443">
        <v>0.12</v>
      </c>
      <c r="C545" s="440">
        <f t="shared" si="8"/>
        <v>0</v>
      </c>
      <c r="D545" s="444"/>
    </row>
    <row r="546" spans="1:4" ht="12.75">
      <c r="A546" s="442">
        <v>22615</v>
      </c>
      <c r="B546" s="443">
        <v>0.12</v>
      </c>
      <c r="C546" s="440">
        <f t="shared" si="8"/>
        <v>0.1823215567939546</v>
      </c>
      <c r="D546" s="444"/>
    </row>
    <row r="547" spans="1:4" ht="12.75">
      <c r="A547" s="442">
        <v>22585</v>
      </c>
      <c r="B547" s="443">
        <v>0.1</v>
      </c>
      <c r="C547" s="440">
        <f t="shared" si="8"/>
        <v>0</v>
      </c>
      <c r="D547" s="444"/>
    </row>
    <row r="548" spans="1:4" ht="12.75">
      <c r="A548" s="442">
        <v>22554</v>
      </c>
      <c r="B548" s="443">
        <v>0.1</v>
      </c>
      <c r="C548" s="440">
        <f t="shared" si="8"/>
        <v>0</v>
      </c>
      <c r="D548" s="444"/>
    </row>
    <row r="549" spans="1:4" ht="12.75">
      <c r="A549" s="442">
        <v>22524</v>
      </c>
      <c r="B549" s="443">
        <v>0.1</v>
      </c>
      <c r="C549" s="440">
        <f t="shared" si="8"/>
        <v>0</v>
      </c>
      <c r="D549" s="444"/>
    </row>
    <row r="550" spans="1:4" ht="12.75">
      <c r="A550" s="442">
        <v>22494</v>
      </c>
      <c r="B550" s="443">
        <v>0.1</v>
      </c>
      <c r="C550" s="440">
        <f t="shared" si="8"/>
        <v>0</v>
      </c>
      <c r="D550" s="444"/>
    </row>
    <row r="551" spans="1:4" ht="12.75">
      <c r="A551" s="442">
        <v>22462</v>
      </c>
      <c r="B551" s="443">
        <v>0.1</v>
      </c>
      <c r="C551" s="440">
        <f t="shared" si="8"/>
        <v>0.10536051565782635</v>
      </c>
      <c r="D551" s="444"/>
    </row>
    <row r="552" spans="1:4" ht="12.75">
      <c r="A552" s="442">
        <v>22432</v>
      </c>
      <c r="B552" s="443">
        <v>0.09</v>
      </c>
      <c r="C552" s="440">
        <f t="shared" si="8"/>
        <v>-0.20067069546215124</v>
      </c>
      <c r="D552" s="444"/>
    </row>
    <row r="553" spans="1:4" ht="12.75">
      <c r="A553" s="442">
        <v>22403</v>
      </c>
      <c r="B553" s="443">
        <v>0.11</v>
      </c>
      <c r="C553" s="440">
        <f t="shared" si="8"/>
        <v>0</v>
      </c>
      <c r="D553" s="444"/>
    </row>
    <row r="554" spans="1:4" ht="12.75">
      <c r="A554" s="442">
        <v>22371</v>
      </c>
      <c r="B554" s="443">
        <v>0.11</v>
      </c>
      <c r="C554" s="440">
        <f t="shared" si="8"/>
        <v>0.09531017980432474</v>
      </c>
      <c r="D554" s="444"/>
    </row>
    <row r="555" spans="1:4" ht="12.75">
      <c r="A555" s="442">
        <v>22340</v>
      </c>
      <c r="B555" s="443">
        <v>0.1</v>
      </c>
      <c r="C555" s="440">
        <f t="shared" si="8"/>
        <v>-0.09531017980432477</v>
      </c>
      <c r="D555" s="444"/>
    </row>
    <row r="556" spans="1:4" ht="12.75">
      <c r="A556" s="442">
        <v>22312</v>
      </c>
      <c r="B556" s="443">
        <v>0.11</v>
      </c>
      <c r="C556" s="440">
        <f t="shared" si="8"/>
        <v>0.20067069546215124</v>
      </c>
      <c r="D556" s="444"/>
    </row>
    <row r="557" spans="1:4" ht="12.75">
      <c r="A557" s="442">
        <v>22284</v>
      </c>
      <c r="B557" s="443">
        <v>0.09</v>
      </c>
      <c r="C557" s="440">
        <f t="shared" si="8"/>
        <v>0</v>
      </c>
      <c r="D557" s="444"/>
    </row>
    <row r="558" spans="1:4" ht="12.75">
      <c r="A558" s="442">
        <v>22250</v>
      </c>
      <c r="B558" s="443">
        <v>0.09</v>
      </c>
      <c r="C558" s="440">
        <f t="shared" si="8"/>
        <v>0</v>
      </c>
      <c r="D558" s="444"/>
    </row>
    <row r="559" spans="1:4" ht="12.75">
      <c r="A559" s="442">
        <v>22221</v>
      </c>
      <c r="B559" s="443">
        <v>0.09</v>
      </c>
      <c r="C559" s="440">
        <f t="shared" si="8"/>
        <v>0</v>
      </c>
      <c r="D559" s="444"/>
    </row>
    <row r="560" spans="1:4" ht="12.75">
      <c r="A560" s="442">
        <v>22189</v>
      </c>
      <c r="B560" s="443">
        <v>0.09</v>
      </c>
      <c r="C560" s="440">
        <f t="shared" si="8"/>
        <v>0</v>
      </c>
      <c r="D560" s="444"/>
    </row>
    <row r="561" spans="1:4" ht="12.75">
      <c r="A561" s="442">
        <v>22159</v>
      </c>
      <c r="B561" s="443">
        <v>0.09</v>
      </c>
      <c r="C561" s="440">
        <f t="shared" si="8"/>
        <v>0.11778303565638346</v>
      </c>
      <c r="D561" s="444"/>
    </row>
    <row r="562" spans="1:4" ht="12.75">
      <c r="A562" s="442">
        <v>22130</v>
      </c>
      <c r="B562" s="443">
        <v>0.08</v>
      </c>
      <c r="C562" s="440">
        <f t="shared" si="8"/>
        <v>0</v>
      </c>
      <c r="D562" s="444"/>
    </row>
    <row r="563" spans="1:4" ht="12.75">
      <c r="A563" s="442">
        <v>22097</v>
      </c>
      <c r="B563" s="443">
        <v>0.08</v>
      </c>
      <c r="C563" s="440">
        <f t="shared" si="8"/>
        <v>0</v>
      </c>
      <c r="D563" s="444"/>
    </row>
    <row r="564" spans="1:4" ht="12.75">
      <c r="A564" s="442">
        <v>22067</v>
      </c>
      <c r="B564" s="443">
        <v>0.08</v>
      </c>
      <c r="C564" s="440">
        <f t="shared" si="8"/>
        <v>0</v>
      </c>
      <c r="D564" s="444"/>
    </row>
    <row r="565" spans="1:4" ht="12.75">
      <c r="A565" s="442">
        <v>22036</v>
      </c>
      <c r="B565" s="443">
        <v>0.08</v>
      </c>
      <c r="C565" s="440">
        <f t="shared" si="8"/>
        <v>-0.11778303565638339</v>
      </c>
      <c r="D565" s="444"/>
    </row>
    <row r="566" spans="1:4" ht="12.75">
      <c r="A566" s="442">
        <v>22006</v>
      </c>
      <c r="B566" s="443">
        <v>0.09</v>
      </c>
      <c r="C566" s="440">
        <f t="shared" si="8"/>
        <v>0.11778303565638346</v>
      </c>
      <c r="D566" s="444"/>
    </row>
    <row r="567" spans="1:4" ht="12.75">
      <c r="A567" s="442">
        <v>21976</v>
      </c>
      <c r="B567" s="443">
        <v>0.08</v>
      </c>
      <c r="C567" s="440">
        <f t="shared" si="8"/>
        <v>0</v>
      </c>
      <c r="D567" s="444"/>
    </row>
    <row r="568" spans="1:4" ht="12.75">
      <c r="A568" s="442">
        <v>21948</v>
      </c>
      <c r="B568" s="443">
        <v>0.08</v>
      </c>
      <c r="C568" s="440">
        <f t="shared" si="8"/>
        <v>0</v>
      </c>
      <c r="D568" s="444"/>
    </row>
    <row r="569" spans="1:4" ht="12.75">
      <c r="A569" s="442">
        <v>21916</v>
      </c>
      <c r="B569" s="443">
        <v>0.08</v>
      </c>
      <c r="C569" s="440">
        <f t="shared" si="8"/>
        <v>0</v>
      </c>
      <c r="D569" s="444"/>
    </row>
    <row r="570" spans="1:4" ht="12.75">
      <c r="A570" s="442">
        <v>21885</v>
      </c>
      <c r="B570" s="443">
        <v>0.08</v>
      </c>
      <c r="C570" s="440">
        <f t="shared" si="8"/>
        <v>0</v>
      </c>
      <c r="D570" s="444"/>
    </row>
    <row r="571" spans="1:4" ht="12.75">
      <c r="A571" s="442">
        <v>21854</v>
      </c>
      <c r="B571" s="443">
        <v>0.08</v>
      </c>
      <c r="C571" s="440">
        <f t="shared" si="8"/>
        <v>0</v>
      </c>
      <c r="D571" s="444"/>
    </row>
    <row r="572" spans="1:4" ht="12.75">
      <c r="A572" s="442">
        <v>21823</v>
      </c>
      <c r="B572" s="443">
        <v>0.08</v>
      </c>
      <c r="C572" s="440">
        <f t="shared" si="8"/>
        <v>0</v>
      </c>
      <c r="D572" s="444"/>
    </row>
    <row r="573" spans="1:4" ht="12.75">
      <c r="A573" s="442">
        <v>21795</v>
      </c>
      <c r="B573" s="443">
        <v>0.08</v>
      </c>
      <c r="C573" s="440">
        <f t="shared" si="8"/>
        <v>-0.11778303565638339</v>
      </c>
      <c r="D573" s="444"/>
    </row>
    <row r="574" spans="1:4" ht="12.75">
      <c r="A574" s="442">
        <v>21762</v>
      </c>
      <c r="B574" s="443">
        <v>0.09</v>
      </c>
      <c r="C574" s="440">
        <f t="shared" si="8"/>
        <v>0.11778303565638346</v>
      </c>
      <c r="D574" s="444"/>
    </row>
    <row r="575" spans="1:4" ht="12.75">
      <c r="A575" s="442">
        <v>21731</v>
      </c>
      <c r="B575" s="443">
        <v>0.08</v>
      </c>
      <c r="C575" s="440">
        <f t="shared" si="8"/>
        <v>0.13353139262452257</v>
      </c>
      <c r="D575" s="444"/>
    </row>
    <row r="576" spans="1:4" ht="12.75">
      <c r="A576" s="442">
        <v>21703</v>
      </c>
      <c r="B576" s="443">
        <v>0.07</v>
      </c>
      <c r="C576" s="440">
        <f t="shared" si="8"/>
        <v>0</v>
      </c>
      <c r="D576" s="444"/>
    </row>
    <row r="577" spans="1:4" ht="12.75">
      <c r="A577" s="442">
        <v>21670</v>
      </c>
      <c r="B577" s="443">
        <v>0.07</v>
      </c>
      <c r="C577" s="440">
        <f t="shared" si="8"/>
        <v>0.15415067982725836</v>
      </c>
      <c r="D577" s="444"/>
    </row>
    <row r="578" spans="1:4" ht="12.75">
      <c r="A578" s="442">
        <v>21640</v>
      </c>
      <c r="B578" s="443">
        <v>0.06</v>
      </c>
      <c r="C578" s="440">
        <f t="shared" si="8"/>
        <v>0</v>
      </c>
      <c r="D578" s="444"/>
    </row>
    <row r="579" spans="1:4" ht="12.75">
      <c r="A579" s="442">
        <v>21609</v>
      </c>
      <c r="B579" s="443">
        <v>0.06</v>
      </c>
      <c r="C579" s="440">
        <f t="shared" si="8"/>
        <v>0</v>
      </c>
      <c r="D579" s="444"/>
    </row>
    <row r="580" spans="1:4" ht="12.75">
      <c r="A580" s="442">
        <v>21581</v>
      </c>
      <c r="B580" s="443">
        <v>0.06</v>
      </c>
      <c r="C580" s="440">
        <f t="shared" si="8"/>
        <v>0</v>
      </c>
      <c r="D580" s="444"/>
    </row>
    <row r="581" spans="1:4" ht="12.75">
      <c r="A581" s="442">
        <v>21551</v>
      </c>
      <c r="B581" s="443">
        <v>0.06</v>
      </c>
      <c r="C581" s="440">
        <f t="shared" si="8"/>
        <v>0.1823215567939546</v>
      </c>
      <c r="D581" s="444"/>
    </row>
    <row r="582" spans="1:4" ht="12.75">
      <c r="A582" s="442">
        <v>21521</v>
      </c>
      <c r="B582" s="443">
        <v>0.05</v>
      </c>
      <c r="C582" s="440">
        <f t="shared" si="8"/>
        <v>0</v>
      </c>
      <c r="D582" s="444"/>
    </row>
    <row r="583" spans="1:4" ht="12.75">
      <c r="A583" s="442">
        <v>21489</v>
      </c>
      <c r="B583" s="443">
        <v>0.05</v>
      </c>
      <c r="C583" s="440">
        <f t="shared" si="8"/>
        <v>0.22314355131420976</v>
      </c>
      <c r="D583" s="444"/>
    </row>
    <row r="584" spans="1:4" ht="12.75">
      <c r="A584" s="442">
        <v>21458</v>
      </c>
      <c r="B584" s="443">
        <v>0.04</v>
      </c>
      <c r="C584" s="440">
        <f t="shared" si="8"/>
        <v>-0.22314355131420985</v>
      </c>
      <c r="D584" s="444"/>
    </row>
    <row r="585" spans="1:4" ht="12.75">
      <c r="A585" s="442">
        <v>21431</v>
      </c>
      <c r="B585" s="443">
        <v>0.05</v>
      </c>
      <c r="C585" s="440">
        <f t="shared" si="8"/>
        <v>-0.1823215567939546</v>
      </c>
      <c r="D585" s="444"/>
    </row>
    <row r="586" spans="1:4" ht="12.75">
      <c r="A586" s="442">
        <v>21397</v>
      </c>
      <c r="B586" s="443">
        <v>0.06</v>
      </c>
      <c r="C586" s="440">
        <f t="shared" si="8"/>
        <v>0.1823215567939546</v>
      </c>
      <c r="D586" s="444"/>
    </row>
    <row r="587" spans="1:4" ht="12.75">
      <c r="A587" s="442">
        <v>21367</v>
      </c>
      <c r="B587" s="443">
        <v>0.05</v>
      </c>
      <c r="C587" s="440">
        <f t="shared" si="8"/>
        <v>0</v>
      </c>
      <c r="D587" s="444"/>
    </row>
    <row r="588" spans="1:4" ht="12.75">
      <c r="A588" s="442">
        <v>21336</v>
      </c>
      <c r="B588" s="443">
        <v>0.05</v>
      </c>
      <c r="C588" s="440">
        <f t="shared" si="8"/>
        <v>-0.1823215567939546</v>
      </c>
      <c r="D588" s="444"/>
    </row>
    <row r="589" spans="1:4" ht="12.75">
      <c r="A589" s="442">
        <v>21305</v>
      </c>
      <c r="B589" s="443">
        <v>0.06</v>
      </c>
      <c r="C589" s="440">
        <f t="shared" si="8"/>
        <v>0</v>
      </c>
      <c r="D589" s="444"/>
    </row>
    <row r="590" spans="1:4" ht="12.75">
      <c r="A590" s="442">
        <v>21276</v>
      </c>
      <c r="B590" s="443">
        <v>0.06</v>
      </c>
      <c r="C590" s="440">
        <f t="shared" si="8"/>
        <v>-0.1541506798272585</v>
      </c>
      <c r="D590" s="444"/>
    </row>
    <row r="591" spans="1:4" ht="12.75">
      <c r="A591" s="442">
        <v>21244</v>
      </c>
      <c r="B591" s="443">
        <v>0.07</v>
      </c>
      <c r="C591" s="440">
        <f t="shared" si="8"/>
        <v>0</v>
      </c>
      <c r="D591" s="444"/>
    </row>
    <row r="592" spans="1:4" ht="12.75">
      <c r="A592" s="442">
        <v>21216</v>
      </c>
      <c r="B592" s="443">
        <v>0.07</v>
      </c>
      <c r="C592" s="440">
        <f>LN(B592/B593)</f>
        <v>0</v>
      </c>
      <c r="D592" s="444"/>
    </row>
    <row r="593" spans="1:4" ht="12.75">
      <c r="A593" s="442">
        <v>21186</v>
      </c>
      <c r="B593" s="443">
        <v>0.07</v>
      </c>
      <c r="C593" s="443"/>
      <c r="D593" s="444"/>
    </row>
  </sheetData>
  <sheetProtection/>
  <mergeCells count="2">
    <mergeCell ref="E4:F4"/>
    <mergeCell ref="L4:M4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36"/>
  <sheetViews>
    <sheetView zoomScalePageLayoutView="0" workbookViewId="0" topLeftCell="B22">
      <selection activeCell="M30" sqref="M30"/>
    </sheetView>
  </sheetViews>
  <sheetFormatPr defaultColWidth="11.421875" defaultRowHeight="12.75"/>
  <cols>
    <col min="1" max="1" width="3.00390625" style="553" customWidth="1"/>
    <col min="2" max="2" width="8.421875" style="553" customWidth="1"/>
    <col min="3" max="3" width="15.57421875" style="553" customWidth="1"/>
    <col min="4" max="16384" width="11.421875" style="553" customWidth="1"/>
  </cols>
  <sheetData>
    <row r="3" spans="1:13" ht="11.25">
      <c r="A3" s="879" t="s">
        <v>320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</row>
    <row r="4" spans="1:9" ht="12" thickBot="1">
      <c r="A4" s="393"/>
      <c r="B4" s="394"/>
      <c r="C4" s="394"/>
      <c r="D4" s="394"/>
      <c r="E4" s="394"/>
      <c r="F4" s="394"/>
      <c r="G4" s="394"/>
      <c r="H4" s="394"/>
      <c r="I4" s="394"/>
    </row>
    <row r="5" spans="1:13" ht="12" thickBot="1">
      <c r="A5" s="880" t="s">
        <v>394</v>
      </c>
      <c r="B5" s="881"/>
      <c r="C5" s="554">
        <v>0</v>
      </c>
      <c r="D5" s="554">
        <v>1</v>
      </c>
      <c r="E5" s="554">
        <v>2</v>
      </c>
      <c r="F5" s="554">
        <v>3</v>
      </c>
      <c r="G5" s="554">
        <v>4</v>
      </c>
      <c r="H5" s="554">
        <v>5</v>
      </c>
      <c r="I5" s="554">
        <v>6</v>
      </c>
      <c r="J5" s="554">
        <v>7</v>
      </c>
      <c r="K5" s="554">
        <v>8</v>
      </c>
      <c r="L5" s="554">
        <v>9</v>
      </c>
      <c r="M5" s="554">
        <v>10</v>
      </c>
    </row>
    <row r="6" spans="1:9" ht="12" thickBot="1">
      <c r="A6" s="395"/>
      <c r="B6" s="396"/>
      <c r="C6" s="396"/>
      <c r="D6" s="394"/>
      <c r="E6" s="394"/>
      <c r="F6" s="394"/>
      <c r="G6" s="394"/>
      <c r="H6" s="397"/>
      <c r="I6" s="397"/>
    </row>
    <row r="7" spans="1:13" ht="22.5">
      <c r="A7" s="398" t="s">
        <v>267</v>
      </c>
      <c r="B7" s="399" t="s">
        <v>321</v>
      </c>
      <c r="C7" s="400"/>
      <c r="D7" s="404">
        <f>'FLUJO DE CAJA'!C8</f>
        <v>538115</v>
      </c>
      <c r="E7" s="404">
        <f>'FLUJO DE CAJA'!D8</f>
        <v>687981.5</v>
      </c>
      <c r="F7" s="404">
        <f>'FLUJO DE CAJA'!E8</f>
        <v>702085</v>
      </c>
      <c r="G7" s="404">
        <f>'FLUJO DE CAJA'!F8</f>
        <v>716925.5</v>
      </c>
      <c r="H7" s="404">
        <f>'FLUJO DE CAJA'!G8</f>
        <v>732503</v>
      </c>
      <c r="I7" s="404">
        <f>'FLUJO DE CAJA'!H8</f>
        <v>757918</v>
      </c>
      <c r="J7" s="404">
        <f>'FLUJO DE CAJA'!I8</f>
        <v>775170.5</v>
      </c>
      <c r="K7" s="404">
        <f>'FLUJO DE CAJA'!J8</f>
        <v>793327.5</v>
      </c>
      <c r="L7" s="404">
        <f>'FLUJO DE CAJA'!K8</f>
        <v>812422.5</v>
      </c>
      <c r="M7" s="404">
        <f>'FLUJO DE CAJA'!L8</f>
        <v>832522.5</v>
      </c>
    </row>
    <row r="8" spans="1:13" ht="23.25" thickBot="1">
      <c r="A8" s="401" t="s">
        <v>268</v>
      </c>
      <c r="B8" s="402" t="s">
        <v>322</v>
      </c>
      <c r="C8" s="403"/>
      <c r="D8" s="405">
        <f>'BALANCE PROYECTADORA'!C25</f>
        <v>1545396.77902769</v>
      </c>
      <c r="E8" s="405">
        <f>'BALANCE PROYECTADORA'!D25</f>
        <v>1677444.30362249</v>
      </c>
      <c r="F8" s="405">
        <f>'BALANCE PROYECTADORA'!E25</f>
        <v>1812665.9714856378</v>
      </c>
      <c r="G8" s="405">
        <f>'BALANCE PROYECTADORA'!F25</f>
        <v>1951139.179438118</v>
      </c>
      <c r="H8" s="405">
        <f>'BALANCE PROYECTADORA'!G25</f>
        <v>2097163.959223338</v>
      </c>
      <c r="I8" s="405">
        <f>'BALANCE PROYECTADORA'!H25</f>
        <v>2250085.015008558</v>
      </c>
      <c r="J8" s="405">
        <f>'BALANCE PROYECTADORA'!I25</f>
        <v>2393834.8546989723</v>
      </c>
      <c r="K8" s="405">
        <f>'BALANCE PROYECTADORA'!J25</f>
        <v>2541162.3833035887</v>
      </c>
      <c r="L8" s="405">
        <f>'BALANCE PROYECTADORA'!K25</f>
        <v>2692184.7138538114</v>
      </c>
      <c r="M8" s="405">
        <f>'BALANCE PROYECTADORA'!L25</f>
        <v>3285676.101419986</v>
      </c>
    </row>
    <row r="9" spans="1:13" ht="12" thickBot="1">
      <c r="A9" s="877" t="s">
        <v>395</v>
      </c>
      <c r="B9" s="878"/>
      <c r="C9" s="555"/>
      <c r="D9" s="555">
        <f>D7/D8</f>
        <v>0.3482050741289647</v>
      </c>
      <c r="E9" s="555">
        <f aca="true" t="shared" si="0" ref="E9:M9">E7/E8</f>
        <v>0.41013671721575723</v>
      </c>
      <c r="F9" s="555">
        <f t="shared" si="0"/>
        <v>0.3873217741405385</v>
      </c>
      <c r="G9" s="555">
        <f t="shared" si="0"/>
        <v>0.3674394464296789</v>
      </c>
      <c r="H9" s="555">
        <f t="shared" si="0"/>
        <v>0.34928265707526013</v>
      </c>
      <c r="I9" s="555">
        <f t="shared" si="0"/>
        <v>0.3368397171415842</v>
      </c>
      <c r="J9" s="555">
        <f t="shared" si="0"/>
        <v>0.32381953937982855</v>
      </c>
      <c r="K9" s="555">
        <f t="shared" si="0"/>
        <v>0.3121907931631862</v>
      </c>
      <c r="L9" s="555">
        <f t="shared" si="0"/>
        <v>0.3017707127669678</v>
      </c>
      <c r="M9" s="555">
        <f t="shared" si="0"/>
        <v>0.2533793576427709</v>
      </c>
    </row>
    <row r="12" spans="1:13" ht="11.25">
      <c r="A12" s="879" t="s">
        <v>323</v>
      </c>
      <c r="B12" s="879"/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</row>
    <row r="13" spans="1:9" ht="12" thickBot="1">
      <c r="A13" s="393"/>
      <c r="B13" s="394"/>
      <c r="C13" s="394"/>
      <c r="D13" s="394"/>
      <c r="E13" s="394"/>
      <c r="F13" s="394"/>
      <c r="G13" s="394"/>
      <c r="H13" s="394"/>
      <c r="I13" s="394"/>
    </row>
    <row r="14" spans="1:13" ht="12" thickBot="1">
      <c r="A14" s="880" t="s">
        <v>394</v>
      </c>
      <c r="B14" s="881"/>
      <c r="C14" s="554">
        <v>0</v>
      </c>
      <c r="D14" s="554">
        <v>1</v>
      </c>
      <c r="E14" s="554">
        <v>2</v>
      </c>
      <c r="F14" s="554">
        <v>3</v>
      </c>
      <c r="G14" s="554">
        <v>4</v>
      </c>
      <c r="H14" s="554">
        <v>5</v>
      </c>
      <c r="I14" s="554">
        <v>6</v>
      </c>
      <c r="J14" s="554">
        <v>7</v>
      </c>
      <c r="K14" s="554">
        <v>8</v>
      </c>
      <c r="L14" s="554">
        <v>9</v>
      </c>
      <c r="M14" s="554">
        <v>10</v>
      </c>
    </row>
    <row r="15" spans="1:9" ht="12" thickBot="1">
      <c r="A15" s="395"/>
      <c r="B15" s="396"/>
      <c r="C15" s="396"/>
      <c r="D15" s="394"/>
      <c r="E15" s="394"/>
      <c r="F15" s="394"/>
      <c r="G15" s="394"/>
      <c r="H15" s="397"/>
      <c r="I15" s="397"/>
    </row>
    <row r="16" spans="1:13" ht="22.5">
      <c r="A16" s="398" t="s">
        <v>267</v>
      </c>
      <c r="B16" s="399" t="s">
        <v>324</v>
      </c>
      <c r="C16" s="400"/>
      <c r="D16" s="404">
        <f>'BALANCE PROYECTADORA'!B32</f>
        <v>365547.320366667</v>
      </c>
      <c r="E16" s="404">
        <f>'BALANCE PROYECTADORA'!C32</f>
        <v>365547.320366667</v>
      </c>
      <c r="F16" s="404">
        <f>'BALANCE PROYECTADORA'!D32</f>
        <v>365547.320366667</v>
      </c>
      <c r="G16" s="404">
        <f>'BALANCE PROYECTADORA'!E32</f>
        <v>365547.320366667</v>
      </c>
      <c r="H16" s="404">
        <f>'BALANCE PROYECTADORA'!F32</f>
        <v>365547.320366667</v>
      </c>
      <c r="I16" s="404">
        <f>'BALANCE PROYECTADORA'!G32</f>
        <v>370593.5718512674</v>
      </c>
      <c r="J16" s="404">
        <f>'BALANCE PROYECTADORA'!H32</f>
        <v>295976.0365849904</v>
      </c>
      <c r="K16" s="404">
        <f>'BALANCE PROYECTADORA'!I32</f>
        <v>226404.75280331378</v>
      </c>
      <c r="L16" s="404">
        <f>'BALANCE PROYECTADORA'!J32</f>
        <v>161879.72050623762</v>
      </c>
      <c r="M16" s="404">
        <f>'BALANCE PROYECTADORA'!K32</f>
        <v>59478.780812475736</v>
      </c>
    </row>
    <row r="17" spans="1:13" ht="23.25" thickBot="1">
      <c r="A17" s="401" t="s">
        <v>268</v>
      </c>
      <c r="B17" s="402" t="s">
        <v>322</v>
      </c>
      <c r="C17" s="403"/>
      <c r="D17" s="405">
        <f>'BALANCE PROYECTADORA'!C25</f>
        <v>1545396.77902769</v>
      </c>
      <c r="E17" s="405">
        <f>'BALANCE PROYECTADORA'!D25</f>
        <v>1677444.30362249</v>
      </c>
      <c r="F17" s="405">
        <f>'BALANCE PROYECTADORA'!E25</f>
        <v>1812665.9714856378</v>
      </c>
      <c r="G17" s="405">
        <f>'BALANCE PROYECTADORA'!F25</f>
        <v>1951139.179438118</v>
      </c>
      <c r="H17" s="405">
        <f>'BALANCE PROYECTADORA'!G25</f>
        <v>2097163.959223338</v>
      </c>
      <c r="I17" s="405">
        <f>'BALANCE PROYECTADORA'!H25</f>
        <v>2250085.015008558</v>
      </c>
      <c r="J17" s="405">
        <f>'BALANCE PROYECTADORA'!I25</f>
        <v>2393834.8546989723</v>
      </c>
      <c r="K17" s="405">
        <f>'BALANCE PROYECTADORA'!J25</f>
        <v>2541162.3833035887</v>
      </c>
      <c r="L17" s="405">
        <f>'BALANCE PROYECTADORA'!K25</f>
        <v>2692184.7138538114</v>
      </c>
      <c r="M17" s="405">
        <f>'BALANCE PROYECTADORA'!L25</f>
        <v>3285676.101419986</v>
      </c>
    </row>
    <row r="18" spans="1:9" ht="12" thickBot="1">
      <c r="A18" s="394"/>
      <c r="B18" s="394"/>
      <c r="C18" s="394"/>
      <c r="D18" s="394"/>
      <c r="E18" s="394"/>
      <c r="F18" s="394"/>
      <c r="G18" s="394"/>
      <c r="H18" s="394"/>
      <c r="I18" s="394"/>
    </row>
    <row r="19" spans="1:13" ht="22.5" customHeight="1" thickBot="1">
      <c r="A19" s="875" t="s">
        <v>325</v>
      </c>
      <c r="B19" s="876"/>
      <c r="C19" s="556"/>
      <c r="D19" s="557">
        <f aca="true" t="shared" si="1" ref="D19:L19">D16/E17</f>
        <v>0.21791919980726446</v>
      </c>
      <c r="E19" s="557">
        <f t="shared" si="1"/>
        <v>0.20166281384267898</v>
      </c>
      <c r="F19" s="557">
        <f t="shared" si="1"/>
        <v>0.18735071501764217</v>
      </c>
      <c r="G19" s="557">
        <f t="shared" si="1"/>
        <v>0.17430555143721024</v>
      </c>
      <c r="H19" s="557">
        <f t="shared" si="1"/>
        <v>0.16245933728209672</v>
      </c>
      <c r="I19" s="557">
        <f t="shared" si="1"/>
        <v>0.15481167012160912</v>
      </c>
      <c r="J19" s="557">
        <f t="shared" si="1"/>
        <v>0.11647269711281201</v>
      </c>
      <c r="K19" s="557">
        <f t="shared" si="1"/>
        <v>0.0840970352584833</v>
      </c>
      <c r="L19" s="557">
        <f t="shared" si="1"/>
        <v>0.049268313585833154</v>
      </c>
      <c r="M19" s="557"/>
    </row>
    <row r="22" spans="5:8" ht="11.25">
      <c r="E22" s="558"/>
      <c r="F22" s="558"/>
      <c r="G22" s="558"/>
      <c r="H22" s="558"/>
    </row>
    <row r="23" spans="2:14" ht="11.25">
      <c r="B23" s="882" t="s">
        <v>327</v>
      </c>
      <c r="C23" s="882"/>
      <c r="D23" s="882"/>
      <c r="E23" s="882"/>
      <c r="F23" s="882"/>
      <c r="G23" s="882"/>
      <c r="H23" s="882"/>
      <c r="I23" s="882"/>
      <c r="J23" s="882"/>
      <c r="K23" s="882"/>
      <c r="L23" s="882"/>
      <c r="M23" s="882"/>
      <c r="N23" s="882"/>
    </row>
    <row r="24" spans="2:10" ht="12" thickBot="1">
      <c r="B24" s="559"/>
      <c r="C24" s="90"/>
      <c r="D24" s="90"/>
      <c r="E24" s="90"/>
      <c r="F24" s="90"/>
      <c r="G24" s="90"/>
      <c r="H24" s="90"/>
      <c r="I24" s="90"/>
      <c r="J24" s="90"/>
    </row>
    <row r="25" spans="2:14" ht="12" thickBot="1">
      <c r="B25" s="880" t="s">
        <v>394</v>
      </c>
      <c r="C25" s="881"/>
      <c r="D25" s="554">
        <v>0</v>
      </c>
      <c r="E25" s="554">
        <v>1</v>
      </c>
      <c r="F25" s="554">
        <v>2</v>
      </c>
      <c r="G25" s="554">
        <v>3</v>
      </c>
      <c r="H25" s="554">
        <v>4</v>
      </c>
      <c r="I25" s="554">
        <v>5</v>
      </c>
      <c r="J25" s="554">
        <v>6</v>
      </c>
      <c r="K25" s="554">
        <v>7</v>
      </c>
      <c r="L25" s="554">
        <v>8</v>
      </c>
      <c r="M25" s="554">
        <v>9</v>
      </c>
      <c r="N25" s="554">
        <v>10</v>
      </c>
    </row>
    <row r="26" spans="2:10" ht="12" thickBot="1">
      <c r="B26" s="560"/>
      <c r="C26" s="561"/>
      <c r="D26" s="561"/>
      <c r="E26" s="90"/>
      <c r="F26" s="90"/>
      <c r="G26" s="90"/>
      <c r="H26" s="90"/>
      <c r="I26" s="562"/>
      <c r="J26" s="562"/>
    </row>
    <row r="27" spans="2:14" ht="11.25">
      <c r="B27" s="563" t="s">
        <v>267</v>
      </c>
      <c r="C27" s="564" t="s">
        <v>260</v>
      </c>
      <c r="D27" s="565"/>
      <c r="E27" s="566">
        <f>'FLUJO DE CAJA'!C44</f>
        <v>133594.9324410378</v>
      </c>
      <c r="F27" s="566">
        <f>'FLUJO DE CAJA'!D44</f>
        <v>181709.07874822256</v>
      </c>
      <c r="G27" s="566">
        <f>'FLUJO DE CAJA'!E44</f>
        <v>132047.5245948001</v>
      </c>
      <c r="H27" s="566">
        <f>'FLUJO DE CAJA'!F44</f>
        <v>135221.66786314777</v>
      </c>
      <c r="I27" s="566">
        <f>'FLUJO DE CAJA'!G44</f>
        <v>138473.20795248024</v>
      </c>
      <c r="J27" s="566">
        <f>'FLUJO DE CAJA'!H44</f>
        <v>146024.7797852202</v>
      </c>
      <c r="K27" s="566">
        <f>'FLUJO DE CAJA'!I44</f>
        <v>143749.83969041394</v>
      </c>
      <c r="L27" s="566">
        <f>'FLUJO DE CAJA'!J44</f>
        <v>147327.52860461647</v>
      </c>
      <c r="M27" s="566">
        <f>'FLUJO DE CAJA'!K44</f>
        <v>151022.33055022234</v>
      </c>
      <c r="N27" s="566">
        <f>'FLUJO DE CAJA'!L44</f>
        <v>593491.387566175</v>
      </c>
    </row>
    <row r="28" spans="2:14" ht="12" thickBot="1">
      <c r="B28" s="567" t="s">
        <v>268</v>
      </c>
      <c r="C28" s="568" t="s">
        <v>239</v>
      </c>
      <c r="D28" s="569"/>
      <c r="E28" s="570">
        <f>'ESTADO DE PERDIDAS Y GANANCIAS'!C5</f>
        <v>538115</v>
      </c>
      <c r="F28" s="570">
        <f>'ESTADO DE PERDIDAS Y GANANCIAS'!D5</f>
        <v>687981.5</v>
      </c>
      <c r="G28" s="570">
        <f>'ESTADO DE PERDIDAS Y GANANCIAS'!E5</f>
        <v>702085</v>
      </c>
      <c r="H28" s="570">
        <f>'ESTADO DE PERDIDAS Y GANANCIAS'!F5</f>
        <v>716925.5</v>
      </c>
      <c r="I28" s="570">
        <f>'ESTADO DE PERDIDAS Y GANANCIAS'!G5</f>
        <v>732503</v>
      </c>
      <c r="J28" s="570">
        <f>'ESTADO DE PERDIDAS Y GANANCIAS'!H5</f>
        <v>757918</v>
      </c>
      <c r="K28" s="570">
        <f>'ESTADO DE PERDIDAS Y GANANCIAS'!I5</f>
        <v>775170.5</v>
      </c>
      <c r="L28" s="570">
        <f>'ESTADO DE PERDIDAS Y GANANCIAS'!J5</f>
        <v>793327.5</v>
      </c>
      <c r="M28" s="570">
        <f>'ESTADO DE PERDIDAS Y GANANCIAS'!K5</f>
        <v>812422.5</v>
      </c>
      <c r="N28" s="570">
        <f>'ESTADO DE PERDIDAS Y GANANCIAS'!L5</f>
        <v>832522.5</v>
      </c>
    </row>
    <row r="29" spans="2:14" ht="21.75">
      <c r="B29" s="571" t="s">
        <v>270</v>
      </c>
      <c r="C29" s="572" t="s">
        <v>326</v>
      </c>
      <c r="D29" s="573"/>
      <c r="E29" s="574">
        <f>'FLUJO DE CAJA'!C23</f>
        <v>213149.222</v>
      </c>
      <c r="F29" s="574">
        <f>'FLUJO DE CAJA'!D23</f>
        <v>356517.30643999996</v>
      </c>
      <c r="G29" s="574">
        <f>'FLUJO DE CAJA'!E23</f>
        <v>358099.7254888</v>
      </c>
      <c r="H29" s="574">
        <f>'FLUJO DE CAJA'!F23</f>
        <v>359874.088064576</v>
      </c>
      <c r="I29" s="574">
        <f>'FLUJO DE CAJA'!G23</f>
        <v>361814.7612951675</v>
      </c>
      <c r="J29" s="574">
        <f>'FLUJO DE CAJA'!H23</f>
        <v>372995.3630638358</v>
      </c>
      <c r="K29" s="574">
        <f>'FLUJO DE CAJA'!I23</f>
        <v>375387.7001950157</v>
      </c>
      <c r="L29" s="574">
        <f>'FLUJO DE CAJA'!J23</f>
        <v>378029.2035623144</v>
      </c>
      <c r="M29" s="574">
        <f>'FLUJO DE CAJA'!K23</f>
        <v>380922.35996512906</v>
      </c>
      <c r="N29" s="574">
        <f>'FLUJO DE CAJA'!L23</f>
        <v>384101.64061257837</v>
      </c>
    </row>
    <row r="30" spans="2:14" ht="12" thickBot="1">
      <c r="B30" s="567" t="s">
        <v>271</v>
      </c>
      <c r="C30" s="568" t="s">
        <v>279</v>
      </c>
      <c r="D30" s="569"/>
      <c r="E30" s="570">
        <f>'BALANCE PROYECTADORA'!C40</f>
        <v>6891.028144103778</v>
      </c>
      <c r="F30" s="570">
        <f>'BALANCE PROYECTADORA'!D40</f>
        <v>81137.81105046897</v>
      </c>
      <c r="G30" s="570">
        <f>'BALANCE PROYECTADORA'!E40</f>
        <v>97990.64085695347</v>
      </c>
      <c r="H30" s="570">
        <f>'BALANCE PROYECTADORA'!F40</f>
        <v>86014.87319844475</v>
      </c>
      <c r="I30" s="570">
        <f>'BALANCE PROYECTADORA'!G40</f>
        <v>189524.57316812084</v>
      </c>
      <c r="J30" s="570">
        <f>'BALANCE PROYECTADORA'!H40</f>
        <v>525078.9354112216</v>
      </c>
      <c r="K30" s="570">
        <f>'BALANCE PROYECTADORA'!I40</f>
        <v>700067.530556491</v>
      </c>
      <c r="L30" s="570">
        <f>'BALANCE PROYECTADORA'!J40</f>
        <v>900005.6260985986</v>
      </c>
      <c r="M30" s="570">
        <f>'BALANCE PROYECTADORA'!K40</f>
        <v>1118215.2209011004</v>
      </c>
      <c r="N30" s="570">
        <f>'BALANCE PROYECTADORA'!L40</f>
        <v>1323800.810248442</v>
      </c>
    </row>
    <row r="31" spans="2:14" ht="12" thickBot="1">
      <c r="B31" s="575" t="s">
        <v>272</v>
      </c>
      <c r="C31" s="572" t="s">
        <v>328</v>
      </c>
      <c r="D31" s="573"/>
      <c r="E31" s="570">
        <f>'BALANCE PROYECTADORA'!C25</f>
        <v>1545396.77902769</v>
      </c>
      <c r="F31" s="570">
        <f>'BALANCE PROYECTADORA'!D25</f>
        <v>1677444.30362249</v>
      </c>
      <c r="G31" s="570">
        <f>'BALANCE PROYECTADORA'!E25</f>
        <v>1812665.9714856378</v>
      </c>
      <c r="H31" s="570">
        <f>'BALANCE PROYECTADORA'!F25</f>
        <v>1951139.179438118</v>
      </c>
      <c r="I31" s="570">
        <f>'BALANCE PROYECTADORA'!G25</f>
        <v>2097163.959223338</v>
      </c>
      <c r="J31" s="570">
        <f>'BALANCE PROYECTADORA'!H25</f>
        <v>2250085.015008558</v>
      </c>
      <c r="K31" s="570">
        <f>'BALANCE PROYECTADORA'!I25</f>
        <v>2393834.8546989723</v>
      </c>
      <c r="L31" s="570">
        <f>'BALANCE PROYECTADORA'!J25</f>
        <v>2541162.3833035887</v>
      </c>
      <c r="M31" s="570">
        <f>'BALANCE PROYECTADORA'!K25</f>
        <v>2692184.7138538114</v>
      </c>
      <c r="N31" s="570">
        <f>'BALANCE PROYECTADORA'!L25</f>
        <v>3285676.101419986</v>
      </c>
    </row>
    <row r="32" spans="2:14" ht="12" thickBot="1">
      <c r="B32" s="875" t="s">
        <v>331</v>
      </c>
      <c r="C32" s="876"/>
      <c r="D32" s="556"/>
      <c r="E32" s="576">
        <f>E29/E28</f>
        <v>0.39610347602278323</v>
      </c>
      <c r="F32" s="576">
        <f aca="true" t="shared" si="2" ref="F32:N32">F29/F28</f>
        <v>0.5182076937243225</v>
      </c>
      <c r="G32" s="576">
        <f t="shared" si="2"/>
        <v>0.5100518106622417</v>
      </c>
      <c r="H32" s="576">
        <f t="shared" si="2"/>
        <v>0.5019685979429884</v>
      </c>
      <c r="I32" s="576">
        <f t="shared" si="2"/>
        <v>0.49394304363964037</v>
      </c>
      <c r="J32" s="576">
        <f t="shared" si="2"/>
        <v>0.4921315538934763</v>
      </c>
      <c r="K32" s="576">
        <f t="shared" si="2"/>
        <v>0.4842646878267629</v>
      </c>
      <c r="L32" s="576">
        <f t="shared" si="2"/>
        <v>0.47651090320493666</v>
      </c>
      <c r="M32" s="576">
        <f t="shared" si="2"/>
        <v>0.46887224315565984</v>
      </c>
      <c r="N32" s="576">
        <f t="shared" si="2"/>
        <v>0.4613708826038676</v>
      </c>
    </row>
    <row r="33" spans="2:14" ht="12" thickBot="1">
      <c r="B33" s="875" t="s">
        <v>329</v>
      </c>
      <c r="C33" s="876"/>
      <c r="D33" s="577"/>
      <c r="E33" s="576">
        <f>E27/E30</f>
        <v>19.386792456412564</v>
      </c>
      <c r="F33" s="576">
        <f aca="true" t="shared" si="3" ref="F33:N33">F27/F30</f>
        <v>2.239511719575436</v>
      </c>
      <c r="G33" s="576">
        <f t="shared" si="3"/>
        <v>1.347552413577566</v>
      </c>
      <c r="H33" s="576">
        <f t="shared" si="3"/>
        <v>1.572073094279615</v>
      </c>
      <c r="I33" s="576">
        <f t="shared" si="3"/>
        <v>0.7306345854668953</v>
      </c>
      <c r="J33" s="576">
        <f t="shared" si="3"/>
        <v>0.2781006243772838</v>
      </c>
      <c r="K33" s="576">
        <f t="shared" si="3"/>
        <v>0.2053371045163967</v>
      </c>
      <c r="L33" s="576">
        <f t="shared" si="3"/>
        <v>0.16369623070386924</v>
      </c>
      <c r="M33" s="576">
        <f t="shared" si="3"/>
        <v>0.13505658635957646</v>
      </c>
      <c r="N33" s="576">
        <f t="shared" si="3"/>
        <v>0.4483237832848829</v>
      </c>
    </row>
    <row r="34" spans="2:14" ht="12" thickBot="1">
      <c r="B34" s="875" t="s">
        <v>330</v>
      </c>
      <c r="C34" s="876"/>
      <c r="D34" s="577"/>
      <c r="E34" s="576">
        <f>E27/E31</f>
        <v>0.0864470110550451</v>
      </c>
      <c r="F34" s="576">
        <f aca="true" t="shared" si="4" ref="F34:N34">F27/F31</f>
        <v>0.10832495502581903</v>
      </c>
      <c r="G34" s="576">
        <f t="shared" si="4"/>
        <v>0.0728471360261569</v>
      </c>
      <c r="H34" s="576">
        <f t="shared" si="4"/>
        <v>0.06930395806109968</v>
      </c>
      <c r="I34" s="576">
        <f t="shared" si="4"/>
        <v>0.06602879443139119</v>
      </c>
      <c r="J34" s="576">
        <f t="shared" si="4"/>
        <v>0.0648974500124231</v>
      </c>
      <c r="K34" s="576">
        <f t="shared" si="4"/>
        <v>0.060050023671532955</v>
      </c>
      <c r="L34" s="576">
        <f t="shared" si="4"/>
        <v>0.05797643219206094</v>
      </c>
      <c r="M34" s="576">
        <f t="shared" si="4"/>
        <v>0.056096570853058865</v>
      </c>
      <c r="N34" s="576">
        <f t="shared" si="4"/>
        <v>0.18062991276275922</v>
      </c>
    </row>
    <row r="36" ht="11.25">
      <c r="E36" s="578"/>
    </row>
  </sheetData>
  <sheetProtection/>
  <mergeCells count="11">
    <mergeCell ref="B34:C34"/>
    <mergeCell ref="B23:N23"/>
    <mergeCell ref="B25:C25"/>
    <mergeCell ref="B32:C32"/>
    <mergeCell ref="B33:C33"/>
    <mergeCell ref="A19:B19"/>
    <mergeCell ref="A9:B9"/>
    <mergeCell ref="A3:M3"/>
    <mergeCell ref="A14:B14"/>
    <mergeCell ref="A12:M12"/>
    <mergeCell ref="A5:B5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T56"/>
  <sheetViews>
    <sheetView tabSelected="1" zoomScale="103" zoomScaleNormal="103" zoomScalePageLayoutView="0" workbookViewId="0" topLeftCell="J5">
      <selection activeCell="T16" sqref="T16"/>
    </sheetView>
  </sheetViews>
  <sheetFormatPr defaultColWidth="11.421875" defaultRowHeight="12.75" outlineLevelRow="1" outlineLevelCol="1"/>
  <cols>
    <col min="1" max="1" width="39.7109375" style="410" customWidth="1"/>
    <col min="2" max="2" width="18.140625" style="410" bestFit="1" customWidth="1"/>
    <col min="3" max="5" width="12.7109375" style="410" customWidth="1" outlineLevel="1"/>
    <col min="6" max="7" width="14.140625" style="410" customWidth="1" outlineLevel="1"/>
    <col min="8" max="8" width="11.7109375" style="410" customWidth="1" outlineLevel="1"/>
    <col min="9" max="9" width="14.140625" style="410" customWidth="1" outlineLevel="1"/>
    <col min="10" max="10" width="11.57421875" style="410" customWidth="1" outlineLevel="1"/>
    <col min="11" max="11" width="12.8515625" style="410" customWidth="1" outlineLevel="1"/>
    <col min="12" max="12" width="14.140625" style="410" customWidth="1" outlineLevel="1"/>
    <col min="13" max="13" width="14.421875" style="410" bestFit="1" customWidth="1"/>
    <col min="14" max="16" width="11.421875" style="410" customWidth="1"/>
    <col min="17" max="17" width="13.28125" style="410" customWidth="1"/>
    <col min="18" max="18" width="13.421875" style="410" customWidth="1"/>
    <col min="19" max="19" width="17.140625" style="410" customWidth="1"/>
    <col min="20" max="20" width="17.8515625" style="410" customWidth="1"/>
    <col min="21" max="16384" width="11.421875" style="410" customWidth="1"/>
  </cols>
  <sheetData>
    <row r="1" spans="1:12" ht="12.75">
      <c r="A1" s="579"/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</row>
    <row r="2" spans="1:12" ht="14.25">
      <c r="A2" s="580"/>
      <c r="B2" s="884" t="s">
        <v>363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</row>
    <row r="3" spans="1:12" ht="18">
      <c r="A3" s="581"/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</row>
    <row r="4" spans="1:12" ht="18">
      <c r="A4" s="581"/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</row>
    <row r="5" spans="1:16" ht="15.75">
      <c r="A5" s="582"/>
      <c r="B5" s="583"/>
      <c r="C5" s="584">
        <f>C8-'ESTADO DE PERDIDAS Y GANANCIAS'!C5</f>
        <v>0</v>
      </c>
      <c r="D5" s="584">
        <f>D8-'ESTADO DE PERDIDAS Y GANANCIAS'!D5</f>
        <v>0</v>
      </c>
      <c r="E5" s="584">
        <f>E8-'ESTADO DE PERDIDAS Y GANANCIAS'!E5</f>
        <v>0</v>
      </c>
      <c r="F5" s="584">
        <f>F8-'ESTADO DE PERDIDAS Y GANANCIAS'!F5</f>
        <v>0</v>
      </c>
      <c r="G5" s="584">
        <f>G8-'ESTADO DE PERDIDAS Y GANANCIAS'!G5</f>
        <v>0</v>
      </c>
      <c r="H5" s="584">
        <f>H8-'ESTADO DE PERDIDAS Y GANANCIAS'!H5</f>
        <v>0</v>
      </c>
      <c r="I5" s="584">
        <f>I8-'ESTADO DE PERDIDAS Y GANANCIAS'!I5</f>
        <v>0</v>
      </c>
      <c r="J5" s="584">
        <f>J8-'ESTADO DE PERDIDAS Y GANANCIAS'!J5</f>
        <v>0</v>
      </c>
      <c r="K5" s="584">
        <f>K8-'ESTADO DE PERDIDAS Y GANANCIAS'!K5</f>
        <v>0</v>
      </c>
      <c r="L5" s="584">
        <f>L8-'ESTADO DE PERDIDAS Y GANANCIAS'!L5</f>
        <v>0</v>
      </c>
      <c r="P5" s="501" t="s">
        <v>566</v>
      </c>
    </row>
    <row r="6" spans="1:20" ht="25.5">
      <c r="A6" s="678" t="s">
        <v>369</v>
      </c>
      <c r="B6" s="679">
        <v>0</v>
      </c>
      <c r="C6" s="679">
        <v>2011</v>
      </c>
      <c r="D6" s="679">
        <v>2012</v>
      </c>
      <c r="E6" s="679">
        <v>2013</v>
      </c>
      <c r="F6" s="679">
        <v>2014</v>
      </c>
      <c r="G6" s="679">
        <v>2015</v>
      </c>
      <c r="H6" s="679">
        <v>2016</v>
      </c>
      <c r="I6" s="679">
        <v>2017</v>
      </c>
      <c r="J6" s="679">
        <v>2018</v>
      </c>
      <c r="K6" s="679">
        <v>2019</v>
      </c>
      <c r="L6" s="679">
        <v>2020</v>
      </c>
      <c r="M6" s="585" t="s">
        <v>396</v>
      </c>
      <c r="P6" s="680" t="s">
        <v>562</v>
      </c>
      <c r="Q6" s="680" t="s">
        <v>563</v>
      </c>
      <c r="R6" s="680" t="s">
        <v>363</v>
      </c>
      <c r="S6" s="680" t="s">
        <v>564</v>
      </c>
      <c r="T6" s="680" t="s">
        <v>565</v>
      </c>
    </row>
    <row r="7" spans="1:20" ht="14.25">
      <c r="A7" s="586" t="s">
        <v>365</v>
      </c>
      <c r="B7" s="586"/>
      <c r="C7" s="662"/>
      <c r="D7" s="662"/>
      <c r="E7" s="662"/>
      <c r="F7" s="663"/>
      <c r="G7" s="663"/>
      <c r="H7" s="663"/>
      <c r="I7" s="662"/>
      <c r="J7" s="662"/>
      <c r="K7" s="662"/>
      <c r="L7" s="663"/>
      <c r="P7" s="681">
        <v>2011</v>
      </c>
      <c r="Q7" s="682">
        <f>-B41</f>
        <v>565518.5562794672</v>
      </c>
      <c r="R7" s="682">
        <f>+C44</f>
        <v>133594.9324410378</v>
      </c>
      <c r="S7" s="682">
        <f>+Q7*$E$51</f>
        <v>103082.37383998936</v>
      </c>
      <c r="T7" s="682">
        <f>+R7-S7</f>
        <v>30512.558601048426</v>
      </c>
    </row>
    <row r="8" spans="1:20" ht="14.25">
      <c r="A8" s="587" t="s">
        <v>366</v>
      </c>
      <c r="B8" s="588"/>
      <c r="C8" s="589">
        <f>SUM(C9:C17)</f>
        <v>538115</v>
      </c>
      <c r="D8" s="589">
        <f aca="true" t="shared" si="0" ref="D8:L8">SUM(D9:D17)</f>
        <v>687981.5</v>
      </c>
      <c r="E8" s="589">
        <f t="shared" si="0"/>
        <v>702085</v>
      </c>
      <c r="F8" s="589">
        <f t="shared" si="0"/>
        <v>716925.5</v>
      </c>
      <c r="G8" s="589">
        <f t="shared" si="0"/>
        <v>732503</v>
      </c>
      <c r="H8" s="589">
        <f t="shared" si="0"/>
        <v>757918</v>
      </c>
      <c r="I8" s="589">
        <f t="shared" si="0"/>
        <v>775170.5</v>
      </c>
      <c r="J8" s="589">
        <f t="shared" si="0"/>
        <v>793327.5</v>
      </c>
      <c r="K8" s="589">
        <f t="shared" si="0"/>
        <v>812422.5</v>
      </c>
      <c r="L8" s="589">
        <f t="shared" si="0"/>
        <v>832522.5</v>
      </c>
      <c r="M8" s="590">
        <f>SUM(C8:L8)</f>
        <v>7348971</v>
      </c>
      <c r="P8" s="681">
        <v>2012</v>
      </c>
      <c r="Q8" s="682">
        <f>+Q7-T7</f>
        <v>535005.9976784188</v>
      </c>
      <c r="R8" s="682">
        <f>+D44</f>
        <v>181709.07874822256</v>
      </c>
      <c r="S8" s="682">
        <f aca="true" t="shared" si="1" ref="S8:S16">+Q8*$E$51</f>
        <v>97520.56346683246</v>
      </c>
      <c r="T8" s="682">
        <f aca="true" t="shared" si="2" ref="T8:T16">+R8-S8</f>
        <v>84188.5152813901</v>
      </c>
    </row>
    <row r="9" spans="1:20" ht="14.25" outlineLevel="1">
      <c r="A9" s="587" t="str">
        <f>INGRESOS!A40</f>
        <v>Paquete Basico</v>
      </c>
      <c r="B9" s="591"/>
      <c r="C9" s="592">
        <f>INGRESOS!P40</f>
        <v>76900</v>
      </c>
      <c r="D9" s="592">
        <f>INGRESOS!Q40</f>
        <v>80890.00000000001</v>
      </c>
      <c r="E9" s="592">
        <f>INGRESOS!R40</f>
        <v>85100</v>
      </c>
      <c r="F9" s="592">
        <f>INGRESOS!S40</f>
        <v>89530</v>
      </c>
      <c r="G9" s="592">
        <f>INGRESOS!T40</f>
        <v>94180.00000000001</v>
      </c>
      <c r="H9" s="592">
        <f>INGRESOS!U40</f>
        <v>99080</v>
      </c>
      <c r="I9" s="592">
        <f>INGRESOS!V40</f>
        <v>104230</v>
      </c>
      <c r="J9" s="592">
        <f>INGRESOS!W40</f>
        <v>109650</v>
      </c>
      <c r="K9" s="592">
        <f>INGRESOS!X40</f>
        <v>115350</v>
      </c>
      <c r="L9" s="592">
        <f>INGRESOS!Y40</f>
        <v>121350</v>
      </c>
      <c r="M9" s="590"/>
      <c r="P9" s="681">
        <v>2013</v>
      </c>
      <c r="Q9" s="682">
        <f aca="true" t="shared" si="3" ref="Q9:Q16">+Q8-T8</f>
        <v>450817.48239702865</v>
      </c>
      <c r="R9" s="682">
        <f>+E44</f>
        <v>132047.5245948001</v>
      </c>
      <c r="S9" s="682">
        <f t="shared" si="1"/>
        <v>82174.73279707588</v>
      </c>
      <c r="T9" s="682">
        <f t="shared" si="2"/>
        <v>49872.79179772423</v>
      </c>
    </row>
    <row r="10" spans="1:20" ht="14.25" outlineLevel="1">
      <c r="A10" s="587" t="str">
        <f>INGRESOS!A41</f>
        <v>Paquete Estandar</v>
      </c>
      <c r="B10" s="591"/>
      <c r="C10" s="592">
        <f>INGRESOS!P41</f>
        <v>80745</v>
      </c>
      <c r="D10" s="592">
        <f>INGRESOS!Q41</f>
        <v>84934.50000000001</v>
      </c>
      <c r="E10" s="592">
        <f>INGRESOS!R41</f>
        <v>89355</v>
      </c>
      <c r="F10" s="592">
        <f>INGRESOS!S41</f>
        <v>94006.5</v>
      </c>
      <c r="G10" s="592">
        <f>INGRESOS!T41</f>
        <v>98889.00000000001</v>
      </c>
      <c r="H10" s="592">
        <f>INGRESOS!U41</f>
        <v>104034</v>
      </c>
      <c r="I10" s="592">
        <f>INGRESOS!V41</f>
        <v>109441.5</v>
      </c>
      <c r="J10" s="592">
        <f>INGRESOS!W41</f>
        <v>115132.5</v>
      </c>
      <c r="K10" s="592">
        <f>INGRESOS!X41</f>
        <v>121117.5</v>
      </c>
      <c r="L10" s="592">
        <f>INGRESOS!Y41</f>
        <v>127417.5</v>
      </c>
      <c r="M10" s="590"/>
      <c r="P10" s="681">
        <v>2014</v>
      </c>
      <c r="Q10" s="682">
        <f t="shared" si="3"/>
        <v>400944.6905993044</v>
      </c>
      <c r="R10" s="682">
        <f>+F44</f>
        <v>135221.66786314777</v>
      </c>
      <c r="S10" s="682">
        <f t="shared" si="1"/>
        <v>73083.95105092147</v>
      </c>
      <c r="T10" s="682">
        <f t="shared" si="2"/>
        <v>62137.716812226296</v>
      </c>
    </row>
    <row r="11" spans="1:20" ht="14.25" outlineLevel="1">
      <c r="A11" s="587" t="str">
        <f>INGRESOS!A42</f>
        <v>Paquete Completo</v>
      </c>
      <c r="B11" s="591"/>
      <c r="C11" s="592">
        <f>INGRESOS!P42</f>
        <v>61520</v>
      </c>
      <c r="D11" s="592">
        <f>INGRESOS!Q42</f>
        <v>64712.00000000001</v>
      </c>
      <c r="E11" s="592">
        <f>INGRESOS!R42</f>
        <v>68080</v>
      </c>
      <c r="F11" s="592">
        <f>INGRESOS!S42</f>
        <v>71624</v>
      </c>
      <c r="G11" s="592">
        <f>INGRESOS!T42</f>
        <v>75344.00000000001</v>
      </c>
      <c r="H11" s="592">
        <f>INGRESOS!U42</f>
        <v>79264</v>
      </c>
      <c r="I11" s="592">
        <f>INGRESOS!V42</f>
        <v>83384</v>
      </c>
      <c r="J11" s="592">
        <f>INGRESOS!W42</f>
        <v>87720</v>
      </c>
      <c r="K11" s="592">
        <f>INGRESOS!X42</f>
        <v>92280</v>
      </c>
      <c r="L11" s="592">
        <f>INGRESOS!Y42</f>
        <v>97080</v>
      </c>
      <c r="M11" s="590"/>
      <c r="P11" s="681">
        <v>2015</v>
      </c>
      <c r="Q11" s="682">
        <f t="shared" si="3"/>
        <v>338806.9737870781</v>
      </c>
      <c r="R11" s="682">
        <f>+G44</f>
        <v>138473.20795248024</v>
      </c>
      <c r="S11" s="682">
        <f t="shared" si="1"/>
        <v>61757.526333505244</v>
      </c>
      <c r="T11" s="682">
        <f t="shared" si="2"/>
        <v>76715.681618975</v>
      </c>
    </row>
    <row r="12" spans="1:20" ht="14.25" outlineLevel="1">
      <c r="A12" s="587" t="str">
        <f>INGRESOS!A43</f>
        <v>Paquete Estrella</v>
      </c>
      <c r="B12" s="591"/>
      <c r="C12" s="592">
        <f>INGRESOS!P43</f>
        <v>38450</v>
      </c>
      <c r="D12" s="592">
        <f>INGRESOS!Q43</f>
        <v>40445.00000000001</v>
      </c>
      <c r="E12" s="592">
        <f>INGRESOS!R43</f>
        <v>42550</v>
      </c>
      <c r="F12" s="592">
        <f>INGRESOS!S43</f>
        <v>44765</v>
      </c>
      <c r="G12" s="592">
        <f>INGRESOS!T43</f>
        <v>47090.00000000001</v>
      </c>
      <c r="H12" s="592">
        <f>INGRESOS!U43</f>
        <v>49540</v>
      </c>
      <c r="I12" s="592">
        <f>INGRESOS!V43</f>
        <v>52115</v>
      </c>
      <c r="J12" s="592">
        <f>INGRESOS!W43</f>
        <v>54825</v>
      </c>
      <c r="K12" s="592">
        <f>INGRESOS!X43</f>
        <v>57675</v>
      </c>
      <c r="L12" s="592">
        <f>INGRESOS!Y43</f>
        <v>60675</v>
      </c>
      <c r="M12" s="590"/>
      <c r="P12" s="681">
        <v>2016</v>
      </c>
      <c r="Q12" s="682">
        <f t="shared" si="3"/>
        <v>262091.2921681031</v>
      </c>
      <c r="R12" s="682">
        <f>+H44</f>
        <v>146024.7797852202</v>
      </c>
      <c r="S12" s="682">
        <f t="shared" si="1"/>
        <v>47773.839177307316</v>
      </c>
      <c r="T12" s="682">
        <f t="shared" si="2"/>
        <v>98250.94060791287</v>
      </c>
    </row>
    <row r="13" spans="1:20" ht="14.25" outlineLevel="1">
      <c r="A13" s="587" t="str">
        <f>INGRESOS!A44</f>
        <v>Paquete colegial</v>
      </c>
      <c r="B13" s="591"/>
      <c r="C13" s="592">
        <f>INGRESOS!P44</f>
        <v>24000</v>
      </c>
      <c r="D13" s="592">
        <f>INGRESOS!Q44</f>
        <v>48000</v>
      </c>
      <c r="E13" s="592">
        <f>INGRESOS!R44</f>
        <v>48000</v>
      </c>
      <c r="F13" s="592">
        <f>INGRESOS!S44</f>
        <v>48000</v>
      </c>
      <c r="G13" s="592">
        <f>INGRESOS!T44</f>
        <v>48000</v>
      </c>
      <c r="H13" s="592">
        <f>INGRESOS!U44</f>
        <v>48000</v>
      </c>
      <c r="I13" s="592">
        <f>INGRESOS!V44</f>
        <v>48000</v>
      </c>
      <c r="J13" s="592">
        <f>INGRESOS!W44</f>
        <v>48000</v>
      </c>
      <c r="K13" s="592">
        <f>INGRESOS!X44</f>
        <v>48000</v>
      </c>
      <c r="L13" s="592">
        <f>INGRESOS!Y44</f>
        <v>48000</v>
      </c>
      <c r="M13" s="590"/>
      <c r="P13" s="681">
        <v>2017</v>
      </c>
      <c r="Q13" s="682">
        <f t="shared" si="3"/>
        <v>163840.35156019023</v>
      </c>
      <c r="R13" s="682">
        <f>+I44</f>
        <v>143749.83969041394</v>
      </c>
      <c r="S13" s="682">
        <f t="shared" si="1"/>
        <v>29864.718287434243</v>
      </c>
      <c r="T13" s="682">
        <f t="shared" si="2"/>
        <v>113885.1214029797</v>
      </c>
    </row>
    <row r="14" spans="1:20" ht="14.25" outlineLevel="1">
      <c r="A14" s="587" t="str">
        <f>INGRESOS!A45</f>
        <v>Eventos Sociales</v>
      </c>
      <c r="B14" s="591"/>
      <c r="C14" s="592">
        <f>INGRESOS!P45</f>
        <v>45000</v>
      </c>
      <c r="D14" s="592">
        <f>INGRESOS!Q45</f>
        <v>90000</v>
      </c>
      <c r="E14" s="592">
        <f>INGRESOS!R45</f>
        <v>90000</v>
      </c>
      <c r="F14" s="592">
        <f>INGRESOS!S45</f>
        <v>90000</v>
      </c>
      <c r="G14" s="592">
        <f>INGRESOS!T45</f>
        <v>90000</v>
      </c>
      <c r="H14" s="592">
        <f>INGRESOS!U45</f>
        <v>94500</v>
      </c>
      <c r="I14" s="592">
        <f>INGRESOS!V45</f>
        <v>94500</v>
      </c>
      <c r="J14" s="592">
        <f>INGRESOS!W45</f>
        <v>94500</v>
      </c>
      <c r="K14" s="592">
        <f>INGRESOS!X45</f>
        <v>94500</v>
      </c>
      <c r="L14" s="592">
        <f>INGRESOS!Y45</f>
        <v>94500</v>
      </c>
      <c r="M14" s="590"/>
      <c r="P14" s="681">
        <v>2018</v>
      </c>
      <c r="Q14" s="682">
        <f t="shared" si="3"/>
        <v>49955.230157210535</v>
      </c>
      <c r="R14" s="682">
        <f>+J44</f>
        <v>147327.52860461647</v>
      </c>
      <c r="S14" s="682">
        <f t="shared" si="1"/>
        <v>9105.808559504654</v>
      </c>
      <c r="T14" s="682">
        <f t="shared" si="2"/>
        <v>138221.7200451118</v>
      </c>
    </row>
    <row r="15" spans="1:20" ht="14.25" outlineLevel="1">
      <c r="A15" s="587" t="str">
        <f>INGRESOS!A46</f>
        <v>Eventos Empresarales</v>
      </c>
      <c r="B15" s="591"/>
      <c r="C15" s="592">
        <f>INGRESOS!P46</f>
        <v>45000</v>
      </c>
      <c r="D15" s="592">
        <f>INGRESOS!Q46</f>
        <v>90000</v>
      </c>
      <c r="E15" s="592">
        <f>INGRESOS!R46</f>
        <v>90000</v>
      </c>
      <c r="F15" s="592">
        <f>INGRESOS!S46</f>
        <v>90000</v>
      </c>
      <c r="G15" s="592">
        <f>INGRESOS!T46</f>
        <v>90000</v>
      </c>
      <c r="H15" s="592">
        <f>INGRESOS!U46</f>
        <v>94500</v>
      </c>
      <c r="I15" s="592">
        <f>INGRESOS!V46</f>
        <v>94500</v>
      </c>
      <c r="J15" s="592">
        <f>INGRESOS!W46</f>
        <v>94500</v>
      </c>
      <c r="K15" s="592">
        <f>INGRESOS!X46</f>
        <v>94500</v>
      </c>
      <c r="L15" s="592">
        <f>INGRESOS!Y46</f>
        <v>94500</v>
      </c>
      <c r="M15" s="590"/>
      <c r="P15" s="681">
        <v>2019</v>
      </c>
      <c r="Q15" s="682">
        <f t="shared" si="3"/>
        <v>-88266.48988790128</v>
      </c>
      <c r="R15" s="682">
        <f>+K44</f>
        <v>151022.33055022234</v>
      </c>
      <c r="S15" s="682">
        <f t="shared" si="1"/>
        <v>-16089.161367274193</v>
      </c>
      <c r="T15" s="682">
        <f>+R15-S15</f>
        <v>167111.49191749652</v>
      </c>
    </row>
    <row r="16" spans="1:20" ht="14.25" outlineLevel="1">
      <c r="A16" s="587" t="str">
        <f>INGRESOS!A47</f>
        <v>Eventos Religioso</v>
      </c>
      <c r="B16" s="591"/>
      <c r="C16" s="592">
        <f>INGRESOS!P47</f>
        <v>22500</v>
      </c>
      <c r="D16" s="592">
        <f>INGRESOS!Q47</f>
        <v>45000</v>
      </c>
      <c r="E16" s="592">
        <f>INGRESOS!R47</f>
        <v>45000</v>
      </c>
      <c r="F16" s="592">
        <f>INGRESOS!S47</f>
        <v>45000</v>
      </c>
      <c r="G16" s="592">
        <f>INGRESOS!T47</f>
        <v>45000</v>
      </c>
      <c r="H16" s="592">
        <f>INGRESOS!U47</f>
        <v>45000</v>
      </c>
      <c r="I16" s="592">
        <f>INGRESOS!V47</f>
        <v>45000</v>
      </c>
      <c r="J16" s="592">
        <f>INGRESOS!W47</f>
        <v>45000</v>
      </c>
      <c r="K16" s="592">
        <f>INGRESOS!X47</f>
        <v>45000</v>
      </c>
      <c r="L16" s="592">
        <f>INGRESOS!Y47</f>
        <v>45000</v>
      </c>
      <c r="M16" s="590"/>
      <c r="P16" s="681">
        <v>2020</v>
      </c>
      <c r="Q16" s="682">
        <f t="shared" si="3"/>
        <v>-255377.98180539778</v>
      </c>
      <c r="R16" s="682">
        <f>+L44</f>
        <v>593491.387566175</v>
      </c>
      <c r="S16" s="682">
        <f t="shared" si="1"/>
        <v>-46550.141102632144</v>
      </c>
      <c r="T16" s="682">
        <f t="shared" si="2"/>
        <v>640041.5286688071</v>
      </c>
    </row>
    <row r="17" spans="1:20" ht="14.25" outlineLevel="1">
      <c r="A17" s="587" t="str">
        <f>INGRESOS!A48</f>
        <v>Ingresos Publicidad</v>
      </c>
      <c r="B17" s="591"/>
      <c r="C17" s="592">
        <f>INGRESOS!P48</f>
        <v>144000</v>
      </c>
      <c r="D17" s="592">
        <f>INGRESOS!Q48</f>
        <v>144000</v>
      </c>
      <c r="E17" s="592">
        <f>INGRESOS!R48</f>
        <v>144000</v>
      </c>
      <c r="F17" s="592">
        <f>INGRESOS!S48</f>
        <v>144000</v>
      </c>
      <c r="G17" s="592">
        <f>INGRESOS!T48</f>
        <v>144000</v>
      </c>
      <c r="H17" s="592">
        <f>INGRESOS!U48</f>
        <v>144000</v>
      </c>
      <c r="I17" s="592">
        <f>INGRESOS!V48</f>
        <v>144000</v>
      </c>
      <c r="J17" s="592">
        <f>INGRESOS!W48</f>
        <v>144000</v>
      </c>
      <c r="K17" s="592">
        <f>INGRESOS!X48</f>
        <v>144000</v>
      </c>
      <c r="L17" s="592">
        <f>INGRESOS!Y48</f>
        <v>144000</v>
      </c>
      <c r="M17" s="590"/>
      <c r="P17" s="702"/>
      <c r="Q17" s="701"/>
      <c r="R17" s="701"/>
      <c r="S17" s="701"/>
      <c r="T17" s="701"/>
    </row>
    <row r="18" spans="1:13" ht="12.75">
      <c r="A18" s="586" t="s">
        <v>269</v>
      </c>
      <c r="B18" s="586"/>
      <c r="C18" s="589">
        <f>SUM(C19:C21)</f>
        <v>324965.778</v>
      </c>
      <c r="D18" s="589">
        <f aca="true" t="shared" si="4" ref="D18:L18">SUM(D19:D21)</f>
        <v>331464.19356000004</v>
      </c>
      <c r="E18" s="589">
        <f t="shared" si="4"/>
        <v>343985.2745112</v>
      </c>
      <c r="F18" s="589">
        <f t="shared" si="4"/>
        <v>357051.411935424</v>
      </c>
      <c r="G18" s="589">
        <f t="shared" si="4"/>
        <v>370688.2387048325</v>
      </c>
      <c r="H18" s="589">
        <f t="shared" si="4"/>
        <v>384922.6369361642</v>
      </c>
      <c r="I18" s="589">
        <f t="shared" si="4"/>
        <v>399782.7998049843</v>
      </c>
      <c r="J18" s="589">
        <f t="shared" si="4"/>
        <v>415298.2964376856</v>
      </c>
      <c r="K18" s="589">
        <f t="shared" si="4"/>
        <v>431500.14003487094</v>
      </c>
      <c r="L18" s="589">
        <f t="shared" si="4"/>
        <v>448420.85938742163</v>
      </c>
      <c r="M18" s="590">
        <f>SUM(C18:L18)</f>
        <v>3808079.6293125837</v>
      </c>
    </row>
    <row r="19" spans="1:13" ht="12.75" outlineLevel="1">
      <c r="A19" s="593" t="s">
        <v>367</v>
      </c>
      <c r="B19" s="593"/>
      <c r="C19" s="594">
        <f>'FLUJO  COSTOS DE PRESTACION'!D5-'FLUJO  COSTOS DE PRESTACION'!D16-'FLUJO  COSTOS DE PRESTACION'!D20</f>
        <v>132348.97799999997</v>
      </c>
      <c r="D19" s="594">
        <f>'FLUJO  COSTOS DE PRESTACION'!E5-'FLUJO  COSTOS DE PRESTACION'!E16-'FLUJO  COSTOS DE PRESTACION'!E20</f>
        <v>134995.95756000004</v>
      </c>
      <c r="E19" s="594">
        <f>'FLUJO  COSTOS DE PRESTACION'!F5-'FLUJO  COSTOS DE PRESTACION'!F16-'FLUJO  COSTOS DE PRESTACION'!F20</f>
        <v>137695.87671120002</v>
      </c>
      <c r="F19" s="594">
        <f>'FLUJO  COSTOS DE PRESTACION'!G5-'FLUJO  COSTOS DE PRESTACION'!G16-'FLUJO  COSTOS DE PRESTACION'!G20</f>
        <v>140449.794245424</v>
      </c>
      <c r="G19" s="594">
        <f>'FLUJO  COSTOS DE PRESTACION'!H5-'FLUJO  COSTOS DE PRESTACION'!H16-'FLUJO  COSTOS DE PRESTACION'!H20</f>
        <v>143258.7901303325</v>
      </c>
      <c r="H19" s="594">
        <f>'FLUJO  COSTOS DE PRESTACION'!I5-'FLUJO  COSTOS DE PRESTACION'!I16-'FLUJO  COSTOS DE PRESTACION'!I20</f>
        <v>146123.96593293917</v>
      </c>
      <c r="I19" s="594">
        <f>'FLUJO  COSTOS DE PRESTACION'!J5-'FLUJO  COSTOS DE PRESTACION'!J16-'FLUJO  COSTOS DE PRESTACION'!J20</f>
        <v>149046.44525159796</v>
      </c>
      <c r="J19" s="594">
        <f>'FLUJO  COSTOS DE PRESTACION'!K5-'FLUJO  COSTOS DE PRESTACION'!K16-'FLUJO  COSTOS DE PRESTACION'!K20</f>
        <v>152027.37415662996</v>
      </c>
      <c r="K19" s="594">
        <f>'FLUJO  COSTOS DE PRESTACION'!L5-'FLUJO  COSTOS DE PRESTACION'!L16-'FLUJO  COSTOS DE PRESTACION'!L20</f>
        <v>155067.92163976253</v>
      </c>
      <c r="L19" s="594">
        <f>'FLUJO  COSTOS DE PRESTACION'!M5-'FLUJO  COSTOS DE PRESTACION'!M16-'FLUJO  COSTOS DE PRESTACION'!M20</f>
        <v>158169.28007255774</v>
      </c>
      <c r="M19" s="590"/>
    </row>
    <row r="20" spans="1:13" ht="12.75" outlineLevel="1">
      <c r="A20" s="593" t="s">
        <v>242</v>
      </c>
      <c r="B20" s="593"/>
      <c r="C20" s="595">
        <f>'FLUJO  COSTOS DE PRESTACION'!D21-'FLUJO  COSTOS DE PRESTACION'!D24-'FLUJO  COSTOS DE PRESTACION'!D25</f>
        <v>59134.8</v>
      </c>
      <c r="D20" s="595">
        <f>'FLUJO  COSTOS DE PRESTACION'!E21-'FLUJO  COSTOS DE PRESTACION'!E24-'FLUJO  COSTOS DE PRESTACION'!E25</f>
        <v>60316.596000000005</v>
      </c>
      <c r="E20" s="595">
        <f>'FLUJO  COSTOS DE PRESTACION'!F21-'FLUJO  COSTOS DE PRESTACION'!F24-'FLUJO  COSTOS DE PRESTACION'!F25</f>
        <v>63330.175800000005</v>
      </c>
      <c r="F20" s="595">
        <f>'FLUJO  COSTOS DE PRESTACION'!G21-'FLUJO  COSTOS DE PRESTACION'!G24-'FLUJO  COSTOS DE PRESTACION'!G25</f>
        <v>66494.43459</v>
      </c>
      <c r="G20" s="595">
        <f>'FLUJO  COSTOS DE PRESTACION'!H21-'FLUJO  COSTOS DE PRESTACION'!H24-'FLUJO  COSTOS DE PRESTACION'!H25</f>
        <v>69816.9063195</v>
      </c>
      <c r="H20" s="595">
        <f>'FLUJO  COSTOS DE PRESTACION'!I21-'FLUJO  COSTOS DE PRESTACION'!I24-'FLUJO  COSTOS DE PRESTACION'!I25</f>
        <v>73305.50163547501</v>
      </c>
      <c r="I20" s="595">
        <f>'FLUJO  COSTOS DE PRESTACION'!J21-'FLUJO  COSTOS DE PRESTACION'!J24-'FLUJO  COSTOS DE PRESTACION'!J25</f>
        <v>76968.52671724877</v>
      </c>
      <c r="J20" s="595">
        <f>'FLUJO  COSTOS DE PRESTACION'!K21-'FLUJO  COSTOS DE PRESTACION'!K24-'FLUJO  COSTOS DE PRESTACION'!K25</f>
        <v>80814.70305311121</v>
      </c>
      <c r="K20" s="595">
        <f>'FLUJO  COSTOS DE PRESTACION'!L21-'FLUJO  COSTOS DE PRESTACION'!L24-'FLUJO  COSTOS DE PRESTACION'!L25</f>
        <v>84853.18820576678</v>
      </c>
      <c r="L20" s="595">
        <f>'FLUJO  COSTOS DE PRESTACION'!M21-'FLUJO  COSTOS DE PRESTACION'!M24-'FLUJO  COSTOS DE PRESTACION'!M25</f>
        <v>89093.59761605512</v>
      </c>
      <c r="M20" s="590"/>
    </row>
    <row r="21" spans="1:13" ht="12.75" outlineLevel="1">
      <c r="A21" s="596" t="s">
        <v>370</v>
      </c>
      <c r="B21" s="596"/>
      <c r="C21" s="595">
        <f>'FLUJO  COSTOS DE PRESTACION'!D29</f>
        <v>133482</v>
      </c>
      <c r="D21" s="595">
        <f>'FLUJO  COSTOS DE PRESTACION'!E29</f>
        <v>136151.64</v>
      </c>
      <c r="E21" s="595">
        <f>'FLUJO  COSTOS DE PRESTACION'!F29</f>
        <v>142959.222</v>
      </c>
      <c r="F21" s="595">
        <f>'FLUJO  COSTOS DE PRESTACION'!G29</f>
        <v>150107.18310000002</v>
      </c>
      <c r="G21" s="595">
        <f>'FLUJO  COSTOS DE PRESTACION'!H29</f>
        <v>157612.54225500004</v>
      </c>
      <c r="H21" s="595">
        <f>'FLUJO  COSTOS DE PRESTACION'!I29</f>
        <v>165493.16936775006</v>
      </c>
      <c r="I21" s="595">
        <f>'FLUJO  COSTOS DE PRESTACION'!J29</f>
        <v>173767.82783613756</v>
      </c>
      <c r="J21" s="595">
        <f>'FLUJO  COSTOS DE PRESTACION'!K29</f>
        <v>182456.21922794444</v>
      </c>
      <c r="K21" s="595">
        <f>'FLUJO  COSTOS DE PRESTACION'!L29</f>
        <v>191579.03018934166</v>
      </c>
      <c r="L21" s="595">
        <f>'FLUJO  COSTOS DE PRESTACION'!M29</f>
        <v>201157.98169880876</v>
      </c>
      <c r="M21" s="590"/>
    </row>
    <row r="22" spans="1:13" ht="12.75" outlineLevel="1">
      <c r="A22" s="597"/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0"/>
    </row>
    <row r="23" spans="1:13" ht="13.5" outlineLevel="1" thickBot="1">
      <c r="A23" s="666" t="s">
        <v>369</v>
      </c>
      <c r="B23" s="667"/>
      <c r="C23" s="667">
        <f aca="true" t="shared" si="5" ref="C23:L23">C8-C18</f>
        <v>213149.222</v>
      </c>
      <c r="D23" s="667">
        <f t="shared" si="5"/>
        <v>356517.30643999996</v>
      </c>
      <c r="E23" s="667">
        <f t="shared" si="5"/>
        <v>358099.7254888</v>
      </c>
      <c r="F23" s="667">
        <f t="shared" si="5"/>
        <v>359874.088064576</v>
      </c>
      <c r="G23" s="667">
        <f t="shared" si="5"/>
        <v>361814.7612951675</v>
      </c>
      <c r="H23" s="667">
        <f t="shared" si="5"/>
        <v>372995.3630638358</v>
      </c>
      <c r="I23" s="667">
        <f t="shared" si="5"/>
        <v>375387.7001950157</v>
      </c>
      <c r="J23" s="667">
        <f t="shared" si="5"/>
        <v>378029.2035623144</v>
      </c>
      <c r="K23" s="667">
        <f t="shared" si="5"/>
        <v>380922.35996512906</v>
      </c>
      <c r="L23" s="667">
        <f t="shared" si="5"/>
        <v>384101.64061257837</v>
      </c>
      <c r="M23" s="590"/>
    </row>
    <row r="24" spans="1:13" ht="13.5" outlineLevel="1" thickTop="1">
      <c r="A24" s="586"/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0"/>
    </row>
    <row r="25" spans="1:13" ht="12.75" outlineLevel="1">
      <c r="A25" s="599" t="s">
        <v>371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0"/>
    </row>
    <row r="26" spans="1:13" ht="12.75" outlineLevel="1">
      <c r="A26" s="586" t="s">
        <v>372</v>
      </c>
      <c r="B26" s="595">
        <f>SUM(B27:B28)</f>
        <v>410228.9772</v>
      </c>
      <c r="C26" s="589">
        <f>SUM(C27:C28)</f>
        <v>0</v>
      </c>
      <c r="D26" s="589">
        <f aca="true" t="shared" si="6" ref="D26:L26">SUM(D27:D28)</f>
        <v>0</v>
      </c>
      <c r="E26" s="589">
        <f t="shared" si="6"/>
        <v>0</v>
      </c>
      <c r="F26" s="589">
        <f t="shared" si="6"/>
        <v>0</v>
      </c>
      <c r="G26" s="589">
        <f t="shared" si="6"/>
        <v>0</v>
      </c>
      <c r="H26" s="589">
        <f t="shared" si="6"/>
        <v>0</v>
      </c>
      <c r="I26" s="589">
        <f t="shared" si="6"/>
        <v>0</v>
      </c>
      <c r="J26" s="589">
        <f t="shared" si="6"/>
        <v>0</v>
      </c>
      <c r="K26" s="589">
        <f t="shared" si="6"/>
        <v>0</v>
      </c>
      <c r="L26" s="589">
        <f t="shared" si="6"/>
        <v>0</v>
      </c>
      <c r="M26" s="590"/>
    </row>
    <row r="27" spans="1:13" ht="12.75" outlineLevel="1">
      <c r="A27" s="600" t="s">
        <v>470</v>
      </c>
      <c r="B27" s="595">
        <f>-'SERV. DEUDA'!D2</f>
        <v>410228.9772</v>
      </c>
      <c r="C27" s="595">
        <v>0</v>
      </c>
      <c r="D27" s="595">
        <v>0</v>
      </c>
      <c r="E27" s="595">
        <v>0</v>
      </c>
      <c r="F27" s="595">
        <v>0</v>
      </c>
      <c r="G27" s="595">
        <v>0</v>
      </c>
      <c r="H27" s="595">
        <v>0</v>
      </c>
      <c r="I27" s="595">
        <v>0</v>
      </c>
      <c r="J27" s="595">
        <v>0</v>
      </c>
      <c r="K27" s="595">
        <v>0</v>
      </c>
      <c r="L27" s="595">
        <v>0</v>
      </c>
      <c r="M27" s="590"/>
    </row>
    <row r="28" spans="1:17" ht="12.75" outlineLevel="1">
      <c r="A28" s="600"/>
      <c r="B28" s="595"/>
      <c r="C28" s="595">
        <v>0</v>
      </c>
      <c r="D28" s="595">
        <v>0</v>
      </c>
      <c r="E28" s="595">
        <v>0</v>
      </c>
      <c r="F28" s="595">
        <v>0</v>
      </c>
      <c r="G28" s="595">
        <v>0</v>
      </c>
      <c r="H28" s="595">
        <v>0</v>
      </c>
      <c r="I28" s="595">
        <v>0</v>
      </c>
      <c r="J28" s="595">
        <v>0</v>
      </c>
      <c r="K28" s="595">
        <v>0</v>
      </c>
      <c r="L28" s="595">
        <v>0</v>
      </c>
      <c r="M28" s="590"/>
      <c r="Q28" s="501"/>
    </row>
    <row r="29" spans="1:13" ht="12.75" outlineLevel="1">
      <c r="A29" s="600"/>
      <c r="B29" s="595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0"/>
    </row>
    <row r="30" spans="1:13" ht="12.75">
      <c r="A30" s="586" t="s">
        <v>373</v>
      </c>
      <c r="B30" s="601">
        <f>SUM(B31:B38)</f>
        <v>975747.5334794673</v>
      </c>
      <c r="C30" s="589">
        <f>SUM(C31:C34)</f>
        <v>79554.28955896222</v>
      </c>
      <c r="D30" s="589">
        <f>SUM(D31:D34)</f>
        <v>174808.2276917774</v>
      </c>
      <c r="E30" s="589">
        <f>SUM(E31:E34)</f>
        <v>226052.20089399986</v>
      </c>
      <c r="F30" s="589">
        <f aca="true" t="shared" si="7" ref="F30:L30">SUM(F31:F34)</f>
        <v>224652.4202014282</v>
      </c>
      <c r="G30" s="589">
        <f t="shared" si="7"/>
        <v>223341.55334268726</v>
      </c>
      <c r="H30" s="589">
        <f t="shared" si="7"/>
        <v>226970.58327861558</v>
      </c>
      <c r="I30" s="589">
        <f t="shared" si="7"/>
        <v>231637.86050460176</v>
      </c>
      <c r="J30" s="589">
        <f t="shared" si="7"/>
        <v>230701.67495769792</v>
      </c>
      <c r="K30" s="589">
        <f t="shared" si="7"/>
        <v>229900.02941490672</v>
      </c>
      <c r="L30" s="589">
        <f t="shared" si="7"/>
        <v>229251.3530464034</v>
      </c>
      <c r="M30" s="590">
        <f>SUM(C30:L30)</f>
        <v>2076870.1928910804</v>
      </c>
    </row>
    <row r="31" spans="1:12" ht="12.75" outlineLevel="1">
      <c r="A31" s="597" t="s">
        <v>368</v>
      </c>
      <c r="B31" s="598"/>
      <c r="C31" s="592">
        <f>-'SERV. DEUDA'!I13</f>
        <v>40370.01187680348</v>
      </c>
      <c r="D31" s="592">
        <f>-'SERV. DEUDA'!I17</f>
        <v>40370.01187680348</v>
      </c>
      <c r="E31" s="592">
        <f>-'SERV. DEUDA'!I21</f>
        <v>89756.28972007832</v>
      </c>
      <c r="F31" s="592">
        <f>-'SERV. DEUDA'!I25</f>
        <v>84710.0382354779</v>
      </c>
      <c r="G31" s="592">
        <f>-'SERV. DEUDA'!I29</f>
        <v>79663.78675087747</v>
      </c>
      <c r="H31" s="592">
        <f>-'SERV. DEUDA'!I33</f>
        <v>74617.53526627703</v>
      </c>
      <c r="I31" s="592">
        <f>-'SERV. DEUDA'!I37</f>
        <v>69571.2837816766</v>
      </c>
      <c r="J31" s="592">
        <f>-'SERV. DEUDA'!I41</f>
        <v>64525.03229707617</v>
      </c>
      <c r="K31" s="592">
        <f>-'SERV. DEUDA'!I45</f>
        <v>59478.780812475736</v>
      </c>
      <c r="L31" s="592">
        <f>-'SERV. DEUDA'!I49</f>
        <v>54432.5293278753</v>
      </c>
    </row>
    <row r="32" spans="1:12" ht="12.75" outlineLevel="1">
      <c r="A32" s="410" t="s">
        <v>375</v>
      </c>
      <c r="B32" s="614"/>
      <c r="C32" s="614">
        <f>'ESTADO DE PERDIDAS Y GANANCIAS'!C10</f>
        <v>16214.183868479478</v>
      </c>
      <c r="D32" s="614">
        <f>'ESTADO DE PERDIDAS Y GANANCIAS'!D10</f>
        <v>37719.39653447947</v>
      </c>
      <c r="E32" s="614">
        <f>'ESTADO DE PERDIDAS Y GANANCIAS'!E10</f>
        <v>38240.611037808245</v>
      </c>
      <c r="F32" s="614">
        <f>'ESTADO DE PERDIDAS Y GANANCIAS'!F10</f>
        <v>39263.70314686471</v>
      </c>
      <c r="G32" s="614">
        <f>'ESTADO DE PERDIDAS Y GANANCIAS'!G10</f>
        <v>40311.741854143496</v>
      </c>
      <c r="H32" s="614">
        <f>'ESTADO DE PERDIDAS Y GANANCIAS'!H10</f>
        <v>42745.7698421338</v>
      </c>
      <c r="I32" s="614">
        <f>'ESTADO DE PERDIDAS Y GANANCIAS'!I10</f>
        <v>45471.09938450086</v>
      </c>
      <c r="J32" s="614">
        <f>'ESTADO DE PERDIDAS Y GANANCIAS'!J10</f>
        <v>46624.26261228573</v>
      </c>
      <c r="K32" s="614">
        <f>'ESTADO DE PERDIDAS Y GANANCIAS'!K10</f>
        <v>47815.17379539798</v>
      </c>
      <c r="L32" s="614">
        <f>'ESTADO DE PERDIDAS Y GANANCIAS'!L10</f>
        <v>49049.00361520545</v>
      </c>
    </row>
    <row r="33" spans="1:12" ht="12.75" outlineLevel="1">
      <c r="A33" s="410" t="s">
        <v>374</v>
      </c>
      <c r="B33" s="615"/>
      <c r="C33" s="614">
        <f>'ESTADO DE PERDIDAS Y GANANCIAS'!C12</f>
        <v>22970.09381367926</v>
      </c>
      <c r="D33" s="614">
        <f>'ESTADO DE PERDIDAS Y GANANCIAS'!D12</f>
        <v>53435.81175717925</v>
      </c>
      <c r="E33" s="614">
        <f>'ESTADO DE PERDIDAS Y GANANCIAS'!E12</f>
        <v>54174.198970228346</v>
      </c>
      <c r="F33" s="614">
        <f>'ESTADO DE PERDIDAS Y GANANCIAS'!F12</f>
        <v>55623.57945805834</v>
      </c>
      <c r="G33" s="614">
        <f>'ESTADO DE PERDIDAS Y GANANCIAS'!G12</f>
        <v>57108.30096003662</v>
      </c>
      <c r="H33" s="614">
        <f>'ESTADO DE PERDIDAS Y GANANCIAS'!H12</f>
        <v>60556.50727635622</v>
      </c>
      <c r="I33" s="614">
        <f>'ESTADO DE PERDIDAS Y GANANCIAS'!I12</f>
        <v>64417.39079470956</v>
      </c>
      <c r="J33" s="614">
        <f>'ESTADO DE PERDIDAS Y GANANCIAS'!J12</f>
        <v>66051.03870073812</v>
      </c>
      <c r="K33" s="614">
        <f>'ESTADO DE PERDIDAS Y GANANCIAS'!K12</f>
        <v>67738.16287681382</v>
      </c>
      <c r="L33" s="614">
        <f>'ESTADO DE PERDIDAS Y GANANCIAS'!L12</f>
        <v>69486.08845487439</v>
      </c>
    </row>
    <row r="34" spans="1:12" ht="12.75" outlineLevel="1">
      <c r="A34" s="603" t="s">
        <v>376</v>
      </c>
      <c r="B34" s="614"/>
      <c r="C34" s="614">
        <f>'ESTADO DE PERDIDAS Y GANANCIAS'!C21</f>
        <v>0</v>
      </c>
      <c r="D34" s="614">
        <f>'ESTADO DE PERDIDAS Y GANANCIAS'!D21</f>
        <v>43283.007523315195</v>
      </c>
      <c r="E34" s="614">
        <f>'ESTADO DE PERDIDAS Y GANANCIAS'!E21</f>
        <v>43881.10116588496</v>
      </c>
      <c r="F34" s="614">
        <f>'ESTADO DE PERDIDAS Y GANANCIAS'!F21</f>
        <v>45055.09936102725</v>
      </c>
      <c r="G34" s="614">
        <f>'ESTADO DE PERDIDAS Y GANANCIAS'!G21</f>
        <v>46257.72377762966</v>
      </c>
      <c r="H34" s="614">
        <f>'ESTADO DE PERDIDAS Y GANANCIAS'!H21</f>
        <v>49050.77089384854</v>
      </c>
      <c r="I34" s="614">
        <f>'ESTADO DE PERDIDAS Y GANANCIAS'!I21</f>
        <v>52178.08654371474</v>
      </c>
      <c r="J34" s="614">
        <f>'ESTADO DE PERDIDAS Y GANANCIAS'!J21</f>
        <v>53501.341347597874</v>
      </c>
      <c r="K34" s="614">
        <f>'ESTADO DE PERDIDAS Y GANANCIAS'!K21</f>
        <v>54867.91193021919</v>
      </c>
      <c r="L34" s="614">
        <f>'ESTADO DE PERDIDAS Y GANANCIAS'!L21</f>
        <v>56283.73164844825</v>
      </c>
    </row>
    <row r="35" spans="1:12" ht="12.75" outlineLevel="1">
      <c r="A35" s="603"/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</row>
    <row r="36" spans="1:12" ht="12.75" outlineLevel="1">
      <c r="A36" s="604" t="s">
        <v>468</v>
      </c>
      <c r="B36" s="664">
        <f>INVERSIONES!E3</f>
        <v>895935.76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</row>
    <row r="37" spans="1:12" ht="12.75" outlineLevel="1">
      <c r="A37" s="604" t="s">
        <v>469</v>
      </c>
      <c r="B37" s="664">
        <f>INVERSIONES!E109</f>
        <v>64381.65</v>
      </c>
      <c r="C37" s="614"/>
      <c r="D37" s="614"/>
      <c r="E37" s="614"/>
      <c r="F37" s="614"/>
      <c r="G37" s="614"/>
      <c r="H37" s="614"/>
      <c r="I37" s="614"/>
      <c r="J37" s="614"/>
      <c r="K37" s="614"/>
      <c r="L37" s="614"/>
    </row>
    <row r="38" spans="1:12" ht="12.75" outlineLevel="1">
      <c r="A38" s="604" t="s">
        <v>209</v>
      </c>
      <c r="B38" s="664">
        <f>-'CAPITAL DE TRABAJO'!S11</f>
        <v>15430.123479467242</v>
      </c>
      <c r="C38" s="614"/>
      <c r="D38" s="614"/>
      <c r="E38" s="614"/>
      <c r="F38" s="614"/>
      <c r="G38" s="614"/>
      <c r="H38" s="614"/>
      <c r="I38" s="614"/>
      <c r="J38" s="614"/>
      <c r="K38" s="614"/>
      <c r="L38" s="614"/>
    </row>
    <row r="39" spans="1:12" ht="12.75" outlineLevel="1">
      <c r="A39" s="604" t="s">
        <v>535</v>
      </c>
      <c r="B39" s="615"/>
      <c r="C39" s="614"/>
      <c r="D39" s="614"/>
      <c r="E39" s="614"/>
      <c r="F39" s="614"/>
      <c r="G39" s="614"/>
      <c r="H39" s="614"/>
      <c r="I39" s="614"/>
      <c r="J39" s="614"/>
      <c r="K39" s="614"/>
      <c r="L39" s="614">
        <f>+'VALOR DESECHO'!G23+'VALOR DESECHO'!G47+'VALOR DESECHO'!G85+'VALOR DESECHO'!G96</f>
        <v>438641.10000000003</v>
      </c>
    </row>
    <row r="40" spans="1:12" ht="12.75" outlineLevel="1">
      <c r="A40" s="603"/>
      <c r="B40" s="602"/>
      <c r="C40" s="605"/>
      <c r="D40" s="605"/>
      <c r="E40" s="605"/>
      <c r="F40" s="605"/>
      <c r="G40" s="605"/>
      <c r="H40" s="605"/>
      <c r="I40" s="605"/>
      <c r="J40" s="605"/>
      <c r="K40" s="605"/>
      <c r="L40" s="605"/>
    </row>
    <row r="41" spans="1:12" ht="13.5" outlineLevel="1" thickBot="1">
      <c r="A41" s="666" t="s">
        <v>371</v>
      </c>
      <c r="B41" s="668">
        <f>B26-B30</f>
        <v>-565518.5562794672</v>
      </c>
      <c r="C41" s="668">
        <f>C26-C30</f>
        <v>-79554.28955896222</v>
      </c>
      <c r="D41" s="668">
        <f aca="true" t="shared" si="8" ref="D41:K41">D26-D30</f>
        <v>-174808.2276917774</v>
      </c>
      <c r="E41" s="668">
        <f t="shared" si="8"/>
        <v>-226052.20089399986</v>
      </c>
      <c r="F41" s="668">
        <f t="shared" si="8"/>
        <v>-224652.4202014282</v>
      </c>
      <c r="G41" s="668">
        <f t="shared" si="8"/>
        <v>-223341.55334268726</v>
      </c>
      <c r="H41" s="668">
        <f t="shared" si="8"/>
        <v>-226970.58327861558</v>
      </c>
      <c r="I41" s="668">
        <f t="shared" si="8"/>
        <v>-231637.86050460176</v>
      </c>
      <c r="J41" s="668">
        <f t="shared" si="8"/>
        <v>-230701.67495769792</v>
      </c>
      <c r="K41" s="668">
        <f t="shared" si="8"/>
        <v>-229900.02941490672</v>
      </c>
      <c r="L41" s="668">
        <f>L26-L30+L39</f>
        <v>209389.74695359662</v>
      </c>
    </row>
    <row r="42" spans="1:12" ht="13.5" outlineLevel="1" thickTop="1">
      <c r="A42" s="586"/>
      <c r="B42" s="606"/>
      <c r="C42" s="602"/>
      <c r="D42" s="602"/>
      <c r="E42" s="602"/>
      <c r="F42" s="602"/>
      <c r="G42" s="602"/>
      <c r="H42" s="602"/>
      <c r="I42" s="602"/>
      <c r="J42" s="602"/>
      <c r="K42" s="602"/>
      <c r="L42" s="602"/>
    </row>
    <row r="43" spans="1:12" ht="14.25" outlineLevel="1">
      <c r="A43" s="580"/>
      <c r="B43" s="606"/>
      <c r="C43" s="602"/>
      <c r="D43" s="602"/>
      <c r="E43" s="602"/>
      <c r="F43" s="602"/>
      <c r="G43" s="602"/>
      <c r="H43" s="602"/>
      <c r="I43" s="665"/>
      <c r="J43" s="602"/>
      <c r="K43" s="602"/>
      <c r="L43" s="602"/>
    </row>
    <row r="44" spans="1:12" ht="12.75" outlineLevel="1">
      <c r="A44" s="669" t="s">
        <v>377</v>
      </c>
      <c r="B44" s="670">
        <f>B41</f>
        <v>-565518.5562794672</v>
      </c>
      <c r="C44" s="670">
        <f aca="true" t="shared" si="9" ref="C44:L44">C23+C41</f>
        <v>133594.9324410378</v>
      </c>
      <c r="D44" s="670">
        <f t="shared" si="9"/>
        <v>181709.07874822256</v>
      </c>
      <c r="E44" s="670">
        <f t="shared" si="9"/>
        <v>132047.5245948001</v>
      </c>
      <c r="F44" s="670">
        <f t="shared" si="9"/>
        <v>135221.66786314777</v>
      </c>
      <c r="G44" s="670">
        <f t="shared" si="9"/>
        <v>138473.20795248024</v>
      </c>
      <c r="H44" s="670">
        <f t="shared" si="9"/>
        <v>146024.7797852202</v>
      </c>
      <c r="I44" s="670">
        <f t="shared" si="9"/>
        <v>143749.83969041394</v>
      </c>
      <c r="J44" s="670">
        <f t="shared" si="9"/>
        <v>147327.52860461647</v>
      </c>
      <c r="K44" s="670">
        <f t="shared" si="9"/>
        <v>151022.33055022234</v>
      </c>
      <c r="L44" s="671">
        <f t="shared" si="9"/>
        <v>593491.387566175</v>
      </c>
    </row>
    <row r="45" spans="1:12" ht="12.75" outlineLevel="1">
      <c r="A45" s="607"/>
      <c r="B45" s="606"/>
      <c r="C45" s="602"/>
      <c r="D45" s="602"/>
      <c r="E45" s="602"/>
      <c r="F45" s="602"/>
      <c r="G45" s="602"/>
      <c r="H45" s="602"/>
      <c r="I45" s="602"/>
      <c r="J45" s="602"/>
      <c r="K45" s="602"/>
      <c r="L45" s="602"/>
    </row>
    <row r="46" spans="1:12" ht="12.75" hidden="1" outlineLevel="1">
      <c r="A46" s="608" t="s">
        <v>273</v>
      </c>
      <c r="B46" s="609">
        <v>0</v>
      </c>
      <c r="C46" s="609">
        <f>B48</f>
        <v>565518.5562794672</v>
      </c>
      <c r="D46" s="609">
        <f>+C48</f>
        <v>747227.6350276897</v>
      </c>
      <c r="E46" s="609">
        <f>+D48</f>
        <v>879275.1596224898</v>
      </c>
      <c r="F46" s="609">
        <f>+E48</f>
        <v>1014496.8274856376</v>
      </c>
      <c r="G46" s="609">
        <f>+F48</f>
        <v>1152970.0354381178</v>
      </c>
      <c r="H46" s="602">
        <f>G48</f>
        <v>1298994.815223338</v>
      </c>
      <c r="I46" s="602">
        <f>H48</f>
        <v>1445019.5950085584</v>
      </c>
      <c r="J46" s="602">
        <f>I48</f>
        <v>1588769.4346989724</v>
      </c>
      <c r="K46" s="602">
        <f>J48</f>
        <v>1736096.9633035888</v>
      </c>
      <c r="L46" s="602">
        <f>K48</f>
        <v>1887119.2938538112</v>
      </c>
    </row>
    <row r="47" spans="1:12" ht="12.75" hidden="1" outlineLevel="1">
      <c r="A47" s="608"/>
      <c r="B47" s="610"/>
      <c r="C47" s="611"/>
      <c r="D47" s="611"/>
      <c r="E47" s="611"/>
      <c r="F47" s="611"/>
      <c r="G47" s="611"/>
      <c r="H47" s="611"/>
      <c r="I47" s="611"/>
      <c r="J47" s="611"/>
      <c r="K47" s="611"/>
      <c r="L47" s="611"/>
    </row>
    <row r="48" spans="1:12" ht="12.75" hidden="1" outlineLevel="1">
      <c r="A48" s="608" t="s">
        <v>274</v>
      </c>
      <c r="B48" s="602">
        <f>-B44</f>
        <v>565518.5562794672</v>
      </c>
      <c r="C48" s="602">
        <f>+D44+C46</f>
        <v>747227.6350276897</v>
      </c>
      <c r="D48" s="602">
        <f>+E44+D46</f>
        <v>879275.1596224898</v>
      </c>
      <c r="E48" s="602">
        <f>+F44+E46</f>
        <v>1014496.8274856376</v>
      </c>
      <c r="F48" s="602">
        <f>+G44+F46</f>
        <v>1152970.0354381178</v>
      </c>
      <c r="G48" s="602">
        <f>+H44+G46</f>
        <v>1298994.815223338</v>
      </c>
      <c r="H48" s="602">
        <f>SUM(H44:H47)</f>
        <v>1445019.5950085584</v>
      </c>
      <c r="I48" s="602">
        <f>SUM(I44:I47)</f>
        <v>1588769.4346989724</v>
      </c>
      <c r="J48" s="602">
        <f>SUM(J44:J47)</f>
        <v>1736096.9633035888</v>
      </c>
      <c r="K48" s="602">
        <f>SUM(K44:K47)</f>
        <v>1887119.2938538112</v>
      </c>
      <c r="L48" s="602">
        <f>SUM(L44:L47)</f>
        <v>2480610.6814199863</v>
      </c>
    </row>
    <row r="49" spans="1:12" ht="12.75" hidden="1" outlineLevel="1">
      <c r="A49" s="586"/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</row>
    <row r="50" spans="1:12" ht="12.75" outlineLevel="1">
      <c r="A50" s="612"/>
      <c r="B50" s="612"/>
      <c r="C50" s="612"/>
      <c r="F50" s="612"/>
      <c r="G50" s="612"/>
      <c r="H50" s="612"/>
      <c r="I50" s="612"/>
      <c r="J50" s="612"/>
      <c r="K50" s="612"/>
      <c r="L50" s="612"/>
    </row>
    <row r="51" spans="4:5" ht="12.75">
      <c r="D51" s="675" t="s">
        <v>561</v>
      </c>
      <c r="E51" s="672">
        <f>WACC!M10</f>
        <v>0.18227938357702317</v>
      </c>
    </row>
    <row r="52" spans="4:6" ht="12.75">
      <c r="D52" s="676" t="s">
        <v>393</v>
      </c>
      <c r="E52" s="674">
        <f>NPV(WACC!M10,'FLUJO DE CAJA'!C44:L44)+B44</f>
        <v>167812.91764485964</v>
      </c>
      <c r="F52" s="822">
        <f>E53-E51</f>
        <v>0.06934149456622596</v>
      </c>
    </row>
    <row r="53" spans="1:13" ht="12.75">
      <c r="A53" s="501"/>
      <c r="D53" s="677" t="s">
        <v>266</v>
      </c>
      <c r="E53" s="673">
        <f>IRR(B44:L44,0.1)</f>
        <v>0.2516208781432491</v>
      </c>
      <c r="M53" s="613">
        <f>M8/(M18+M30)</f>
        <v>1.2487737741233829</v>
      </c>
    </row>
    <row r="56" spans="1:5" ht="12.75">
      <c r="A56" s="410" t="s">
        <v>562</v>
      </c>
      <c r="B56" s="410" t="s">
        <v>563</v>
      </c>
      <c r="C56" s="410" t="s">
        <v>363</v>
      </c>
      <c r="D56" s="410" t="s">
        <v>564</v>
      </c>
      <c r="E56" s="410" t="s">
        <v>565</v>
      </c>
    </row>
  </sheetData>
  <sheetProtection/>
  <mergeCells count="2">
    <mergeCell ref="B1:L1"/>
    <mergeCell ref="B2:L4"/>
  </mergeCells>
  <printOptions/>
  <pageMargins left="0.75" right="0.75" top="1" bottom="1" header="0" footer="0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L49"/>
  <sheetViews>
    <sheetView zoomScale="75" zoomScaleNormal="75" zoomScalePageLayoutView="0" workbookViewId="0" topLeftCell="A13">
      <selection activeCell="N55" sqref="N55"/>
    </sheetView>
  </sheetViews>
  <sheetFormatPr defaultColWidth="11.421875" defaultRowHeight="12.75" outlineLevelRow="1"/>
  <cols>
    <col min="1" max="1" width="29.28125" style="0" customWidth="1"/>
    <col min="2" max="2" width="13.28125" style="0" bestFit="1" customWidth="1"/>
    <col min="3" max="8" width="13.140625" style="0" bestFit="1" customWidth="1"/>
    <col min="9" max="9" width="13.28125" style="0" bestFit="1" customWidth="1"/>
    <col min="10" max="12" width="15.140625" style="0" bestFit="1" customWidth="1"/>
  </cols>
  <sheetData>
    <row r="4" spans="1:12" ht="12.75">
      <c r="A4" s="324"/>
      <c r="B4" s="885" t="s">
        <v>378</v>
      </c>
      <c r="C4" s="885"/>
      <c r="D4" s="885"/>
      <c r="E4" s="885"/>
      <c r="F4" s="885"/>
      <c r="G4" s="885"/>
      <c r="H4" s="885"/>
      <c r="I4" s="885"/>
      <c r="J4" s="885"/>
      <c r="K4" s="885"/>
      <c r="L4" s="885"/>
    </row>
    <row r="5" spans="1:12" ht="14.25">
      <c r="A5" s="325"/>
      <c r="B5" s="886" t="s">
        <v>379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</row>
    <row r="6" spans="1:12" ht="18">
      <c r="A6" s="326"/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</row>
    <row r="7" spans="1:12" ht="18.75" thickBot="1">
      <c r="A7" s="326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</row>
    <row r="8" spans="1:12" ht="15.75">
      <c r="A8" s="327"/>
      <c r="B8" s="328"/>
      <c r="C8" s="328"/>
      <c r="D8" s="328"/>
      <c r="E8" s="328"/>
      <c r="F8" s="328"/>
      <c r="G8" s="328"/>
      <c r="H8" s="328"/>
      <c r="I8" s="329"/>
      <c r="J8" s="328"/>
      <c r="K8" s="328"/>
      <c r="L8" s="328"/>
    </row>
    <row r="9" spans="1:12" ht="15">
      <c r="A9" s="344" t="s">
        <v>380</v>
      </c>
      <c r="B9" s="330" t="s">
        <v>364</v>
      </c>
      <c r="C9" s="254">
        <v>2010</v>
      </c>
      <c r="D9" s="254">
        <v>2011</v>
      </c>
      <c r="E9" s="254">
        <v>2012</v>
      </c>
      <c r="F9" s="254">
        <v>2013</v>
      </c>
      <c r="G9" s="254">
        <v>2014</v>
      </c>
      <c r="H9" s="254">
        <v>2015</v>
      </c>
      <c r="I9" s="254">
        <v>2016</v>
      </c>
      <c r="J9" s="254">
        <v>2017</v>
      </c>
      <c r="K9" s="254">
        <v>2018</v>
      </c>
      <c r="L9" s="254">
        <v>2019</v>
      </c>
    </row>
    <row r="10" spans="2:12" ht="14.25">
      <c r="B10" s="344"/>
      <c r="C10" s="345"/>
      <c r="D10" s="345"/>
      <c r="E10" s="345"/>
      <c r="F10" s="346"/>
      <c r="G10" s="346"/>
      <c r="H10" s="346"/>
      <c r="I10" s="345"/>
      <c r="J10" s="345"/>
      <c r="K10" s="345"/>
      <c r="L10" s="346"/>
    </row>
    <row r="11" spans="1:12" ht="12.75">
      <c r="A11" s="347" t="s">
        <v>285</v>
      </c>
      <c r="B11" s="332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2" ht="12.75">
      <c r="A12" s="347" t="s">
        <v>275</v>
      </c>
      <c r="B12" s="348"/>
      <c r="C12" s="335"/>
      <c r="D12" s="335"/>
      <c r="E12" s="335"/>
      <c r="F12" s="335"/>
      <c r="G12" s="335"/>
      <c r="H12" s="335"/>
      <c r="I12" s="335"/>
      <c r="J12" s="335"/>
      <c r="K12" s="335"/>
      <c r="L12" s="335"/>
    </row>
    <row r="13" spans="1:12" ht="12.75">
      <c r="A13" s="348" t="s">
        <v>381</v>
      </c>
      <c r="B13" s="366">
        <f>'FLUJO DE CAJA'!B48</f>
        <v>565518.5562794672</v>
      </c>
      <c r="C13" s="335">
        <f>'FLUJO DE CAJA'!C48</f>
        <v>747227.6350276897</v>
      </c>
      <c r="D13" s="335">
        <f>'FLUJO DE CAJA'!D48</f>
        <v>879275.1596224898</v>
      </c>
      <c r="E13" s="335">
        <f>'FLUJO DE CAJA'!E48</f>
        <v>1014496.8274856376</v>
      </c>
      <c r="F13" s="335">
        <f>'FLUJO DE CAJA'!F48</f>
        <v>1152970.0354381178</v>
      </c>
      <c r="G13" s="335">
        <f>'FLUJO DE CAJA'!G48</f>
        <v>1298994.815223338</v>
      </c>
      <c r="H13" s="335">
        <f>'FLUJO DE CAJA'!H48</f>
        <v>1445019.5950085584</v>
      </c>
      <c r="I13" s="335">
        <f>'FLUJO DE CAJA'!I48</f>
        <v>1588769.4346989724</v>
      </c>
      <c r="J13" s="335">
        <f>'FLUJO DE CAJA'!J48</f>
        <v>1736096.9633035888</v>
      </c>
      <c r="K13" s="335">
        <f>'FLUJO DE CAJA'!K48</f>
        <v>1887119.2938538112</v>
      </c>
      <c r="L13" s="335">
        <f>'FLUJO DE CAJA'!L48</f>
        <v>2480610.6814199863</v>
      </c>
    </row>
    <row r="14" spans="1:12" ht="12.75">
      <c r="A14" s="344" t="s">
        <v>382</v>
      </c>
      <c r="B14" s="347"/>
      <c r="C14" s="341">
        <f aca="true" t="shared" si="0" ref="C14:L14">C13</f>
        <v>747227.6350276897</v>
      </c>
      <c r="D14" s="341">
        <f t="shared" si="0"/>
        <v>879275.1596224898</v>
      </c>
      <c r="E14" s="341">
        <f t="shared" si="0"/>
        <v>1014496.8274856376</v>
      </c>
      <c r="F14" s="341">
        <f t="shared" si="0"/>
        <v>1152970.0354381178</v>
      </c>
      <c r="G14" s="341">
        <f t="shared" si="0"/>
        <v>1298994.815223338</v>
      </c>
      <c r="H14" s="341">
        <f t="shared" si="0"/>
        <v>1445019.5950085584</v>
      </c>
      <c r="I14" s="341">
        <f t="shared" si="0"/>
        <v>1588769.4346989724</v>
      </c>
      <c r="J14" s="341">
        <f t="shared" si="0"/>
        <v>1736096.9633035888</v>
      </c>
      <c r="K14" s="341">
        <f t="shared" si="0"/>
        <v>1887119.2938538112</v>
      </c>
      <c r="L14" s="341">
        <f t="shared" si="0"/>
        <v>2480610.6814199863</v>
      </c>
    </row>
    <row r="15" spans="1:12" ht="12.75" outlineLevel="1">
      <c r="A15" s="344"/>
      <c r="B15" s="347"/>
      <c r="C15" s="341"/>
      <c r="D15" s="341"/>
      <c r="E15" s="341"/>
      <c r="F15" s="341"/>
      <c r="G15" s="341"/>
      <c r="H15" s="341"/>
      <c r="I15" s="341"/>
      <c r="J15" s="341"/>
      <c r="K15" s="341"/>
      <c r="L15" s="341"/>
    </row>
    <row r="16" spans="1:12" ht="12.75" outlineLevel="1">
      <c r="A16" s="344" t="s">
        <v>276</v>
      </c>
      <c r="B16" s="335">
        <v>686874.18</v>
      </c>
      <c r="C16" s="335">
        <v>686874.18</v>
      </c>
      <c r="D16" s="335">
        <v>686874.18</v>
      </c>
      <c r="E16" s="335">
        <v>686874.18</v>
      </c>
      <c r="F16" s="335">
        <v>686874.18</v>
      </c>
      <c r="G16" s="335">
        <v>686874.18</v>
      </c>
      <c r="H16" s="335">
        <v>686874.18</v>
      </c>
      <c r="I16" s="335">
        <v>686874.18</v>
      </c>
      <c r="J16" s="335">
        <v>686874.18</v>
      </c>
      <c r="K16" s="335">
        <v>686874.18</v>
      </c>
      <c r="L16" s="335">
        <v>686874.18</v>
      </c>
    </row>
    <row r="17" spans="1:12" ht="12.75" outlineLevel="1">
      <c r="A17" s="344" t="s">
        <v>277</v>
      </c>
      <c r="B17" s="335">
        <v>117669.34</v>
      </c>
      <c r="C17" s="335">
        <v>117669.34</v>
      </c>
      <c r="D17" s="335">
        <v>117669.34</v>
      </c>
      <c r="E17" s="335">
        <v>117669.34</v>
      </c>
      <c r="F17" s="335">
        <v>117669.34</v>
      </c>
      <c r="G17" s="335">
        <v>117669.34</v>
      </c>
      <c r="H17" s="335">
        <v>117669.34</v>
      </c>
      <c r="I17" s="335">
        <v>117669.34</v>
      </c>
      <c r="J17" s="335">
        <v>117669.34</v>
      </c>
      <c r="K17" s="335">
        <v>117669.34</v>
      </c>
      <c r="L17" s="335">
        <v>117669.34</v>
      </c>
    </row>
    <row r="18" spans="1:12" ht="12.75" outlineLevel="1">
      <c r="A18" s="344" t="s">
        <v>390</v>
      </c>
      <c r="B18" s="336">
        <v>17919.5</v>
      </c>
      <c r="C18" s="336">
        <v>17919.5</v>
      </c>
      <c r="D18" s="336">
        <v>17919.5</v>
      </c>
      <c r="E18" s="336">
        <v>17919.5</v>
      </c>
      <c r="F18" s="336">
        <v>17919.5</v>
      </c>
      <c r="G18" s="336">
        <v>17919.5</v>
      </c>
      <c r="H18" s="336">
        <v>17919.5</v>
      </c>
      <c r="I18" s="336">
        <v>17919.5</v>
      </c>
      <c r="J18" s="336">
        <v>17919.5</v>
      </c>
      <c r="K18" s="336">
        <v>17919.5</v>
      </c>
      <c r="L18" s="336">
        <v>17919.5</v>
      </c>
    </row>
    <row r="19" spans="1:12" ht="12.75" outlineLevel="1">
      <c r="A19" s="363" t="s">
        <v>114</v>
      </c>
      <c r="B19" s="333">
        <f>SUM(B16:B18)</f>
        <v>822463.02</v>
      </c>
      <c r="C19" s="333">
        <f>SUM(C16:C18)</f>
        <v>822463.02</v>
      </c>
      <c r="D19" s="333">
        <f aca="true" t="shared" si="1" ref="D19:L19">SUM(D16:D18)</f>
        <v>822463.02</v>
      </c>
      <c r="E19" s="333">
        <f t="shared" si="1"/>
        <v>822463.02</v>
      </c>
      <c r="F19" s="333">
        <f t="shared" si="1"/>
        <v>822463.02</v>
      </c>
      <c r="G19" s="333">
        <f t="shared" si="1"/>
        <v>822463.02</v>
      </c>
      <c r="H19" s="333">
        <f t="shared" si="1"/>
        <v>822463.02</v>
      </c>
      <c r="I19" s="333">
        <f t="shared" si="1"/>
        <v>822463.02</v>
      </c>
      <c r="J19" s="333">
        <f t="shared" si="1"/>
        <v>822463.02</v>
      </c>
      <c r="K19" s="333">
        <f t="shared" si="1"/>
        <v>822463.02</v>
      </c>
      <c r="L19" s="333">
        <f t="shared" si="1"/>
        <v>822463.02</v>
      </c>
    </row>
    <row r="20" spans="1:12" ht="12.75" outlineLevel="1">
      <c r="A20" s="350" t="s">
        <v>383</v>
      </c>
      <c r="B20" s="364"/>
      <c r="C20" s="334">
        <f>'COSTOS DE PRESTACION'!E46*12</f>
        <v>17397.600000000002</v>
      </c>
      <c r="D20" s="334">
        <f>+C20</f>
        <v>17397.600000000002</v>
      </c>
      <c r="E20" s="334">
        <f aca="true" t="shared" si="2" ref="E20:L20">+D20</f>
        <v>17397.600000000002</v>
      </c>
      <c r="F20" s="334">
        <f t="shared" si="2"/>
        <v>17397.600000000002</v>
      </c>
      <c r="G20" s="334">
        <f t="shared" si="2"/>
        <v>17397.600000000002</v>
      </c>
      <c r="H20" s="334">
        <f t="shared" si="2"/>
        <v>17397.600000000002</v>
      </c>
      <c r="I20" s="334">
        <f t="shared" si="2"/>
        <v>17397.600000000002</v>
      </c>
      <c r="J20" s="334">
        <f t="shared" si="2"/>
        <v>17397.600000000002</v>
      </c>
      <c r="K20" s="334">
        <f t="shared" si="2"/>
        <v>17397.600000000002</v>
      </c>
      <c r="L20" s="334">
        <f t="shared" si="2"/>
        <v>17397.600000000002</v>
      </c>
    </row>
    <row r="21" spans="1:12" ht="12.75" outlineLevel="1">
      <c r="A21" s="350" t="s">
        <v>384</v>
      </c>
      <c r="B21" s="351"/>
      <c r="C21" s="335">
        <f>'COSTOS DE PRESTACION'!E47*12</f>
        <v>3296.2760000000007</v>
      </c>
      <c r="D21" s="334">
        <f>+C21</f>
        <v>3296.2760000000007</v>
      </c>
      <c r="E21" s="334">
        <f aca="true" t="shared" si="3" ref="E21:L21">+D21</f>
        <v>3296.2760000000007</v>
      </c>
      <c r="F21" s="334">
        <f t="shared" si="3"/>
        <v>3296.2760000000007</v>
      </c>
      <c r="G21" s="334">
        <f t="shared" si="3"/>
        <v>3296.2760000000007</v>
      </c>
      <c r="H21" s="334">
        <v>0</v>
      </c>
      <c r="I21" s="334">
        <f t="shared" si="3"/>
        <v>0</v>
      </c>
      <c r="J21" s="334">
        <f t="shared" si="3"/>
        <v>0</v>
      </c>
      <c r="K21" s="334">
        <f t="shared" si="3"/>
        <v>0</v>
      </c>
      <c r="L21" s="334">
        <f t="shared" si="3"/>
        <v>0</v>
      </c>
    </row>
    <row r="22" spans="1:12" ht="12.75" outlineLevel="1">
      <c r="A22" s="350" t="s">
        <v>385</v>
      </c>
      <c r="B22" s="359"/>
      <c r="C22" s="336">
        <f>'COSTOS DE PRESTACION'!E48*12</f>
        <v>3600</v>
      </c>
      <c r="D22" s="334">
        <f>+C22</f>
        <v>3600</v>
      </c>
      <c r="E22" s="334">
        <f aca="true" t="shared" si="4" ref="E22:L22">+D22</f>
        <v>3600</v>
      </c>
      <c r="F22" s="334">
        <f t="shared" si="4"/>
        <v>3600</v>
      </c>
      <c r="G22" s="334">
        <f t="shared" si="4"/>
        <v>3600</v>
      </c>
      <c r="H22" s="334">
        <v>0</v>
      </c>
      <c r="I22" s="334">
        <f t="shared" si="4"/>
        <v>0</v>
      </c>
      <c r="J22" s="334">
        <f t="shared" si="4"/>
        <v>0</v>
      </c>
      <c r="K22" s="334">
        <f t="shared" si="4"/>
        <v>0</v>
      </c>
      <c r="L22" s="334">
        <f t="shared" si="4"/>
        <v>0</v>
      </c>
    </row>
    <row r="23" spans="1:12" ht="13.5" outlineLevel="1" thickBot="1">
      <c r="A23" s="352" t="s">
        <v>386</v>
      </c>
      <c r="B23" s="379">
        <f>B19</f>
        <v>822463.02</v>
      </c>
      <c r="C23" s="360">
        <f>SUM(C20:C22)</f>
        <v>24293.876000000004</v>
      </c>
      <c r="D23" s="360">
        <f aca="true" t="shared" si="5" ref="D23:L23">SUM(D20:D22)</f>
        <v>24293.876000000004</v>
      </c>
      <c r="E23" s="360">
        <f t="shared" si="5"/>
        <v>24293.876000000004</v>
      </c>
      <c r="F23" s="360">
        <f t="shared" si="5"/>
        <v>24293.876000000004</v>
      </c>
      <c r="G23" s="360">
        <f t="shared" si="5"/>
        <v>24293.876000000004</v>
      </c>
      <c r="H23" s="360">
        <f t="shared" si="5"/>
        <v>17397.600000000002</v>
      </c>
      <c r="I23" s="360">
        <f t="shared" si="5"/>
        <v>17397.600000000002</v>
      </c>
      <c r="J23" s="360">
        <f t="shared" si="5"/>
        <v>17397.600000000002</v>
      </c>
      <c r="K23" s="360">
        <f t="shared" si="5"/>
        <v>17397.600000000002</v>
      </c>
      <c r="L23" s="360">
        <f t="shared" si="5"/>
        <v>17397.600000000002</v>
      </c>
    </row>
    <row r="24" spans="1:12" ht="12.75" outlineLevel="1">
      <c r="A24" s="371"/>
      <c r="B24" s="372"/>
      <c r="C24" s="343"/>
      <c r="D24" s="343"/>
      <c r="E24" s="343"/>
      <c r="F24" s="343"/>
      <c r="G24" s="343"/>
      <c r="H24" s="343"/>
      <c r="I24" s="343"/>
      <c r="J24" s="343"/>
      <c r="K24" s="343"/>
      <c r="L24" s="343"/>
    </row>
    <row r="25" spans="1:12" ht="15.75" outlineLevel="1" thickBot="1">
      <c r="A25" s="375" t="s">
        <v>322</v>
      </c>
      <c r="B25" s="376">
        <f>B13+B19</f>
        <v>1387981.5762794672</v>
      </c>
      <c r="C25" s="377">
        <f>C19+C14-C23</f>
        <v>1545396.77902769</v>
      </c>
      <c r="D25" s="377">
        <f aca="true" t="shared" si="6" ref="D25:L25">D19+D14-D23</f>
        <v>1677444.30362249</v>
      </c>
      <c r="E25" s="377">
        <f t="shared" si="6"/>
        <v>1812665.9714856378</v>
      </c>
      <c r="F25" s="377">
        <f t="shared" si="6"/>
        <v>1951139.179438118</v>
      </c>
      <c r="G25" s="377">
        <f t="shared" si="6"/>
        <v>2097163.959223338</v>
      </c>
      <c r="H25" s="377">
        <f t="shared" si="6"/>
        <v>2250085.015008558</v>
      </c>
      <c r="I25" s="377">
        <f t="shared" si="6"/>
        <v>2393834.8546989723</v>
      </c>
      <c r="J25" s="377">
        <f t="shared" si="6"/>
        <v>2541162.3833035887</v>
      </c>
      <c r="K25" s="377">
        <f t="shared" si="6"/>
        <v>2692184.7138538114</v>
      </c>
      <c r="L25" s="377">
        <f t="shared" si="6"/>
        <v>3285676.101419986</v>
      </c>
    </row>
    <row r="26" spans="1:12" ht="12.75" outlineLevel="1">
      <c r="A26" s="373"/>
      <c r="B26" s="364"/>
      <c r="C26" s="334"/>
      <c r="D26" s="334"/>
      <c r="E26" s="374"/>
      <c r="F26" s="374"/>
      <c r="G26" s="374"/>
      <c r="H26" s="374"/>
      <c r="I26" s="374"/>
      <c r="J26" s="374"/>
      <c r="K26" s="374"/>
      <c r="L26" s="374"/>
    </row>
    <row r="27" spans="1:12" ht="12.75">
      <c r="A27" s="344" t="s">
        <v>387</v>
      </c>
      <c r="B27" s="344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 ht="12.75">
      <c r="A28" s="347" t="s">
        <v>278</v>
      </c>
      <c r="B28" s="344"/>
      <c r="C28" s="335"/>
      <c r="D28" s="335"/>
      <c r="E28" s="335"/>
      <c r="F28" s="335"/>
      <c r="G28" s="335"/>
      <c r="H28" s="335"/>
      <c r="I28" s="335"/>
      <c r="J28" s="335"/>
      <c r="K28" s="335"/>
      <c r="L28" s="335"/>
    </row>
    <row r="29" spans="1:12" ht="12.75">
      <c r="A29" s="349" t="s">
        <v>388</v>
      </c>
      <c r="B29" s="382">
        <v>0</v>
      </c>
      <c r="C29" s="335">
        <v>0</v>
      </c>
      <c r="D29" s="335">
        <v>0</v>
      </c>
      <c r="E29" s="335">
        <v>0</v>
      </c>
      <c r="F29" s="335">
        <v>0</v>
      </c>
      <c r="G29" s="335">
        <f>'FLUJO DE CAJA'!G31</f>
        <v>79663.78675087747</v>
      </c>
      <c r="H29" s="335">
        <f>'FLUJO DE CAJA'!H31</f>
        <v>74617.53526627703</v>
      </c>
      <c r="I29" s="335">
        <f>'FLUJO DE CAJA'!I31</f>
        <v>69571.2837816766</v>
      </c>
      <c r="J29" s="335">
        <f>'FLUJO DE CAJA'!J31</f>
        <v>64525.03229707617</v>
      </c>
      <c r="K29" s="335">
        <f>'FLUJO DE CAJA'!K31</f>
        <v>59478.780812475736</v>
      </c>
      <c r="L29" s="335">
        <f>'FLUJO DE CAJA'!L31</f>
        <v>54432.5293278753</v>
      </c>
    </row>
    <row r="30" spans="1:12" ht="12.75">
      <c r="A30" s="349"/>
      <c r="B30" s="382">
        <v>0</v>
      </c>
      <c r="C30" s="341">
        <f>SUM(C28:C29)</f>
        <v>0</v>
      </c>
      <c r="D30" s="341">
        <v>0</v>
      </c>
      <c r="E30" s="341">
        <v>0</v>
      </c>
      <c r="F30" s="341">
        <v>0</v>
      </c>
      <c r="G30" s="341">
        <f aca="true" t="shared" si="7" ref="G30:L30">SUM(G28:G29)</f>
        <v>79663.78675087747</v>
      </c>
      <c r="H30" s="341">
        <f t="shared" si="7"/>
        <v>74617.53526627703</v>
      </c>
      <c r="I30" s="341">
        <f t="shared" si="7"/>
        <v>69571.2837816766</v>
      </c>
      <c r="J30" s="341">
        <f t="shared" si="7"/>
        <v>64525.03229707617</v>
      </c>
      <c r="K30" s="341">
        <f t="shared" si="7"/>
        <v>59478.780812475736</v>
      </c>
      <c r="L30" s="341">
        <f t="shared" si="7"/>
        <v>54432.5293278753</v>
      </c>
    </row>
    <row r="31" spans="1:12" ht="12.75">
      <c r="A31" s="349"/>
      <c r="B31" s="380">
        <f>C31</f>
        <v>365547.320366667</v>
      </c>
      <c r="C31" s="367">
        <v>365547.320366667</v>
      </c>
      <c r="D31" s="367">
        <v>365547.320366667</v>
      </c>
      <c r="E31" s="367">
        <v>365547.320366667</v>
      </c>
      <c r="F31" s="367">
        <v>365547.320366667</v>
      </c>
      <c r="G31" s="336">
        <f>F31-H30</f>
        <v>290929.78510038997</v>
      </c>
      <c r="H31" s="336">
        <f>G31-I30</f>
        <v>221358.50131871336</v>
      </c>
      <c r="I31" s="336">
        <f>H31-J30</f>
        <v>156833.4690216372</v>
      </c>
      <c r="J31" s="336">
        <f>I31-K30</f>
        <v>97354.68820916145</v>
      </c>
      <c r="K31" s="336"/>
      <c r="L31" s="336"/>
    </row>
    <row r="32" spans="1:12" ht="12.75">
      <c r="A32" s="347" t="s">
        <v>391</v>
      </c>
      <c r="B32" s="381">
        <f>SUM(B31)</f>
        <v>365547.320366667</v>
      </c>
      <c r="C32" s="333">
        <f aca="true" t="shared" si="8" ref="C32:L32">SUM(C30:C31)</f>
        <v>365547.320366667</v>
      </c>
      <c r="D32" s="333">
        <f t="shared" si="8"/>
        <v>365547.320366667</v>
      </c>
      <c r="E32" s="333">
        <f t="shared" si="8"/>
        <v>365547.320366667</v>
      </c>
      <c r="F32" s="333">
        <f t="shared" si="8"/>
        <v>365547.320366667</v>
      </c>
      <c r="G32" s="333">
        <f t="shared" si="8"/>
        <v>370593.5718512674</v>
      </c>
      <c r="H32" s="333">
        <f t="shared" si="8"/>
        <v>295976.0365849904</v>
      </c>
      <c r="I32" s="333">
        <f t="shared" si="8"/>
        <v>226404.75280331378</v>
      </c>
      <c r="J32" s="333">
        <f t="shared" si="8"/>
        <v>161879.72050623762</v>
      </c>
      <c r="K32" s="333">
        <f t="shared" si="8"/>
        <v>59478.780812475736</v>
      </c>
      <c r="L32" s="333">
        <f t="shared" si="8"/>
        <v>54432.5293278753</v>
      </c>
    </row>
    <row r="33" spans="1:12" ht="12.75" outlineLevel="1">
      <c r="A33" s="349"/>
      <c r="B33" s="368"/>
      <c r="C33" s="334"/>
      <c r="D33" s="334"/>
      <c r="E33" s="334"/>
      <c r="F33" s="334"/>
      <c r="G33" s="334"/>
      <c r="H33" s="334"/>
      <c r="I33" s="334"/>
      <c r="J33" s="334"/>
      <c r="K33" s="334"/>
      <c r="L33" s="334"/>
    </row>
    <row r="34" spans="1:12" ht="12.75" outlineLevel="1">
      <c r="A34" s="353" t="s">
        <v>279</v>
      </c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</row>
    <row r="35" spans="1:12" ht="12.75" outlineLevel="1">
      <c r="A35" s="356" t="s">
        <v>280</v>
      </c>
      <c r="B35" s="365">
        <f>'FLUJO DE CAJA'!B28</f>
        <v>0</v>
      </c>
      <c r="C35" s="355">
        <f aca="true" t="shared" si="9" ref="C35:H35">+B35</f>
        <v>0</v>
      </c>
      <c r="D35" s="355">
        <f t="shared" si="9"/>
        <v>0</v>
      </c>
      <c r="E35" s="355">
        <f t="shared" si="9"/>
        <v>0</v>
      </c>
      <c r="F35" s="355">
        <f t="shared" si="9"/>
        <v>0</v>
      </c>
      <c r="G35" s="355">
        <f t="shared" si="9"/>
        <v>0</v>
      </c>
      <c r="H35" s="355">
        <f t="shared" si="9"/>
        <v>0</v>
      </c>
      <c r="I35" s="355">
        <f>+H35</f>
        <v>0</v>
      </c>
      <c r="J35" s="355">
        <f>+I35</f>
        <v>0</v>
      </c>
      <c r="K35" s="355">
        <f>+J35</f>
        <v>0</v>
      </c>
      <c r="L35" s="355">
        <f>+K35</f>
        <v>0</v>
      </c>
    </row>
    <row r="36" spans="1:12" ht="12.75" outlineLevel="1">
      <c r="A36" s="356" t="s">
        <v>281</v>
      </c>
      <c r="B36" s="357"/>
      <c r="C36" s="355">
        <f>'ESTADO DE PERDIDAS Y GANANCIAS'!C15</f>
        <v>6891.028144103778</v>
      </c>
      <c r="D36" s="355">
        <f>'ESTADO DE PERDIDAS Y GANANCIAS'!D15</f>
        <v>16030.743527153776</v>
      </c>
      <c r="E36" s="355">
        <f>'ESTADO DE PERDIDAS Y GANANCIAS'!E15</f>
        <v>16252.259691068504</v>
      </c>
      <c r="F36" s="355">
        <f>'ESTADO DE PERDIDAS Y GANANCIAS'!F15</f>
        <v>16687.0738374175</v>
      </c>
      <c r="G36" s="355">
        <f>'ESTADO DE PERDIDAS Y GANANCIAS'!G15</f>
        <v>17132.490288010984</v>
      </c>
      <c r="H36" s="355">
        <f>'ESTADO DE PERDIDAS Y GANANCIAS'!H15</f>
        <v>18166.952182906865</v>
      </c>
      <c r="I36" s="355">
        <f>'ESTADO DE PERDIDAS Y GANANCIAS'!I15</f>
        <v>19325.217238412868</v>
      </c>
      <c r="J36" s="355">
        <f>'ESTADO DE PERDIDAS Y GANANCIAS'!J15</f>
        <v>19815.31161022144</v>
      </c>
      <c r="K36" s="355">
        <f>'ESTADO DE PERDIDAS Y GANANCIAS'!K15</f>
        <v>20321.44886304415</v>
      </c>
      <c r="L36" s="355">
        <f>'ESTADO DE PERDIDAS Y GANANCIAS'!L15</f>
        <v>20845.82653646232</v>
      </c>
    </row>
    <row r="37" spans="1:12" ht="12.75" outlineLevel="1">
      <c r="A37" s="356" t="s">
        <v>282</v>
      </c>
      <c r="B37" s="357"/>
      <c r="C37" s="355"/>
      <c r="D37" s="355">
        <f>986.34</f>
        <v>986.34</v>
      </c>
      <c r="E37" s="355">
        <f>17019.56</f>
        <v>17019.56</v>
      </c>
      <c r="F37" s="355">
        <v>3434.98</v>
      </c>
      <c r="G37" s="355">
        <v>1067.18</v>
      </c>
      <c r="H37" s="355">
        <v>25033.82</v>
      </c>
      <c r="I37" s="355">
        <v>0</v>
      </c>
      <c r="J37" s="355">
        <v>4615.14</v>
      </c>
      <c r="K37" s="355">
        <v>8322.58</v>
      </c>
      <c r="L37" s="355">
        <v>18513.95</v>
      </c>
    </row>
    <row r="38" spans="1:12" ht="12.75" outlineLevel="1">
      <c r="A38" s="356" t="s">
        <v>283</v>
      </c>
      <c r="B38" s="357"/>
      <c r="C38" s="355">
        <f>'ESTADO DE PERDIDAS Y GANANCIAS'!C21</f>
        <v>0</v>
      </c>
      <c r="D38" s="355">
        <f>'ESTADO DE PERDIDAS Y GANANCIAS'!D21</f>
        <v>43283.007523315195</v>
      </c>
      <c r="E38" s="355">
        <f>'ESTADO DE PERDIDAS Y GANANCIAS'!E21</f>
        <v>43881.10116588496</v>
      </c>
      <c r="F38" s="355">
        <f>'ESTADO DE PERDIDAS Y GANANCIAS'!F21</f>
        <v>45055.09936102725</v>
      </c>
      <c r="G38" s="355">
        <v>0</v>
      </c>
      <c r="H38" s="355">
        <f>'ESTADO DE PERDIDAS Y GANANCIAS'!H21</f>
        <v>49050.77089384854</v>
      </c>
      <c r="I38" s="355">
        <f>'ESTADO DE PERDIDAS Y GANANCIAS'!I21</f>
        <v>52178.08654371474</v>
      </c>
      <c r="J38" s="355">
        <f>'ESTADO DE PERDIDAS Y GANANCIAS'!J21</f>
        <v>53501.341347597874</v>
      </c>
      <c r="K38" s="355">
        <f>'ESTADO DE PERDIDAS Y GANANCIAS'!K21</f>
        <v>54867.91193021919</v>
      </c>
      <c r="L38" s="355">
        <f>'ESTADO DE PERDIDAS Y GANANCIAS'!L21</f>
        <v>56283.73164844825</v>
      </c>
    </row>
    <row r="39" spans="1:12" ht="12.75" outlineLevel="1">
      <c r="A39" s="356" t="s">
        <v>392</v>
      </c>
      <c r="B39" s="361"/>
      <c r="C39" s="362"/>
      <c r="D39" s="362">
        <v>20837.72</v>
      </c>
      <c r="E39" s="362">
        <v>20837.72</v>
      </c>
      <c r="F39" s="362">
        <v>20837.72</v>
      </c>
      <c r="G39" s="362">
        <f>'ESTADO DE PERDIDAS Y GANANCIAS'!G13</f>
        <v>171324.90288010985</v>
      </c>
      <c r="H39" s="362">
        <v>432827.39233446616</v>
      </c>
      <c r="I39" s="362">
        <v>628564.2267743634</v>
      </c>
      <c r="J39" s="362">
        <v>822073.8331407793</v>
      </c>
      <c r="K39" s="362">
        <v>1034703.2801078372</v>
      </c>
      <c r="L39" s="362">
        <v>1228157.3020635315</v>
      </c>
    </row>
    <row r="40" spans="1:12" ht="12.75" outlineLevel="1">
      <c r="A40" s="358" t="s">
        <v>284</v>
      </c>
      <c r="B40" s="369">
        <f>SUM(B35:B39)</f>
        <v>0</v>
      </c>
      <c r="C40" s="369">
        <f>SUM(C35:C39)</f>
        <v>6891.028144103778</v>
      </c>
      <c r="D40" s="369">
        <f aca="true" t="shared" si="10" ref="D40:L40">SUM(D35:D39)</f>
        <v>81137.81105046897</v>
      </c>
      <c r="E40" s="369">
        <f t="shared" si="10"/>
        <v>97990.64085695347</v>
      </c>
      <c r="F40" s="369">
        <f t="shared" si="10"/>
        <v>86014.87319844475</v>
      </c>
      <c r="G40" s="369">
        <f t="shared" si="10"/>
        <v>189524.57316812084</v>
      </c>
      <c r="H40" s="369">
        <f t="shared" si="10"/>
        <v>525078.9354112216</v>
      </c>
      <c r="I40" s="369">
        <f t="shared" si="10"/>
        <v>700067.530556491</v>
      </c>
      <c r="J40" s="369">
        <f t="shared" si="10"/>
        <v>900005.6260985986</v>
      </c>
      <c r="K40" s="369">
        <f t="shared" si="10"/>
        <v>1118215.2209011004</v>
      </c>
      <c r="L40" s="369">
        <f t="shared" si="10"/>
        <v>1323800.810248442</v>
      </c>
    </row>
    <row r="41" spans="1:12" ht="12.75" outlineLevel="1">
      <c r="A41" s="340"/>
      <c r="B41" s="331"/>
      <c r="C41" s="334"/>
      <c r="D41" s="343"/>
      <c r="E41" s="343"/>
      <c r="F41" s="343"/>
      <c r="G41" s="343"/>
      <c r="H41" s="343"/>
      <c r="I41" s="343"/>
      <c r="J41" s="343"/>
      <c r="K41" s="343"/>
      <c r="L41" s="343"/>
    </row>
    <row r="42" spans="1:12" ht="12.75" outlineLevel="1">
      <c r="A42" s="340"/>
      <c r="B42" s="331"/>
      <c r="C42" s="336"/>
      <c r="D42" s="339"/>
      <c r="E42" s="339"/>
      <c r="F42" s="339"/>
      <c r="G42" s="339"/>
      <c r="H42" s="339"/>
      <c r="I42" s="339"/>
      <c r="J42" s="339"/>
      <c r="K42" s="339"/>
      <c r="L42" s="339"/>
    </row>
    <row r="43" spans="1:12" ht="15.75" outlineLevel="1" thickBot="1">
      <c r="A43" s="370" t="s">
        <v>389</v>
      </c>
      <c r="B43" s="378">
        <f>B32+B40</f>
        <v>365547.320366667</v>
      </c>
      <c r="C43" s="378">
        <f>C32+C40</f>
        <v>372438.34851077077</v>
      </c>
      <c r="D43" s="378">
        <f aca="true" t="shared" si="11" ref="D43:L43">D32+D40</f>
        <v>446685.13141713594</v>
      </c>
      <c r="E43" s="378">
        <f t="shared" si="11"/>
        <v>463537.96122362046</v>
      </c>
      <c r="F43" s="378">
        <f t="shared" si="11"/>
        <v>451562.1935651117</v>
      </c>
      <c r="G43" s="378">
        <f t="shared" si="11"/>
        <v>560118.1450193883</v>
      </c>
      <c r="H43" s="378">
        <f t="shared" si="11"/>
        <v>821054.9719962119</v>
      </c>
      <c r="I43" s="378">
        <f t="shared" si="11"/>
        <v>926472.2833598048</v>
      </c>
      <c r="J43" s="378">
        <f t="shared" si="11"/>
        <v>1061885.3466048362</v>
      </c>
      <c r="K43" s="378">
        <f t="shared" si="11"/>
        <v>1177694.0017135763</v>
      </c>
      <c r="L43" s="378">
        <f t="shared" si="11"/>
        <v>1378233.3395763172</v>
      </c>
    </row>
    <row r="44" spans="1:12" ht="12.75" outlineLevel="1">
      <c r="A44" s="338"/>
      <c r="B44" s="338"/>
      <c r="C44" s="334"/>
      <c r="D44" s="334"/>
      <c r="E44" s="334"/>
      <c r="F44" s="334"/>
      <c r="G44" s="334"/>
      <c r="H44" s="334"/>
      <c r="I44" s="334"/>
      <c r="J44" s="334"/>
      <c r="K44" s="334"/>
      <c r="L44" s="334"/>
    </row>
    <row r="45" ht="12.75" outlineLevel="1"/>
    <row r="46" spans="2:12" s="406" customFormat="1" ht="12.75" outlineLevel="1">
      <c r="B46" s="407">
        <f>B25-B43</f>
        <v>1022434.2559128002</v>
      </c>
      <c r="C46" s="407">
        <f aca="true" t="shared" si="12" ref="C46:L46">C25-C43</f>
        <v>1172958.4305169191</v>
      </c>
      <c r="D46" s="407">
        <f t="shared" si="12"/>
        <v>1230759.172205354</v>
      </c>
      <c r="E46" s="407">
        <f t="shared" si="12"/>
        <v>1349128.0102620174</v>
      </c>
      <c r="F46" s="407">
        <f t="shared" si="12"/>
        <v>1499576.9858730063</v>
      </c>
      <c r="G46" s="407">
        <f t="shared" si="12"/>
        <v>1537045.8142039496</v>
      </c>
      <c r="H46" s="407">
        <f t="shared" si="12"/>
        <v>1429030.0430123461</v>
      </c>
      <c r="I46" s="407">
        <f t="shared" si="12"/>
        <v>1467362.5713391677</v>
      </c>
      <c r="J46" s="407">
        <f t="shared" si="12"/>
        <v>1479277.0366987525</v>
      </c>
      <c r="K46" s="407">
        <f t="shared" si="12"/>
        <v>1514490.7121402351</v>
      </c>
      <c r="L46" s="407">
        <f t="shared" si="12"/>
        <v>1907442.761843669</v>
      </c>
    </row>
    <row r="47" s="406" customFormat="1" ht="12.75"/>
    <row r="48" s="406" customFormat="1" ht="12.75"/>
    <row r="49" spans="3:12" s="406" customFormat="1" ht="12.75">
      <c r="C49" s="406">
        <f>C14/C32*-1</f>
        <v>-2.0441338053803086</v>
      </c>
      <c r="D49" s="406">
        <f>D14/D32*-1</f>
        <v>-2.4053661745913537</v>
      </c>
      <c r="E49" s="406">
        <f>E14/E32*-1</f>
        <v>-2.7752818061093523</v>
      </c>
      <c r="F49" s="406">
        <f>F14/F32*-1</f>
        <v>-3.154092428530501</v>
      </c>
      <c r="G49" s="406">
        <f aca="true" t="shared" si="13" ref="G49:L49">G14/G32</f>
        <v>3.505173629251917</v>
      </c>
      <c r="H49" s="406">
        <f t="shared" si="13"/>
        <v>4.882218208208274</v>
      </c>
      <c r="I49" s="406">
        <f t="shared" si="13"/>
        <v>7.017385523170511</v>
      </c>
      <c r="J49" s="406">
        <f t="shared" si="13"/>
        <v>10.724610580462997</v>
      </c>
      <c r="K49" s="406">
        <f t="shared" si="13"/>
        <v>31.72760551033329</v>
      </c>
      <c r="L49" s="406">
        <f t="shared" si="13"/>
        <v>45.572210441994784</v>
      </c>
    </row>
    <row r="50" s="406" customFormat="1" ht="12.75"/>
  </sheetData>
  <sheetProtection/>
  <mergeCells count="2">
    <mergeCell ref="B4:L4"/>
    <mergeCell ref="B5:L7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60"/>
  <sheetViews>
    <sheetView showGridLines="0" showZeros="0" zoomScale="75" zoomScaleNormal="75" zoomScalePageLayoutView="0" workbookViewId="0" topLeftCell="A1">
      <selection activeCell="E33" sqref="E33"/>
    </sheetView>
  </sheetViews>
  <sheetFormatPr defaultColWidth="11.421875" defaultRowHeight="12.75"/>
  <cols>
    <col min="1" max="1" width="11.421875" style="99" customWidth="1"/>
    <col min="2" max="2" width="16.57421875" style="0" customWidth="1"/>
    <col min="3" max="3" width="19.421875" style="0" customWidth="1"/>
    <col min="4" max="4" width="21.140625" style="0" customWidth="1"/>
    <col min="5" max="6" width="20.00390625" style="0" customWidth="1"/>
    <col min="7" max="7" width="19.57421875" style="0" customWidth="1"/>
    <col min="8" max="8" width="13.28125" style="0" bestFit="1" customWidth="1"/>
    <col min="9" max="9" width="12.8515625" style="0" customWidth="1"/>
  </cols>
  <sheetData>
    <row r="1" spans="2:6" ht="12.75">
      <c r="B1" s="890" t="s">
        <v>286</v>
      </c>
      <c r="C1" s="890"/>
      <c r="D1" s="890"/>
      <c r="E1" s="890"/>
      <c r="F1" s="890"/>
    </row>
    <row r="2" spans="2:6" ht="12.75">
      <c r="B2" s="106" t="s">
        <v>287</v>
      </c>
      <c r="C2" s="107"/>
      <c r="D2" s="108">
        <f>INVERSIONES!E178*-1*WACC!M8</f>
        <v>-410228.9772</v>
      </c>
      <c r="E2" s="103"/>
      <c r="F2" s="104"/>
    </row>
    <row r="3" spans="2:6" ht="12.75">
      <c r="B3" s="109" t="s">
        <v>288</v>
      </c>
      <c r="C3" s="102"/>
      <c r="D3" s="102">
        <v>40</v>
      </c>
      <c r="E3" s="102"/>
      <c r="F3" s="105"/>
    </row>
    <row r="4" spans="2:6" ht="12.75">
      <c r="B4" s="109" t="s">
        <v>289</v>
      </c>
      <c r="C4" s="110"/>
      <c r="D4" s="102">
        <v>0</v>
      </c>
      <c r="E4" s="102"/>
      <c r="F4" s="105"/>
    </row>
    <row r="5" spans="2:6" ht="12.75">
      <c r="B5" s="109" t="s">
        <v>290</v>
      </c>
      <c r="C5" s="110"/>
      <c r="D5" s="102">
        <v>8</v>
      </c>
      <c r="E5" s="102"/>
      <c r="F5" s="105"/>
    </row>
    <row r="6" spans="2:6" ht="12.75">
      <c r="B6" s="109" t="s">
        <v>291</v>
      </c>
      <c r="C6" s="110"/>
      <c r="D6" s="447">
        <f>(((1+10.21%)^(1/4))-1)*4</f>
        <v>0.09840848433561966</v>
      </c>
      <c r="E6" s="100"/>
      <c r="F6" s="111"/>
    </row>
    <row r="7" spans="2:6" ht="12.75">
      <c r="B7" s="112" t="s">
        <v>292</v>
      </c>
      <c r="C7" s="113"/>
      <c r="D7" s="114" t="s">
        <v>293</v>
      </c>
      <c r="E7" s="115"/>
      <c r="F7" s="116"/>
    </row>
    <row r="8" spans="2:6" ht="21.75" customHeight="1">
      <c r="B8" s="322" t="s">
        <v>294</v>
      </c>
      <c r="C8" s="323" t="s">
        <v>295</v>
      </c>
      <c r="D8" s="323" t="s">
        <v>296</v>
      </c>
      <c r="E8" s="323" t="s">
        <v>297</v>
      </c>
      <c r="F8" s="323" t="s">
        <v>298</v>
      </c>
    </row>
    <row r="9" spans="1:10" ht="18" customHeight="1">
      <c r="A9" s="889">
        <v>1</v>
      </c>
      <c r="B9" s="117" t="s">
        <v>299</v>
      </c>
      <c r="C9" s="118"/>
      <c r="D9" s="119">
        <v>0</v>
      </c>
      <c r="E9" s="118"/>
      <c r="F9" s="120">
        <v>0</v>
      </c>
      <c r="G9" s="86" t="s">
        <v>300</v>
      </c>
      <c r="H9" s="87"/>
      <c r="I9" s="87" t="s">
        <v>301</v>
      </c>
      <c r="J9" s="68"/>
    </row>
    <row r="10" spans="1:10" ht="18" customHeight="1">
      <c r="A10" s="889"/>
      <c r="B10" s="101">
        <v>1</v>
      </c>
      <c r="C10" s="121">
        <f>+D2</f>
        <v>-410228.9772</v>
      </c>
      <c r="D10" s="122"/>
      <c r="E10" s="123">
        <f>+C10*$D$6/4</f>
        <v>-10092.50296920087</v>
      </c>
      <c r="F10" s="123">
        <f aca="true" t="shared" si="0" ref="F10:F49">+D10+E10</f>
        <v>-10092.50296920087</v>
      </c>
      <c r="G10" s="68"/>
      <c r="H10" s="88"/>
      <c r="I10" s="89"/>
      <c r="J10" s="68"/>
    </row>
    <row r="11" spans="1:10" ht="18" customHeight="1">
      <c r="A11" s="889"/>
      <c r="B11" s="101">
        <v>2</v>
      </c>
      <c r="C11" s="123">
        <f>+C10</f>
        <v>-410228.9772</v>
      </c>
      <c r="D11" s="123"/>
      <c r="E11" s="123">
        <f aca="true" t="shared" si="1" ref="E11:E17">+C11*$D$6/4</f>
        <v>-10092.50296920087</v>
      </c>
      <c r="F11" s="123">
        <f t="shared" si="0"/>
        <v>-10092.50296920087</v>
      </c>
      <c r="G11" s="68"/>
      <c r="H11" s="68"/>
      <c r="I11" s="68"/>
      <c r="J11" s="68"/>
    </row>
    <row r="12" spans="1:10" ht="18" customHeight="1">
      <c r="A12" s="889"/>
      <c r="B12" s="101">
        <v>3</v>
      </c>
      <c r="C12" s="123">
        <f>+C11</f>
        <v>-410228.9772</v>
      </c>
      <c r="D12" s="123"/>
      <c r="E12" s="123">
        <f t="shared" si="1"/>
        <v>-10092.50296920087</v>
      </c>
      <c r="F12" s="123">
        <f t="shared" si="0"/>
        <v>-10092.50296920087</v>
      </c>
      <c r="G12" s="68"/>
      <c r="H12" s="68"/>
      <c r="I12" s="68"/>
      <c r="J12" s="68"/>
    </row>
    <row r="13" spans="1:10" ht="18" customHeight="1" thickBot="1">
      <c r="A13" s="889"/>
      <c r="B13" s="124">
        <v>4</v>
      </c>
      <c r="C13" s="125">
        <f>+C12</f>
        <v>-410228.9772</v>
      </c>
      <c r="D13" s="125"/>
      <c r="E13" s="125">
        <f t="shared" si="1"/>
        <v>-10092.50296920087</v>
      </c>
      <c r="F13" s="125">
        <f t="shared" si="0"/>
        <v>-10092.50296920087</v>
      </c>
      <c r="G13" s="88">
        <f>SUM(E10:E13)</f>
        <v>-40370.01187680348</v>
      </c>
      <c r="H13" s="88"/>
      <c r="I13" s="88">
        <f>+H13+G13</f>
        <v>-40370.01187680348</v>
      </c>
      <c r="J13" s="68"/>
    </row>
    <row r="14" spans="1:10" ht="18" customHeight="1">
      <c r="A14" s="889">
        <v>2</v>
      </c>
      <c r="B14" s="101">
        <v>5</v>
      </c>
      <c r="C14" s="123">
        <f>+C13</f>
        <v>-410228.9772</v>
      </c>
      <c r="D14" s="123"/>
      <c r="E14" s="123">
        <f>+C14*$D$6/4</f>
        <v>-10092.50296920087</v>
      </c>
      <c r="F14" s="122">
        <f t="shared" si="0"/>
        <v>-10092.50296920087</v>
      </c>
      <c r="G14" s="68"/>
      <c r="H14" s="68"/>
      <c r="I14" s="68"/>
      <c r="J14" s="68"/>
    </row>
    <row r="15" spans="1:10" ht="18" customHeight="1">
      <c r="A15" s="889"/>
      <c r="B15" s="101">
        <v>6</v>
      </c>
      <c r="C15" s="123">
        <f aca="true" t="shared" si="2" ref="C15:C49">+C14-D14</f>
        <v>-410228.9772</v>
      </c>
      <c r="D15" s="123"/>
      <c r="E15" s="123">
        <f t="shared" si="1"/>
        <v>-10092.50296920087</v>
      </c>
      <c r="F15" s="122">
        <f t="shared" si="0"/>
        <v>-10092.50296920087</v>
      </c>
      <c r="G15" s="68"/>
      <c r="H15" s="68"/>
      <c r="I15" s="68"/>
      <c r="J15" s="68"/>
    </row>
    <row r="16" spans="1:10" ht="18" customHeight="1">
      <c r="A16" s="889"/>
      <c r="B16" s="101">
        <v>7</v>
      </c>
      <c r="C16" s="123">
        <f t="shared" si="2"/>
        <v>-410228.9772</v>
      </c>
      <c r="D16" s="123"/>
      <c r="E16" s="123">
        <f>+C16*$D$6/4</f>
        <v>-10092.50296920087</v>
      </c>
      <c r="F16" s="122">
        <f t="shared" si="0"/>
        <v>-10092.50296920087</v>
      </c>
      <c r="G16" s="68"/>
      <c r="H16" s="68"/>
      <c r="I16" s="68"/>
      <c r="J16" s="68"/>
    </row>
    <row r="17" spans="1:10" ht="18" customHeight="1" thickBot="1">
      <c r="A17" s="889"/>
      <c r="B17" s="124">
        <v>8</v>
      </c>
      <c r="C17" s="125">
        <f t="shared" si="2"/>
        <v>-410228.9772</v>
      </c>
      <c r="D17" s="125"/>
      <c r="E17" s="125">
        <f t="shared" si="1"/>
        <v>-10092.50296920087</v>
      </c>
      <c r="F17" s="126">
        <f t="shared" si="0"/>
        <v>-10092.50296920087</v>
      </c>
      <c r="G17" s="88">
        <f>+E14+E15+E16+E17</f>
        <v>-40370.01187680348</v>
      </c>
      <c r="H17" s="88">
        <f>+D14+D15+D16+D17</f>
        <v>0</v>
      </c>
      <c r="I17" s="88">
        <f aca="true" t="shared" si="3" ref="I17:I49">+H17+G17</f>
        <v>-40370.01187680348</v>
      </c>
      <c r="J17" s="68"/>
    </row>
    <row r="18" spans="1:10" ht="18" customHeight="1">
      <c r="A18" s="889">
        <v>3</v>
      </c>
      <c r="B18" s="101">
        <v>9</v>
      </c>
      <c r="C18" s="123">
        <f>+C17-D18</f>
        <v>-397409.32166250004</v>
      </c>
      <c r="D18" s="123">
        <f>D2/(D3-D5)</f>
        <v>-12819.6555375</v>
      </c>
      <c r="E18" s="123">
        <f>+C17*$D$6/4</f>
        <v>-10092.50296920087</v>
      </c>
      <c r="F18" s="122">
        <f>+D18+E18</f>
        <v>-22912.15850670087</v>
      </c>
      <c r="G18" s="68"/>
      <c r="H18" s="88"/>
      <c r="I18" s="88">
        <f t="shared" si="3"/>
        <v>0</v>
      </c>
      <c r="J18" s="68"/>
    </row>
    <row r="19" spans="1:10" ht="18" customHeight="1">
      <c r="A19" s="889"/>
      <c r="B19" s="101">
        <v>10</v>
      </c>
      <c r="C19" s="123">
        <f t="shared" si="2"/>
        <v>-384589.66612500005</v>
      </c>
      <c r="D19" s="123">
        <f>D18</f>
        <v>-12819.6555375</v>
      </c>
      <c r="E19" s="123">
        <f aca="true" t="shared" si="4" ref="E19:E49">+C18*$D$6/4</f>
        <v>-9777.112251413342</v>
      </c>
      <c r="F19" s="122">
        <f t="shared" si="0"/>
        <v>-22596.76778891334</v>
      </c>
      <c r="G19" s="68"/>
      <c r="H19" s="88"/>
      <c r="I19" s="88">
        <f t="shared" si="3"/>
        <v>0</v>
      </c>
      <c r="J19" s="68"/>
    </row>
    <row r="20" spans="1:10" ht="18" customHeight="1">
      <c r="A20" s="889"/>
      <c r="B20" s="101">
        <v>11</v>
      </c>
      <c r="C20" s="123">
        <f t="shared" si="2"/>
        <v>-371770.01058750006</v>
      </c>
      <c r="D20" s="123">
        <f aca="true" t="shared" si="5" ref="D20:D26">D19</f>
        <v>-12819.6555375</v>
      </c>
      <c r="E20" s="123">
        <f t="shared" si="4"/>
        <v>-9461.721533625816</v>
      </c>
      <c r="F20" s="122">
        <f t="shared" si="0"/>
        <v>-22281.37707112582</v>
      </c>
      <c r="G20" s="68"/>
      <c r="H20" s="88"/>
      <c r="I20" s="88">
        <f t="shared" si="3"/>
        <v>0</v>
      </c>
      <c r="J20" s="68"/>
    </row>
    <row r="21" spans="1:10" ht="18" customHeight="1" thickBot="1">
      <c r="A21" s="889"/>
      <c r="B21" s="124">
        <v>12</v>
      </c>
      <c r="C21" s="125">
        <f t="shared" si="2"/>
        <v>-358950.3550500001</v>
      </c>
      <c r="D21" s="125">
        <f t="shared" si="5"/>
        <v>-12819.6555375</v>
      </c>
      <c r="E21" s="125">
        <f t="shared" si="4"/>
        <v>-9146.33081583829</v>
      </c>
      <c r="F21" s="126">
        <f t="shared" si="0"/>
        <v>-21965.98635333829</v>
      </c>
      <c r="G21" s="88">
        <f>+E18+E19+E20+E21</f>
        <v>-38477.66757007832</v>
      </c>
      <c r="H21" s="88">
        <f>+D18+D19+D20+D21</f>
        <v>-51278.62215</v>
      </c>
      <c r="I21" s="88">
        <f t="shared" si="3"/>
        <v>-89756.28972007832</v>
      </c>
      <c r="J21" s="68"/>
    </row>
    <row r="22" spans="1:10" ht="18" customHeight="1">
      <c r="A22" s="889">
        <v>4</v>
      </c>
      <c r="B22" s="101">
        <v>13</v>
      </c>
      <c r="C22" s="123">
        <f t="shared" si="2"/>
        <v>-346130.6995125001</v>
      </c>
      <c r="D22" s="123">
        <f t="shared" si="5"/>
        <v>-12819.6555375</v>
      </c>
      <c r="E22" s="123">
        <f t="shared" si="4"/>
        <v>-8830.940098050762</v>
      </c>
      <c r="F22" s="122">
        <f t="shared" si="0"/>
        <v>-21650.595635550762</v>
      </c>
      <c r="G22" s="68"/>
      <c r="H22" s="88"/>
      <c r="I22" s="88">
        <f t="shared" si="3"/>
        <v>0</v>
      </c>
      <c r="J22" s="68"/>
    </row>
    <row r="23" spans="1:10" ht="18" customHeight="1">
      <c r="A23" s="889"/>
      <c r="B23" s="101">
        <v>14</v>
      </c>
      <c r="C23" s="123">
        <f t="shared" si="2"/>
        <v>-333311.0439750001</v>
      </c>
      <c r="D23" s="123">
        <f t="shared" si="5"/>
        <v>-12819.6555375</v>
      </c>
      <c r="E23" s="123">
        <f t="shared" si="4"/>
        <v>-8515.549380263235</v>
      </c>
      <c r="F23" s="122">
        <f t="shared" si="0"/>
        <v>-21335.204917763236</v>
      </c>
      <c r="G23" s="68"/>
      <c r="H23" s="88"/>
      <c r="I23" s="88">
        <f t="shared" si="3"/>
        <v>0</v>
      </c>
      <c r="J23" s="68"/>
    </row>
    <row r="24" spans="1:10" ht="18" customHeight="1">
      <c r="A24" s="889"/>
      <c r="B24" s="101">
        <v>15</v>
      </c>
      <c r="C24" s="123">
        <f t="shared" si="2"/>
        <v>-320491.3884375001</v>
      </c>
      <c r="D24" s="123">
        <f t="shared" si="5"/>
        <v>-12819.6555375</v>
      </c>
      <c r="E24" s="123">
        <f t="shared" si="4"/>
        <v>-8200.158662475707</v>
      </c>
      <c r="F24" s="122">
        <f t="shared" si="0"/>
        <v>-21019.814199975706</v>
      </c>
      <c r="G24" s="68"/>
      <c r="H24" s="88"/>
      <c r="I24" s="88">
        <f t="shared" si="3"/>
        <v>0</v>
      </c>
      <c r="J24" s="68"/>
    </row>
    <row r="25" spans="1:10" ht="18" customHeight="1" thickBot="1">
      <c r="A25" s="889"/>
      <c r="B25" s="124">
        <v>16</v>
      </c>
      <c r="C25" s="125">
        <f t="shared" si="2"/>
        <v>-307671.7329000001</v>
      </c>
      <c r="D25" s="125">
        <f t="shared" si="5"/>
        <v>-12819.6555375</v>
      </c>
      <c r="E25" s="125">
        <f t="shared" si="4"/>
        <v>-7884.767944688181</v>
      </c>
      <c r="F25" s="126">
        <f t="shared" si="0"/>
        <v>-20704.423482188184</v>
      </c>
      <c r="G25" s="88">
        <f>+E22+E23+E24+E25</f>
        <v>-33431.41608547789</v>
      </c>
      <c r="H25" s="88">
        <f>+D22+D23+D24+D25</f>
        <v>-51278.62215</v>
      </c>
      <c r="I25" s="88">
        <f t="shared" si="3"/>
        <v>-84710.0382354779</v>
      </c>
      <c r="J25" s="68"/>
    </row>
    <row r="26" spans="1:10" ht="18" customHeight="1">
      <c r="A26" s="889">
        <v>5</v>
      </c>
      <c r="B26" s="101">
        <v>17</v>
      </c>
      <c r="C26" s="123">
        <f t="shared" si="2"/>
        <v>-294852.07736250013</v>
      </c>
      <c r="D26" s="123">
        <f t="shared" si="5"/>
        <v>-12819.6555375</v>
      </c>
      <c r="E26" s="123">
        <f t="shared" si="4"/>
        <v>-7569.377226900655</v>
      </c>
      <c r="F26" s="122">
        <f t="shared" si="0"/>
        <v>-20389.032764400654</v>
      </c>
      <c r="G26" s="68"/>
      <c r="H26" s="88"/>
      <c r="I26" s="88">
        <f t="shared" si="3"/>
        <v>0</v>
      </c>
      <c r="J26" s="68"/>
    </row>
    <row r="27" spans="1:10" ht="18" customHeight="1">
      <c r="A27" s="889"/>
      <c r="B27" s="101">
        <v>18</v>
      </c>
      <c r="C27" s="123">
        <f t="shared" si="2"/>
        <v>-282032.42182500014</v>
      </c>
      <c r="D27" s="123">
        <f>D26</f>
        <v>-12819.6555375</v>
      </c>
      <c r="E27" s="123">
        <f t="shared" si="4"/>
        <v>-7253.986509113128</v>
      </c>
      <c r="F27" s="122">
        <f t="shared" si="0"/>
        <v>-20073.642046613128</v>
      </c>
      <c r="G27" s="68"/>
      <c r="H27" s="88"/>
      <c r="I27" s="88">
        <f t="shared" si="3"/>
        <v>0</v>
      </c>
      <c r="J27" s="68"/>
    </row>
    <row r="28" spans="1:10" ht="18" customHeight="1">
      <c r="A28" s="889"/>
      <c r="B28" s="101">
        <v>19</v>
      </c>
      <c r="C28" s="123">
        <f t="shared" si="2"/>
        <v>-269212.76628750016</v>
      </c>
      <c r="D28" s="123">
        <f>D27</f>
        <v>-12819.6555375</v>
      </c>
      <c r="E28" s="123">
        <f t="shared" si="4"/>
        <v>-6938.595791325601</v>
      </c>
      <c r="F28" s="122">
        <f t="shared" si="0"/>
        <v>-19758.2513288256</v>
      </c>
      <c r="G28" s="68"/>
      <c r="H28" s="88"/>
      <c r="I28" s="88">
        <f t="shared" si="3"/>
        <v>0</v>
      </c>
      <c r="J28" s="68"/>
    </row>
    <row r="29" spans="1:10" ht="18" customHeight="1" thickBot="1">
      <c r="A29" s="889"/>
      <c r="B29" s="124">
        <v>20</v>
      </c>
      <c r="C29" s="125">
        <f t="shared" si="2"/>
        <v>-256393.11075000017</v>
      </c>
      <c r="D29" s="125">
        <f>D28</f>
        <v>-12819.6555375</v>
      </c>
      <c r="E29" s="125">
        <f t="shared" si="4"/>
        <v>-6623.205073538074</v>
      </c>
      <c r="F29" s="126">
        <f t="shared" si="0"/>
        <v>-19442.860611038075</v>
      </c>
      <c r="G29" s="88">
        <f>+E26+E27+E28+E29</f>
        <v>-28385.164600877462</v>
      </c>
      <c r="H29" s="88">
        <f>+D26+D27+D28+D29</f>
        <v>-51278.62215</v>
      </c>
      <c r="I29" s="88">
        <f t="shared" si="3"/>
        <v>-79663.78675087747</v>
      </c>
      <c r="J29" s="68"/>
    </row>
    <row r="30" spans="1:10" ht="18" customHeight="1">
      <c r="A30" s="889">
        <v>6</v>
      </c>
      <c r="B30" s="101">
        <v>21</v>
      </c>
      <c r="C30" s="123">
        <f t="shared" si="2"/>
        <v>-243573.45521250018</v>
      </c>
      <c r="D30" s="123">
        <f aca="true" t="shared" si="6" ref="D30:D49">D29</f>
        <v>-12819.6555375</v>
      </c>
      <c r="E30" s="123">
        <f t="shared" si="4"/>
        <v>-6307.814355750547</v>
      </c>
      <c r="F30" s="122">
        <f aca="true" t="shared" si="7" ref="F30:F45">+D30+E30</f>
        <v>-19127.46989325055</v>
      </c>
      <c r="G30" s="68"/>
      <c r="H30" s="88"/>
      <c r="I30" s="88">
        <f t="shared" si="3"/>
        <v>0</v>
      </c>
      <c r="J30" s="68"/>
    </row>
    <row r="31" spans="1:10" ht="18" customHeight="1">
      <c r="A31" s="889"/>
      <c r="B31" s="101">
        <v>22</v>
      </c>
      <c r="C31" s="123">
        <f t="shared" si="2"/>
        <v>-230753.7996750002</v>
      </c>
      <c r="D31" s="123">
        <f t="shared" si="6"/>
        <v>-12819.6555375</v>
      </c>
      <c r="E31" s="123">
        <f t="shared" si="4"/>
        <v>-5992.42363796302</v>
      </c>
      <c r="F31" s="122">
        <f t="shared" si="7"/>
        <v>-18812.07917546302</v>
      </c>
      <c r="G31" s="68"/>
      <c r="H31" s="88"/>
      <c r="I31" s="88">
        <f t="shared" si="3"/>
        <v>0</v>
      </c>
      <c r="J31" s="68"/>
    </row>
    <row r="32" spans="1:10" ht="18" customHeight="1">
      <c r="A32" s="889"/>
      <c r="B32" s="101">
        <v>23</v>
      </c>
      <c r="C32" s="123">
        <f t="shared" si="2"/>
        <v>-217934.1441375002</v>
      </c>
      <c r="D32" s="123">
        <f t="shared" si="6"/>
        <v>-12819.6555375</v>
      </c>
      <c r="E32" s="123">
        <f t="shared" si="4"/>
        <v>-5677.032920175493</v>
      </c>
      <c r="F32" s="122">
        <f t="shared" si="7"/>
        <v>-18496.688457675493</v>
      </c>
      <c r="G32" s="68"/>
      <c r="H32" s="88"/>
      <c r="I32" s="88">
        <f t="shared" si="3"/>
        <v>0</v>
      </c>
      <c r="J32" s="68"/>
    </row>
    <row r="33" spans="1:10" ht="18" customHeight="1" thickBot="1">
      <c r="A33" s="889"/>
      <c r="B33" s="124">
        <v>24</v>
      </c>
      <c r="C33" s="125">
        <f t="shared" si="2"/>
        <v>-205114.48860000022</v>
      </c>
      <c r="D33" s="125">
        <f t="shared" si="6"/>
        <v>-12819.6555375</v>
      </c>
      <c r="E33" s="125">
        <f t="shared" si="4"/>
        <v>-5361.642202387967</v>
      </c>
      <c r="F33" s="126">
        <f t="shared" si="7"/>
        <v>-18181.297739887967</v>
      </c>
      <c r="G33" s="88">
        <f>+E30+E31+E32+E33</f>
        <v>-23338.913116277028</v>
      </c>
      <c r="H33" s="88">
        <f>+D30+D31+D32+D33</f>
        <v>-51278.62215</v>
      </c>
      <c r="I33" s="88">
        <f t="shared" si="3"/>
        <v>-74617.53526627703</v>
      </c>
      <c r="J33" s="68"/>
    </row>
    <row r="34" spans="1:10" ht="18" customHeight="1">
      <c r="A34" s="889">
        <v>7</v>
      </c>
      <c r="B34" s="101">
        <v>25</v>
      </c>
      <c r="C34" s="123">
        <f t="shared" si="2"/>
        <v>-192294.83306250023</v>
      </c>
      <c r="D34" s="123">
        <f t="shared" si="6"/>
        <v>-12819.6555375</v>
      </c>
      <c r="E34" s="123">
        <f t="shared" si="4"/>
        <v>-5046.25148460044</v>
      </c>
      <c r="F34" s="122">
        <f t="shared" si="7"/>
        <v>-17865.90702210044</v>
      </c>
      <c r="G34" s="68"/>
      <c r="H34" s="88"/>
      <c r="I34" s="88">
        <f t="shared" si="3"/>
        <v>0</v>
      </c>
      <c r="J34" s="68"/>
    </row>
    <row r="35" spans="1:10" ht="18" customHeight="1">
      <c r="A35" s="889"/>
      <c r="B35" s="101">
        <v>26</v>
      </c>
      <c r="C35" s="123">
        <f t="shared" si="2"/>
        <v>-179475.17752500024</v>
      </c>
      <c r="D35" s="123">
        <f t="shared" si="6"/>
        <v>-12819.6555375</v>
      </c>
      <c r="E35" s="123">
        <f t="shared" si="4"/>
        <v>-4730.8607668129125</v>
      </c>
      <c r="F35" s="122">
        <f t="shared" si="7"/>
        <v>-17550.516304312914</v>
      </c>
      <c r="G35" s="68"/>
      <c r="H35" s="88"/>
      <c r="I35" s="88">
        <f t="shared" si="3"/>
        <v>0</v>
      </c>
      <c r="J35" s="68"/>
    </row>
    <row r="36" spans="1:10" ht="18" customHeight="1">
      <c r="A36" s="889"/>
      <c r="B36" s="101">
        <v>27</v>
      </c>
      <c r="C36" s="123">
        <f t="shared" si="2"/>
        <v>-166655.52198750025</v>
      </c>
      <c r="D36" s="123">
        <f t="shared" si="6"/>
        <v>-12819.6555375</v>
      </c>
      <c r="E36" s="123">
        <f t="shared" si="4"/>
        <v>-4415.470049025386</v>
      </c>
      <c r="F36" s="122">
        <f t="shared" si="7"/>
        <v>-17235.125586525388</v>
      </c>
      <c r="G36" s="68"/>
      <c r="H36" s="88"/>
      <c r="I36" s="88">
        <f t="shared" si="3"/>
        <v>0</v>
      </c>
      <c r="J36" s="68"/>
    </row>
    <row r="37" spans="2:10" ht="18" customHeight="1" thickBot="1">
      <c r="B37" s="124">
        <v>28</v>
      </c>
      <c r="C37" s="125">
        <f t="shared" si="2"/>
        <v>-153835.86645000026</v>
      </c>
      <c r="D37" s="125">
        <f t="shared" si="6"/>
        <v>-12819.6555375</v>
      </c>
      <c r="E37" s="125">
        <f t="shared" si="4"/>
        <v>-4100.079331237859</v>
      </c>
      <c r="F37" s="126">
        <f t="shared" si="7"/>
        <v>-16919.73486873786</v>
      </c>
      <c r="G37" s="88">
        <f>+E34+E35+E36+E37</f>
        <v>-18292.661631676598</v>
      </c>
      <c r="H37" s="88">
        <f>+D34+D35+D36+D37</f>
        <v>-51278.62215</v>
      </c>
      <c r="I37" s="88">
        <f t="shared" si="3"/>
        <v>-69571.2837816766</v>
      </c>
      <c r="J37" s="68"/>
    </row>
    <row r="38" spans="1:10" ht="18" customHeight="1">
      <c r="A38" s="889">
        <v>8</v>
      </c>
      <c r="B38" s="101">
        <v>29</v>
      </c>
      <c r="C38" s="123">
        <f t="shared" si="2"/>
        <v>-141016.21091250028</v>
      </c>
      <c r="D38" s="123">
        <f t="shared" si="6"/>
        <v>-12819.6555375</v>
      </c>
      <c r="E38" s="123">
        <f t="shared" si="4"/>
        <v>-3784.6886134503325</v>
      </c>
      <c r="F38" s="122">
        <f t="shared" si="7"/>
        <v>-16604.344150950332</v>
      </c>
      <c r="G38" s="68"/>
      <c r="H38" s="88"/>
      <c r="I38" s="88">
        <f t="shared" si="3"/>
        <v>0</v>
      </c>
      <c r="J38" s="68"/>
    </row>
    <row r="39" spans="1:10" ht="18" customHeight="1">
      <c r="A39" s="889"/>
      <c r="B39" s="101">
        <v>30</v>
      </c>
      <c r="C39" s="123">
        <f t="shared" si="2"/>
        <v>-128196.55537500027</v>
      </c>
      <c r="D39" s="123">
        <f t="shared" si="6"/>
        <v>-12819.6555375</v>
      </c>
      <c r="E39" s="123">
        <f t="shared" si="4"/>
        <v>-3469.2978956628053</v>
      </c>
      <c r="F39" s="122">
        <f t="shared" si="7"/>
        <v>-16288.953433162806</v>
      </c>
      <c r="G39" s="68"/>
      <c r="H39" s="88"/>
      <c r="I39" s="88">
        <f t="shared" si="3"/>
        <v>0</v>
      </c>
      <c r="J39" s="68"/>
    </row>
    <row r="40" spans="1:10" ht="18" customHeight="1">
      <c r="A40" s="889"/>
      <c r="B40" s="101">
        <v>31</v>
      </c>
      <c r="C40" s="123">
        <f t="shared" si="2"/>
        <v>-115376.89983750027</v>
      </c>
      <c r="D40" s="123">
        <f t="shared" si="6"/>
        <v>-12819.6555375</v>
      </c>
      <c r="E40" s="123">
        <f t="shared" si="4"/>
        <v>-3153.907177875278</v>
      </c>
      <c r="F40" s="122">
        <f t="shared" si="7"/>
        <v>-15973.56271537528</v>
      </c>
      <c r="G40" s="68"/>
      <c r="H40" s="88"/>
      <c r="I40" s="88">
        <f t="shared" si="3"/>
        <v>0</v>
      </c>
      <c r="J40" s="68"/>
    </row>
    <row r="41" spans="1:10" ht="18" customHeight="1" thickBot="1">
      <c r="A41" s="889"/>
      <c r="B41" s="124">
        <v>32</v>
      </c>
      <c r="C41" s="125">
        <f t="shared" si="2"/>
        <v>-102557.24430000027</v>
      </c>
      <c r="D41" s="125">
        <f t="shared" si="6"/>
        <v>-12819.6555375</v>
      </c>
      <c r="E41" s="125">
        <f t="shared" si="4"/>
        <v>-2838.516460087751</v>
      </c>
      <c r="F41" s="126">
        <f t="shared" si="7"/>
        <v>-15658.171997587751</v>
      </c>
      <c r="G41" s="88">
        <f>+E38+E39+E40+E41</f>
        <v>-13246.410147076167</v>
      </c>
      <c r="H41" s="88">
        <f>+D38+D39+D40+D41</f>
        <v>-51278.62215</v>
      </c>
      <c r="I41" s="88">
        <f t="shared" si="3"/>
        <v>-64525.03229707617</v>
      </c>
      <c r="J41" s="68"/>
    </row>
    <row r="42" spans="1:10" ht="18" customHeight="1">
      <c r="A42" s="889">
        <v>9</v>
      </c>
      <c r="B42" s="101">
        <v>33</v>
      </c>
      <c r="C42" s="123">
        <f t="shared" si="2"/>
        <v>-89737.58876250027</v>
      </c>
      <c r="D42" s="123">
        <f t="shared" si="6"/>
        <v>-12819.6555375</v>
      </c>
      <c r="E42" s="123">
        <f t="shared" si="4"/>
        <v>-2523.125742300224</v>
      </c>
      <c r="F42" s="122">
        <f t="shared" si="7"/>
        <v>-15342.781279800225</v>
      </c>
      <c r="G42" s="68"/>
      <c r="H42" s="88"/>
      <c r="I42" s="88">
        <f t="shared" si="3"/>
        <v>0</v>
      </c>
      <c r="J42" s="68"/>
    </row>
    <row r="43" spans="1:10" ht="18" customHeight="1">
      <c r="A43" s="889"/>
      <c r="B43" s="101">
        <v>34</v>
      </c>
      <c r="C43" s="123">
        <f t="shared" si="2"/>
        <v>-76917.93322500026</v>
      </c>
      <c r="D43" s="123">
        <f t="shared" si="6"/>
        <v>-12819.6555375</v>
      </c>
      <c r="E43" s="123">
        <f t="shared" si="4"/>
        <v>-2207.735024512697</v>
      </c>
      <c r="F43" s="122">
        <f t="shared" si="7"/>
        <v>-15027.390562012697</v>
      </c>
      <c r="G43" s="68"/>
      <c r="H43" s="88"/>
      <c r="I43" s="88">
        <f t="shared" si="3"/>
        <v>0</v>
      </c>
      <c r="J43" s="68"/>
    </row>
    <row r="44" spans="1:10" ht="18" customHeight="1">
      <c r="A44" s="889"/>
      <c r="B44" s="101">
        <v>35</v>
      </c>
      <c r="C44" s="123">
        <f t="shared" si="2"/>
        <v>-64098.27768750026</v>
      </c>
      <c r="D44" s="123">
        <f t="shared" si="6"/>
        <v>-12819.6555375</v>
      </c>
      <c r="E44" s="123">
        <f t="shared" si="4"/>
        <v>-1892.3443067251694</v>
      </c>
      <c r="F44" s="122">
        <f t="shared" si="7"/>
        <v>-14711.99984422517</v>
      </c>
      <c r="G44" s="68"/>
      <c r="H44" s="88"/>
      <c r="I44" s="88">
        <f t="shared" si="3"/>
        <v>0</v>
      </c>
      <c r="J44" s="68"/>
    </row>
    <row r="45" spans="1:10" ht="18" customHeight="1" thickBot="1">
      <c r="A45" s="889"/>
      <c r="B45" s="124">
        <v>36</v>
      </c>
      <c r="C45" s="125">
        <f t="shared" si="2"/>
        <v>-51278.62215000026</v>
      </c>
      <c r="D45" s="125">
        <f t="shared" si="6"/>
        <v>-12819.6555375</v>
      </c>
      <c r="E45" s="125">
        <f t="shared" si="4"/>
        <v>-1576.953588937642</v>
      </c>
      <c r="F45" s="126">
        <f t="shared" si="7"/>
        <v>-14396.609126437643</v>
      </c>
      <c r="G45" s="88">
        <f>+E42+E43+E44+E45</f>
        <v>-8200.158662475733</v>
      </c>
      <c r="H45" s="88">
        <f>+D42+D43+D44+D45</f>
        <v>-51278.62215</v>
      </c>
      <c r="I45" s="88">
        <f t="shared" si="3"/>
        <v>-59478.780812475736</v>
      </c>
      <c r="J45" s="68"/>
    </row>
    <row r="46" spans="1:10" ht="18" customHeight="1">
      <c r="A46" s="889">
        <v>10</v>
      </c>
      <c r="B46" s="101">
        <v>37</v>
      </c>
      <c r="C46" s="123">
        <f t="shared" si="2"/>
        <v>-38458.966612500255</v>
      </c>
      <c r="D46" s="123">
        <f>D29</f>
        <v>-12819.6555375</v>
      </c>
      <c r="E46" s="123">
        <f t="shared" si="4"/>
        <v>-1261.562871150115</v>
      </c>
      <c r="F46" s="122">
        <f t="shared" si="0"/>
        <v>-14081.218408650115</v>
      </c>
      <c r="G46" s="68"/>
      <c r="H46" s="88"/>
      <c r="I46" s="88">
        <f t="shared" si="3"/>
        <v>0</v>
      </c>
      <c r="J46" s="68"/>
    </row>
    <row r="47" spans="1:10" ht="18" customHeight="1">
      <c r="A47" s="889"/>
      <c r="B47" s="101">
        <v>38</v>
      </c>
      <c r="C47" s="123">
        <f t="shared" si="2"/>
        <v>-25639.311075000252</v>
      </c>
      <c r="D47" s="123">
        <f t="shared" si="6"/>
        <v>-12819.6555375</v>
      </c>
      <c r="E47" s="123">
        <f t="shared" si="4"/>
        <v>-946.1721533625878</v>
      </c>
      <c r="F47" s="122">
        <f t="shared" si="0"/>
        <v>-13765.827690862588</v>
      </c>
      <c r="G47" s="68"/>
      <c r="H47" s="88"/>
      <c r="I47" s="88">
        <f t="shared" si="3"/>
        <v>0</v>
      </c>
      <c r="J47" s="68"/>
    </row>
    <row r="48" spans="1:10" ht="18" customHeight="1">
      <c r="A48" s="889"/>
      <c r="B48" s="101">
        <v>39</v>
      </c>
      <c r="C48" s="123">
        <f t="shared" si="2"/>
        <v>-12819.655537500252</v>
      </c>
      <c r="D48" s="123">
        <f t="shared" si="6"/>
        <v>-12819.6555375</v>
      </c>
      <c r="E48" s="123">
        <f t="shared" si="4"/>
        <v>-630.7814355750605</v>
      </c>
      <c r="F48" s="122">
        <f t="shared" si="0"/>
        <v>-13450.43697307506</v>
      </c>
      <c r="G48" s="68"/>
      <c r="H48" s="88"/>
      <c r="I48" s="88">
        <f t="shared" si="3"/>
        <v>0</v>
      </c>
      <c r="J48" s="68"/>
    </row>
    <row r="49" spans="1:10" ht="18" customHeight="1" thickBot="1">
      <c r="A49" s="889"/>
      <c r="B49" s="124">
        <v>40</v>
      </c>
      <c r="C49" s="125">
        <f t="shared" si="2"/>
        <v>-2.510205376893282E-10</v>
      </c>
      <c r="D49" s="125">
        <f t="shared" si="6"/>
        <v>-12819.6555375</v>
      </c>
      <c r="E49" s="125">
        <f t="shared" si="4"/>
        <v>-315.39071778753333</v>
      </c>
      <c r="F49" s="126">
        <f t="shared" si="0"/>
        <v>-13135.046255287534</v>
      </c>
      <c r="G49" s="88">
        <f>+E46+E47+E48+E49</f>
        <v>-3153.907177875297</v>
      </c>
      <c r="H49" s="88">
        <f>+D46+D47+D48+D49</f>
        <v>-51278.62215</v>
      </c>
      <c r="I49" s="88">
        <f t="shared" si="3"/>
        <v>-54432.5293278753</v>
      </c>
      <c r="J49" s="68"/>
    </row>
    <row r="50" spans="1:10" ht="18" customHeight="1">
      <c r="A50" s="211"/>
      <c r="B50" s="204" t="s">
        <v>12</v>
      </c>
      <c r="C50" s="205"/>
      <c r="D50" s="446">
        <f>SUM(D10:D49)</f>
        <v>-410228.9771999998</v>
      </c>
      <c r="E50" s="206">
        <f>SUM(E9:E49)</f>
        <v>-247266.32274542144</v>
      </c>
      <c r="F50" s="207">
        <f>SUM(F9:F49)</f>
        <v>-657495.2999454214</v>
      </c>
      <c r="G50" s="68"/>
      <c r="H50" s="68"/>
      <c r="I50" s="68"/>
      <c r="J50" s="68"/>
    </row>
    <row r="51" spans="7:10" ht="15">
      <c r="G51" s="68"/>
      <c r="H51" s="68"/>
      <c r="I51" s="68"/>
      <c r="J51" s="68"/>
    </row>
    <row r="52" spans="7:10" ht="15">
      <c r="G52" s="68"/>
      <c r="H52" s="68"/>
      <c r="I52" s="68"/>
      <c r="J52" s="68"/>
    </row>
    <row r="53" spans="7:10" ht="15">
      <c r="G53" s="68"/>
      <c r="H53" s="68"/>
      <c r="I53" s="68"/>
      <c r="J53" s="68"/>
    </row>
    <row r="54" spans="5:10" ht="15">
      <c r="E54" s="203"/>
      <c r="F54" s="203"/>
      <c r="G54" s="68"/>
      <c r="H54" s="68"/>
      <c r="I54" s="68"/>
      <c r="J54" s="68"/>
    </row>
    <row r="55" spans="7:10" ht="15">
      <c r="G55" s="68"/>
      <c r="H55" s="68"/>
      <c r="I55" s="68"/>
      <c r="J55" s="68"/>
    </row>
    <row r="56" spans="7:10" ht="15">
      <c r="G56" s="68"/>
      <c r="H56" s="68"/>
      <c r="I56" s="68"/>
      <c r="J56" s="68"/>
    </row>
    <row r="57" spans="7:10" ht="15">
      <c r="G57" s="68"/>
      <c r="H57" s="68"/>
      <c r="I57" s="68"/>
      <c r="J57" s="68"/>
    </row>
    <row r="58" spans="7:10" ht="15">
      <c r="G58" s="68"/>
      <c r="H58" s="68"/>
      <c r="I58" s="68"/>
      <c r="J58" s="68"/>
    </row>
    <row r="59" spans="7:10" ht="15">
      <c r="G59" s="68"/>
      <c r="H59" s="68"/>
      <c r="I59" s="68"/>
      <c r="J59" s="68"/>
    </row>
    <row r="60" spans="7:10" ht="15">
      <c r="G60" s="68"/>
      <c r="H60" s="68"/>
      <c r="I60" s="68"/>
      <c r="J60" s="68"/>
    </row>
  </sheetData>
  <sheetProtection/>
  <mergeCells count="11">
    <mergeCell ref="B1:F1"/>
    <mergeCell ref="A9:A13"/>
    <mergeCell ref="A14:A17"/>
    <mergeCell ref="A34:A36"/>
    <mergeCell ref="A46:A49"/>
    <mergeCell ref="A18:A21"/>
    <mergeCell ref="A22:A25"/>
    <mergeCell ref="A26:A29"/>
    <mergeCell ref="A30:A33"/>
    <mergeCell ref="A38:A41"/>
    <mergeCell ref="A42:A45"/>
  </mergeCells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K120"/>
  <sheetViews>
    <sheetView showGridLines="0" showZeros="0" zoomScale="80" zoomScaleNormal="80" zoomScalePageLayoutView="0" workbookViewId="0" topLeftCell="A1">
      <selection activeCell="H92" sqref="H92"/>
    </sheetView>
  </sheetViews>
  <sheetFormatPr defaultColWidth="11.421875" defaultRowHeight="12.75" outlineLevelRow="1"/>
  <cols>
    <col min="1" max="1" width="13.00390625" style="173" customWidth="1"/>
    <col min="2" max="2" width="38.00390625" style="1" customWidth="1"/>
    <col min="3" max="3" width="15.7109375" style="1" hidden="1" customWidth="1"/>
    <col min="4" max="4" width="14.28125" style="131" hidden="1" customWidth="1"/>
    <col min="5" max="5" width="21.8515625" style="202" customWidth="1"/>
    <col min="6" max="6" width="14.28125" style="453" customWidth="1"/>
    <col min="7" max="7" width="17.8515625" style="1" customWidth="1"/>
    <col min="8" max="8" width="16.421875" style="1" bestFit="1" customWidth="1"/>
    <col min="9" max="9" width="52.140625" style="1" customWidth="1"/>
    <col min="10" max="11" width="6.421875" style="1" customWidth="1"/>
    <col min="12" max="12" width="8.00390625" style="1" customWidth="1"/>
    <col min="13" max="13" width="5.140625" style="1" customWidth="1"/>
    <col min="14" max="14" width="8.140625" style="1" customWidth="1"/>
    <col min="15" max="15" width="7.28125" style="1" customWidth="1"/>
    <col min="16" max="17" width="6.421875" style="1" customWidth="1"/>
    <col min="18" max="18" width="7.8515625" style="1" customWidth="1"/>
    <col min="19" max="19" width="13.00390625" style="1" customWidth="1"/>
    <col min="20" max="16384" width="11.421875" style="1" customWidth="1"/>
  </cols>
  <sheetData>
    <row r="1" spans="10:62" ht="14.25"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</row>
    <row r="2" spans="1:62" ht="14.25">
      <c r="A2" s="703" t="s">
        <v>13</v>
      </c>
      <c r="B2" s="703"/>
      <c r="C2" s="703"/>
      <c r="D2" s="704"/>
      <c r="E2" s="705"/>
      <c r="F2" s="706"/>
      <c r="G2" s="705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</row>
    <row r="3" spans="1:62" ht="25.5">
      <c r="A3" s="707" t="s">
        <v>3</v>
      </c>
      <c r="B3" s="707" t="s">
        <v>4</v>
      </c>
      <c r="C3" s="707" t="s">
        <v>5</v>
      </c>
      <c r="D3" s="707" t="s">
        <v>6</v>
      </c>
      <c r="E3" s="707" t="s">
        <v>7</v>
      </c>
      <c r="F3" s="707" t="s">
        <v>489</v>
      </c>
      <c r="G3" s="707" t="s">
        <v>490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</row>
    <row r="4" spans="1:62" ht="38.25">
      <c r="A4" s="708">
        <v>1</v>
      </c>
      <c r="B4" s="709" t="s">
        <v>14</v>
      </c>
      <c r="C4" s="710" t="s">
        <v>15</v>
      </c>
      <c r="D4" s="711">
        <v>100000</v>
      </c>
      <c r="E4" s="712">
        <f aca="true" t="shared" si="0" ref="E4:E18">+D4*A4</f>
        <v>100000</v>
      </c>
      <c r="F4" s="713">
        <v>20</v>
      </c>
      <c r="G4" s="712">
        <f aca="true" t="shared" si="1" ref="G4:G22">E4-(E4/F4)*10</f>
        <v>50000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</row>
    <row r="5" spans="1:62" ht="25.5">
      <c r="A5" s="708">
        <v>1</v>
      </c>
      <c r="B5" s="709" t="s">
        <v>16</v>
      </c>
      <c r="C5" s="710" t="s">
        <v>15</v>
      </c>
      <c r="D5" s="711">
        <v>18160</v>
      </c>
      <c r="E5" s="712">
        <f t="shared" si="0"/>
        <v>18160</v>
      </c>
      <c r="F5" s="714">
        <v>30</v>
      </c>
      <c r="G5" s="712">
        <f t="shared" si="1"/>
        <v>12106.666666666666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</row>
    <row r="6" spans="1:62" ht="25.5">
      <c r="A6" s="715">
        <v>2500</v>
      </c>
      <c r="B6" s="716" t="s">
        <v>17</v>
      </c>
      <c r="C6" s="717" t="s">
        <v>18</v>
      </c>
      <c r="D6" s="718">
        <v>10.2</v>
      </c>
      <c r="E6" s="712">
        <f t="shared" si="0"/>
        <v>25500</v>
      </c>
      <c r="F6" s="714">
        <v>25</v>
      </c>
      <c r="G6" s="712">
        <f t="shared" si="1"/>
        <v>15300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</row>
    <row r="7" spans="1:62" ht="25.5">
      <c r="A7" s="717">
        <v>1000</v>
      </c>
      <c r="B7" s="716" t="s">
        <v>338</v>
      </c>
      <c r="C7" s="717" t="s">
        <v>18</v>
      </c>
      <c r="D7" s="719">
        <v>75</v>
      </c>
      <c r="E7" s="712">
        <f t="shared" si="0"/>
        <v>75000</v>
      </c>
      <c r="F7" s="714">
        <v>30</v>
      </c>
      <c r="G7" s="712">
        <f t="shared" si="1"/>
        <v>50000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</row>
    <row r="8" spans="1:62" ht="25.5">
      <c r="A8" s="708">
        <v>1</v>
      </c>
      <c r="B8" s="716" t="s">
        <v>347</v>
      </c>
      <c r="C8" s="710" t="s">
        <v>5</v>
      </c>
      <c r="D8" s="711">
        <v>2000</v>
      </c>
      <c r="E8" s="712">
        <f t="shared" si="0"/>
        <v>2000</v>
      </c>
      <c r="F8" s="714">
        <v>15</v>
      </c>
      <c r="G8" s="712">
        <f t="shared" si="1"/>
        <v>666.6666666666665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</row>
    <row r="9" spans="1:62" ht="25.5">
      <c r="A9" s="708">
        <v>1</v>
      </c>
      <c r="B9" s="716" t="s">
        <v>19</v>
      </c>
      <c r="C9" s="710" t="s">
        <v>15</v>
      </c>
      <c r="D9" s="711">
        <v>15000</v>
      </c>
      <c r="E9" s="712">
        <f t="shared" si="0"/>
        <v>15000</v>
      </c>
      <c r="F9" s="714">
        <v>25</v>
      </c>
      <c r="G9" s="712">
        <f t="shared" si="1"/>
        <v>9000</v>
      </c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</row>
    <row r="10" spans="1:62" ht="14.25">
      <c r="A10" s="708">
        <v>1500</v>
      </c>
      <c r="B10" s="716" t="s">
        <v>21</v>
      </c>
      <c r="C10" s="710" t="s">
        <v>20</v>
      </c>
      <c r="D10" s="711">
        <v>6.5</v>
      </c>
      <c r="E10" s="712">
        <f t="shared" si="0"/>
        <v>9750</v>
      </c>
      <c r="F10" s="714">
        <v>25</v>
      </c>
      <c r="G10" s="712">
        <f t="shared" si="1"/>
        <v>5850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</row>
    <row r="11" spans="1:62" ht="25.5">
      <c r="A11" s="710">
        <v>35</v>
      </c>
      <c r="B11" s="716" t="s">
        <v>22</v>
      </c>
      <c r="C11" s="710" t="s">
        <v>23</v>
      </c>
      <c r="D11" s="711">
        <v>210</v>
      </c>
      <c r="E11" s="712">
        <f t="shared" si="0"/>
        <v>7350</v>
      </c>
      <c r="F11" s="714">
        <v>15</v>
      </c>
      <c r="G11" s="712">
        <f t="shared" si="1"/>
        <v>2450</v>
      </c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</row>
    <row r="12" spans="1:62" ht="25.5">
      <c r="A12" s="710">
        <v>1</v>
      </c>
      <c r="B12" s="716" t="s">
        <v>24</v>
      </c>
      <c r="C12" s="710" t="s">
        <v>15</v>
      </c>
      <c r="D12" s="711">
        <v>8000</v>
      </c>
      <c r="E12" s="712">
        <f t="shared" si="0"/>
        <v>8000</v>
      </c>
      <c r="F12" s="714">
        <v>50</v>
      </c>
      <c r="G12" s="712">
        <f t="shared" si="1"/>
        <v>6400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</row>
    <row r="13" spans="1:62" ht="14.25">
      <c r="A13" s="708">
        <v>2</v>
      </c>
      <c r="B13" s="716" t="s">
        <v>354</v>
      </c>
      <c r="C13" s="710" t="s">
        <v>20</v>
      </c>
      <c r="D13" s="711">
        <v>7500</v>
      </c>
      <c r="E13" s="712">
        <f t="shared" si="0"/>
        <v>15000</v>
      </c>
      <c r="F13" s="714">
        <v>40</v>
      </c>
      <c r="G13" s="712">
        <f t="shared" si="1"/>
        <v>11250</v>
      </c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</row>
    <row r="14" spans="1:62" ht="14.25">
      <c r="A14" s="708">
        <v>50</v>
      </c>
      <c r="B14" s="716" t="s">
        <v>25</v>
      </c>
      <c r="C14" s="710" t="s">
        <v>20</v>
      </c>
      <c r="D14" s="711">
        <v>90</v>
      </c>
      <c r="E14" s="712">
        <f t="shared" si="0"/>
        <v>4500</v>
      </c>
      <c r="F14" s="714">
        <v>25</v>
      </c>
      <c r="G14" s="712">
        <f t="shared" si="1"/>
        <v>2700</v>
      </c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</row>
    <row r="15" spans="1:62" ht="25.5">
      <c r="A15" s="708">
        <v>1260</v>
      </c>
      <c r="B15" s="716" t="s">
        <v>361</v>
      </c>
      <c r="C15" s="710" t="s">
        <v>20</v>
      </c>
      <c r="D15" s="711">
        <v>5</v>
      </c>
      <c r="E15" s="712">
        <f t="shared" si="0"/>
        <v>6300</v>
      </c>
      <c r="F15" s="714">
        <v>20</v>
      </c>
      <c r="G15" s="712">
        <f t="shared" si="1"/>
        <v>3150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</row>
    <row r="16" spans="1:62" ht="14.25">
      <c r="A16" s="708">
        <v>5</v>
      </c>
      <c r="B16" s="716" t="s">
        <v>26</v>
      </c>
      <c r="C16" s="710" t="s">
        <v>5</v>
      </c>
      <c r="D16" s="711">
        <v>2000</v>
      </c>
      <c r="E16" s="712">
        <f t="shared" si="0"/>
        <v>10000</v>
      </c>
      <c r="F16" s="714">
        <v>50</v>
      </c>
      <c r="G16" s="712">
        <f t="shared" si="1"/>
        <v>8000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</row>
    <row r="17" spans="1:62" ht="14.25">
      <c r="A17" s="708">
        <v>2</v>
      </c>
      <c r="B17" s="716" t="s">
        <v>27</v>
      </c>
      <c r="C17" s="710" t="s">
        <v>5</v>
      </c>
      <c r="D17" s="711">
        <v>4200</v>
      </c>
      <c r="E17" s="712">
        <f t="shared" si="0"/>
        <v>8400</v>
      </c>
      <c r="F17" s="714">
        <v>15</v>
      </c>
      <c r="G17" s="712">
        <f t="shared" si="1"/>
        <v>2800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</row>
    <row r="18" spans="1:62" ht="38.25">
      <c r="A18" s="708">
        <v>1</v>
      </c>
      <c r="B18" s="716" t="s">
        <v>397</v>
      </c>
      <c r="C18" s="710" t="s">
        <v>15</v>
      </c>
      <c r="D18" s="711">
        <v>15250</v>
      </c>
      <c r="E18" s="712">
        <f t="shared" si="0"/>
        <v>15250</v>
      </c>
      <c r="F18" s="714">
        <v>30</v>
      </c>
      <c r="G18" s="712">
        <f t="shared" si="1"/>
        <v>10166.666666666668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</row>
    <row r="19" spans="1:62" ht="25.5">
      <c r="A19" s="708">
        <v>1</v>
      </c>
      <c r="B19" s="716" t="s">
        <v>337</v>
      </c>
      <c r="C19" s="710" t="s">
        <v>15</v>
      </c>
      <c r="D19" s="711">
        <v>50</v>
      </c>
      <c r="E19" s="711">
        <v>250000</v>
      </c>
      <c r="F19" s="714">
        <v>50</v>
      </c>
      <c r="G19" s="712">
        <f t="shared" si="1"/>
        <v>200000</v>
      </c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</row>
    <row r="20" spans="1:62" ht="25.5">
      <c r="A20" s="708">
        <v>1</v>
      </c>
      <c r="B20" s="716" t="s">
        <v>398</v>
      </c>
      <c r="C20" s="710" t="s">
        <v>15</v>
      </c>
      <c r="D20" s="711">
        <v>8000</v>
      </c>
      <c r="E20" s="712">
        <f>+D20*A20</f>
        <v>8000</v>
      </c>
      <c r="F20" s="714">
        <v>15</v>
      </c>
      <c r="G20" s="712">
        <f t="shared" si="1"/>
        <v>2666.666666666666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</row>
    <row r="21" spans="1:62" ht="14.25">
      <c r="A21" s="708">
        <v>1</v>
      </c>
      <c r="B21" s="716" t="s">
        <v>28</v>
      </c>
      <c r="C21" s="710" t="s">
        <v>15</v>
      </c>
      <c r="D21" s="711">
        <v>12000</v>
      </c>
      <c r="E21" s="712">
        <f>+D21*A21</f>
        <v>12000</v>
      </c>
      <c r="F21" s="714">
        <v>20</v>
      </c>
      <c r="G21" s="712">
        <f t="shared" si="1"/>
        <v>6000</v>
      </c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</row>
    <row r="22" spans="1:62" ht="14.25">
      <c r="A22" s="720">
        <v>1</v>
      </c>
      <c r="B22" s="721" t="s">
        <v>80</v>
      </c>
      <c r="C22" s="721" t="s">
        <v>38</v>
      </c>
      <c r="D22" s="722">
        <v>9000</v>
      </c>
      <c r="E22" s="723">
        <f>D22*A22</f>
        <v>9000</v>
      </c>
      <c r="F22" s="714">
        <v>30</v>
      </c>
      <c r="G22" s="712">
        <f t="shared" si="1"/>
        <v>6000</v>
      </c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</row>
    <row r="23" spans="1:62" ht="14.25">
      <c r="A23" s="724" t="s">
        <v>12</v>
      </c>
      <c r="B23" s="725"/>
      <c r="C23" s="726"/>
      <c r="D23" s="727"/>
      <c r="E23" s="728">
        <f>SUM(E4:E21)</f>
        <v>590210</v>
      </c>
      <c r="F23" s="714"/>
      <c r="G23" s="729">
        <f>SUM(G4:G22)</f>
        <v>404506.6666666667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</row>
    <row r="24" spans="10:62" ht="14.25"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</row>
    <row r="25" spans="10:62" ht="14.25"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</row>
    <row r="26" spans="1:62" ht="14.25">
      <c r="A26" s="144"/>
      <c r="B26" s="145"/>
      <c r="C26" s="145"/>
      <c r="D26" s="660"/>
      <c r="E26" s="661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</row>
    <row r="27" spans="1:62" ht="15" thickBot="1">
      <c r="A27" s="703" t="s">
        <v>29</v>
      </c>
      <c r="B27" s="703"/>
      <c r="C27" s="703"/>
      <c r="D27" s="704"/>
      <c r="E27" s="705"/>
      <c r="F27" s="706"/>
      <c r="G27" s="705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</row>
    <row r="28" spans="1:62" ht="25.5">
      <c r="A28" s="707" t="s">
        <v>3</v>
      </c>
      <c r="B28" s="707" t="s">
        <v>4</v>
      </c>
      <c r="C28" s="707" t="s">
        <v>5</v>
      </c>
      <c r="D28" s="707" t="s">
        <v>6</v>
      </c>
      <c r="E28" s="707" t="s">
        <v>7</v>
      </c>
      <c r="F28" s="707" t="s">
        <v>489</v>
      </c>
      <c r="G28" s="707" t="s">
        <v>490</v>
      </c>
      <c r="I28" s="454" t="s">
        <v>491</v>
      </c>
      <c r="J28" s="455">
        <v>1</v>
      </c>
      <c r="K28" s="455">
        <v>2</v>
      </c>
      <c r="L28" s="455">
        <v>3</v>
      </c>
      <c r="M28" s="455">
        <v>4</v>
      </c>
      <c r="N28" s="455">
        <v>5</v>
      </c>
      <c r="O28" s="455">
        <v>6</v>
      </c>
      <c r="P28" s="455">
        <v>7</v>
      </c>
      <c r="Q28" s="455">
        <v>8</v>
      </c>
      <c r="R28" s="455">
        <v>9</v>
      </c>
      <c r="S28" s="455">
        <v>10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</row>
    <row r="29" spans="1:62" ht="15" customHeight="1">
      <c r="A29" s="708">
        <v>1</v>
      </c>
      <c r="B29" s="730" t="s">
        <v>30</v>
      </c>
      <c r="C29" s="710" t="s">
        <v>5</v>
      </c>
      <c r="D29" s="731">
        <v>1100</v>
      </c>
      <c r="E29" s="712">
        <f aca="true" t="shared" si="2" ref="E29:E46">D29*A29</f>
        <v>1100</v>
      </c>
      <c r="F29" s="713">
        <v>10</v>
      </c>
      <c r="G29" s="712">
        <f aca="true" t="shared" si="3" ref="G29:G39">E29-(E29/F29)*10</f>
        <v>0</v>
      </c>
      <c r="I29" s="456" t="s">
        <v>30</v>
      </c>
      <c r="J29" s="457"/>
      <c r="K29" s="457"/>
      <c r="L29" s="457"/>
      <c r="M29" s="457"/>
      <c r="N29" s="457"/>
      <c r="O29" s="457"/>
      <c r="P29" s="457"/>
      <c r="Q29" s="457"/>
      <c r="R29" s="457"/>
      <c r="S29" s="457">
        <f>E29</f>
        <v>1100</v>
      </c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</row>
    <row r="30" spans="1:62" ht="15" customHeight="1">
      <c r="A30" s="708">
        <v>1</v>
      </c>
      <c r="B30" s="730" t="s">
        <v>31</v>
      </c>
      <c r="C30" s="710" t="s">
        <v>5</v>
      </c>
      <c r="D30" s="731">
        <v>1680</v>
      </c>
      <c r="E30" s="712">
        <f t="shared" si="2"/>
        <v>1680</v>
      </c>
      <c r="F30" s="714">
        <v>10</v>
      </c>
      <c r="G30" s="712">
        <f t="shared" si="3"/>
        <v>0</v>
      </c>
      <c r="I30" s="456" t="s">
        <v>31</v>
      </c>
      <c r="J30" s="457"/>
      <c r="K30" s="457"/>
      <c r="L30" s="457"/>
      <c r="M30" s="457"/>
      <c r="N30" s="457"/>
      <c r="O30" s="457"/>
      <c r="P30" s="457"/>
      <c r="Q30" s="457"/>
      <c r="R30" s="457"/>
      <c r="S30" s="457">
        <f>E30</f>
        <v>1680</v>
      </c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</row>
    <row r="31" spans="1:62" ht="15" customHeight="1">
      <c r="A31" s="708">
        <v>1</v>
      </c>
      <c r="B31" s="730" t="s">
        <v>32</v>
      </c>
      <c r="C31" s="710" t="s">
        <v>5</v>
      </c>
      <c r="D31" s="731">
        <v>1100</v>
      </c>
      <c r="E31" s="712">
        <f t="shared" si="2"/>
        <v>1100</v>
      </c>
      <c r="F31" s="714">
        <v>15</v>
      </c>
      <c r="G31" s="712">
        <f t="shared" si="3"/>
        <v>366.66666666666674</v>
      </c>
      <c r="I31" s="458" t="s">
        <v>55</v>
      </c>
      <c r="J31" s="457"/>
      <c r="K31" s="457"/>
      <c r="L31" s="457"/>
      <c r="M31" s="457"/>
      <c r="N31" s="457"/>
      <c r="O31" s="457"/>
      <c r="P31" s="457"/>
      <c r="Q31" s="457"/>
      <c r="R31" s="457"/>
      <c r="S31" s="457">
        <v>4010</v>
      </c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</row>
    <row r="32" spans="1:62" ht="15" customHeight="1">
      <c r="A32" s="708">
        <v>1</v>
      </c>
      <c r="B32" s="716" t="s">
        <v>33</v>
      </c>
      <c r="C32" s="710" t="s">
        <v>5</v>
      </c>
      <c r="D32" s="731">
        <v>720</v>
      </c>
      <c r="E32" s="712">
        <f t="shared" si="2"/>
        <v>720</v>
      </c>
      <c r="F32" s="714">
        <v>15</v>
      </c>
      <c r="G32" s="712">
        <f t="shared" si="3"/>
        <v>240</v>
      </c>
      <c r="I32" s="458" t="s">
        <v>319</v>
      </c>
      <c r="J32" s="457"/>
      <c r="K32" s="457"/>
      <c r="L32" s="457"/>
      <c r="M32" s="457"/>
      <c r="N32" s="457"/>
      <c r="O32" s="457"/>
      <c r="P32" s="457"/>
      <c r="Q32" s="457"/>
      <c r="R32" s="457"/>
      <c r="S32" s="457">
        <v>1800</v>
      </c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</row>
    <row r="33" spans="1:62" ht="15" customHeight="1">
      <c r="A33" s="708">
        <v>1</v>
      </c>
      <c r="B33" s="716" t="s">
        <v>34</v>
      </c>
      <c r="C33" s="710" t="s">
        <v>5</v>
      </c>
      <c r="D33" s="731">
        <v>1600</v>
      </c>
      <c r="E33" s="712">
        <f t="shared" si="2"/>
        <v>1600</v>
      </c>
      <c r="F33" s="714">
        <v>15</v>
      </c>
      <c r="G33" s="712">
        <f t="shared" si="3"/>
        <v>533.3333333333333</v>
      </c>
      <c r="I33" s="459" t="s">
        <v>348</v>
      </c>
      <c r="J33" s="457"/>
      <c r="K33" s="457"/>
      <c r="L33" s="457"/>
      <c r="M33" s="457"/>
      <c r="N33" s="457"/>
      <c r="O33" s="457"/>
      <c r="P33" s="457"/>
      <c r="Q33" s="457"/>
      <c r="R33" s="457"/>
      <c r="S33" s="457">
        <v>5250</v>
      </c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</row>
    <row r="34" spans="1:62" ht="15" customHeight="1">
      <c r="A34" s="708">
        <v>1</v>
      </c>
      <c r="B34" s="716" t="s">
        <v>35</v>
      </c>
      <c r="C34" s="710" t="s">
        <v>5</v>
      </c>
      <c r="D34" s="731">
        <v>7457</v>
      </c>
      <c r="E34" s="712">
        <f t="shared" si="2"/>
        <v>7457</v>
      </c>
      <c r="F34" s="714">
        <v>15</v>
      </c>
      <c r="G34" s="712">
        <f t="shared" si="3"/>
        <v>2485.666666666667</v>
      </c>
      <c r="I34" s="460" t="s">
        <v>36</v>
      </c>
      <c r="J34" s="457"/>
      <c r="K34" s="457"/>
      <c r="L34" s="457"/>
      <c r="M34" s="457"/>
      <c r="N34" s="457"/>
      <c r="O34" s="457"/>
      <c r="P34" s="457"/>
      <c r="Q34" s="457"/>
      <c r="R34" s="457"/>
      <c r="S34" s="457">
        <f>E35</f>
        <v>960</v>
      </c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</row>
    <row r="35" spans="1:62" ht="15" customHeight="1">
      <c r="A35" s="708">
        <v>2</v>
      </c>
      <c r="B35" s="716" t="s">
        <v>36</v>
      </c>
      <c r="C35" s="710" t="s">
        <v>5</v>
      </c>
      <c r="D35" s="731">
        <v>480</v>
      </c>
      <c r="E35" s="712">
        <f t="shared" si="2"/>
        <v>960</v>
      </c>
      <c r="F35" s="714">
        <v>10</v>
      </c>
      <c r="G35" s="712">
        <f t="shared" si="3"/>
        <v>0</v>
      </c>
      <c r="I35" s="460" t="s">
        <v>40</v>
      </c>
      <c r="J35" s="457"/>
      <c r="K35" s="457"/>
      <c r="L35" s="457"/>
      <c r="M35" s="457"/>
      <c r="N35" s="457"/>
      <c r="O35" s="457"/>
      <c r="P35" s="457"/>
      <c r="Q35" s="457"/>
      <c r="R35" s="457"/>
      <c r="S35" s="457">
        <f>E38</f>
        <v>785</v>
      </c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</row>
    <row r="36" spans="1:62" ht="14.25" outlineLevel="1">
      <c r="A36" s="708">
        <v>1</v>
      </c>
      <c r="B36" s="716" t="s">
        <v>318</v>
      </c>
      <c r="C36" s="710" t="s">
        <v>38</v>
      </c>
      <c r="D36" s="731">
        <v>24000</v>
      </c>
      <c r="E36" s="712">
        <f t="shared" si="2"/>
        <v>24000</v>
      </c>
      <c r="F36" s="714">
        <v>15</v>
      </c>
      <c r="G36" s="712">
        <f t="shared" si="3"/>
        <v>8000</v>
      </c>
      <c r="I36" s="460" t="s">
        <v>41</v>
      </c>
      <c r="J36" s="457"/>
      <c r="K36" s="457"/>
      <c r="L36" s="457"/>
      <c r="M36" s="457"/>
      <c r="N36" s="457"/>
      <c r="O36" s="457"/>
      <c r="P36" s="457"/>
      <c r="Q36" s="457"/>
      <c r="R36" s="457"/>
      <c r="S36" s="457">
        <f>E39</f>
        <v>1100</v>
      </c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</row>
    <row r="37" spans="1:62" ht="15" customHeight="1">
      <c r="A37" s="715">
        <v>1</v>
      </c>
      <c r="B37" s="716" t="s">
        <v>39</v>
      </c>
      <c r="C37" s="717" t="s">
        <v>38</v>
      </c>
      <c r="D37" s="732">
        <v>18000</v>
      </c>
      <c r="E37" s="712">
        <f t="shared" si="2"/>
        <v>18000</v>
      </c>
      <c r="F37" s="713">
        <v>25</v>
      </c>
      <c r="G37" s="712">
        <f t="shared" si="3"/>
        <v>10800</v>
      </c>
      <c r="I37" s="460" t="s">
        <v>42</v>
      </c>
      <c r="J37" s="457"/>
      <c r="K37" s="457"/>
      <c r="L37" s="457"/>
      <c r="M37" s="457"/>
      <c r="N37" s="457">
        <f>E40</f>
        <v>5200</v>
      </c>
      <c r="O37" s="457"/>
      <c r="P37" s="457"/>
      <c r="Q37" s="457"/>
      <c r="R37" s="457"/>
      <c r="S37" s="457">
        <f>N37</f>
        <v>5200</v>
      </c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</row>
    <row r="38" spans="1:62" ht="15" customHeight="1">
      <c r="A38" s="715">
        <v>1</v>
      </c>
      <c r="B38" s="716" t="s">
        <v>40</v>
      </c>
      <c r="C38" s="717" t="s">
        <v>5</v>
      </c>
      <c r="D38" s="732">
        <v>785</v>
      </c>
      <c r="E38" s="712">
        <f t="shared" si="2"/>
        <v>785</v>
      </c>
      <c r="F38" s="713">
        <v>10</v>
      </c>
      <c r="G38" s="712">
        <f t="shared" si="3"/>
        <v>0</v>
      </c>
      <c r="I38" s="460" t="s">
        <v>44</v>
      </c>
      <c r="J38" s="457"/>
      <c r="K38" s="457"/>
      <c r="L38" s="457"/>
      <c r="M38" s="457"/>
      <c r="N38" s="457"/>
      <c r="O38" s="457"/>
      <c r="P38" s="457"/>
      <c r="Q38" s="457"/>
      <c r="R38" s="457"/>
      <c r="S38" s="457">
        <f>E42</f>
        <v>730</v>
      </c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</row>
    <row r="39" spans="1:62" ht="14.25">
      <c r="A39" s="715">
        <v>1</v>
      </c>
      <c r="B39" s="716" t="s">
        <v>41</v>
      </c>
      <c r="C39" s="717" t="s">
        <v>5</v>
      </c>
      <c r="D39" s="732">
        <v>1100</v>
      </c>
      <c r="E39" s="712">
        <f t="shared" si="2"/>
        <v>1100</v>
      </c>
      <c r="F39" s="713">
        <v>10</v>
      </c>
      <c r="G39" s="712">
        <f t="shared" si="3"/>
        <v>0</v>
      </c>
      <c r="I39" s="460" t="s">
        <v>45</v>
      </c>
      <c r="J39" s="457"/>
      <c r="K39" s="457"/>
      <c r="L39" s="457"/>
      <c r="M39" s="457"/>
      <c r="N39" s="457"/>
      <c r="O39" s="457"/>
      <c r="P39" s="457"/>
      <c r="Q39" s="457"/>
      <c r="R39" s="457"/>
      <c r="S39" s="457">
        <f>E43</f>
        <v>1550</v>
      </c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</row>
    <row r="40" spans="1:62" ht="15" customHeight="1" outlineLevel="1">
      <c r="A40" s="715">
        <v>1</v>
      </c>
      <c r="B40" s="716" t="s">
        <v>42</v>
      </c>
      <c r="C40" s="717" t="s">
        <v>5</v>
      </c>
      <c r="D40" s="732">
        <v>5200</v>
      </c>
      <c r="E40" s="712">
        <f t="shared" si="2"/>
        <v>5200</v>
      </c>
      <c r="F40" s="713">
        <v>5</v>
      </c>
      <c r="G40" s="712">
        <v>0</v>
      </c>
      <c r="I40" s="460" t="s">
        <v>50</v>
      </c>
      <c r="J40" s="457"/>
      <c r="K40" s="457"/>
      <c r="L40" s="457"/>
      <c r="M40" s="457"/>
      <c r="N40" s="457"/>
      <c r="O40" s="457"/>
      <c r="P40" s="457"/>
      <c r="Q40" s="457"/>
      <c r="R40" s="457"/>
      <c r="S40" s="457">
        <f>E56</f>
        <v>18000</v>
      </c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</row>
    <row r="41" spans="1:62" ht="15" customHeight="1" outlineLevel="1">
      <c r="A41" s="715">
        <v>1</v>
      </c>
      <c r="B41" s="716" t="s">
        <v>43</v>
      </c>
      <c r="C41" s="717" t="s">
        <v>5</v>
      </c>
      <c r="D41" s="732">
        <v>2586</v>
      </c>
      <c r="E41" s="712">
        <f t="shared" si="2"/>
        <v>2586</v>
      </c>
      <c r="F41" s="713">
        <v>25</v>
      </c>
      <c r="G41" s="712">
        <f aca="true" t="shared" si="4" ref="G41:G46">E41-(E41/F41)*10</f>
        <v>1551.6</v>
      </c>
      <c r="I41" s="459" t="s">
        <v>350</v>
      </c>
      <c r="J41" s="461"/>
      <c r="K41" s="461"/>
      <c r="L41" s="461"/>
      <c r="M41" s="462"/>
      <c r="N41" s="461">
        <v>720</v>
      </c>
      <c r="O41" s="461"/>
      <c r="P41" s="461"/>
      <c r="Q41" s="461"/>
      <c r="R41" s="461"/>
      <c r="S41" s="461">
        <v>720</v>
      </c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</row>
    <row r="42" spans="1:62" ht="15" customHeight="1" outlineLevel="1">
      <c r="A42" s="715">
        <v>1</v>
      </c>
      <c r="B42" s="716" t="s">
        <v>44</v>
      </c>
      <c r="C42" s="717" t="s">
        <v>5</v>
      </c>
      <c r="D42" s="732">
        <v>730</v>
      </c>
      <c r="E42" s="712">
        <f t="shared" si="2"/>
        <v>730</v>
      </c>
      <c r="F42" s="713">
        <v>10</v>
      </c>
      <c r="G42" s="712">
        <f t="shared" si="4"/>
        <v>0</v>
      </c>
      <c r="I42" s="459" t="s">
        <v>56</v>
      </c>
      <c r="J42" s="457"/>
      <c r="K42" s="457"/>
      <c r="L42" s="457"/>
      <c r="M42" s="457"/>
      <c r="N42" s="457">
        <v>1250</v>
      </c>
      <c r="O42" s="457"/>
      <c r="P42" s="457"/>
      <c r="Q42" s="457"/>
      <c r="R42" s="457"/>
      <c r="S42" s="457">
        <v>1250</v>
      </c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</row>
    <row r="43" spans="1:62" ht="15" customHeight="1">
      <c r="A43" s="715">
        <v>1</v>
      </c>
      <c r="B43" s="716" t="s">
        <v>45</v>
      </c>
      <c r="C43" s="717" t="s">
        <v>5</v>
      </c>
      <c r="D43" s="732">
        <v>1550</v>
      </c>
      <c r="E43" s="712">
        <f t="shared" si="2"/>
        <v>1550</v>
      </c>
      <c r="F43" s="713">
        <v>10</v>
      </c>
      <c r="G43" s="712">
        <f t="shared" si="4"/>
        <v>0</v>
      </c>
      <c r="I43" s="459" t="s">
        <v>316</v>
      </c>
      <c r="J43" s="457"/>
      <c r="K43" s="457"/>
      <c r="L43" s="457"/>
      <c r="M43" s="457"/>
      <c r="N43" s="457"/>
      <c r="O43" s="457"/>
      <c r="P43" s="457"/>
      <c r="Q43" s="457"/>
      <c r="R43" s="457"/>
      <c r="S43" s="457">
        <v>165</v>
      </c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</row>
    <row r="44" spans="1:62" ht="15" customHeight="1" outlineLevel="1">
      <c r="A44" s="715">
        <v>1</v>
      </c>
      <c r="B44" s="716" t="s">
        <v>46</v>
      </c>
      <c r="C44" s="717" t="s">
        <v>38</v>
      </c>
      <c r="D44" s="732">
        <v>16500</v>
      </c>
      <c r="E44" s="712">
        <f t="shared" si="2"/>
        <v>16500</v>
      </c>
      <c r="F44" s="713">
        <v>15</v>
      </c>
      <c r="G44" s="712">
        <f t="shared" si="4"/>
        <v>5500</v>
      </c>
      <c r="I44" s="463" t="s">
        <v>57</v>
      </c>
      <c r="J44" s="457"/>
      <c r="K44" s="457"/>
      <c r="L44" s="457"/>
      <c r="M44" s="457"/>
      <c r="N44" s="457">
        <v>1000</v>
      </c>
      <c r="O44" s="457"/>
      <c r="P44" s="457"/>
      <c r="Q44" s="457"/>
      <c r="R44" s="457"/>
      <c r="S44" s="457">
        <f>N44</f>
        <v>1000</v>
      </c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</row>
    <row r="45" spans="1:245" ht="14.25">
      <c r="A45" s="715">
        <v>1</v>
      </c>
      <c r="B45" s="716" t="s">
        <v>47</v>
      </c>
      <c r="C45" s="717" t="s">
        <v>5</v>
      </c>
      <c r="D45" s="732">
        <v>1000</v>
      </c>
      <c r="E45" s="712">
        <f t="shared" si="2"/>
        <v>1000</v>
      </c>
      <c r="F45" s="713">
        <v>25</v>
      </c>
      <c r="G45" s="712">
        <f t="shared" si="4"/>
        <v>600</v>
      </c>
      <c r="H45" s="27"/>
      <c r="I45" s="459" t="s">
        <v>58</v>
      </c>
      <c r="J45" s="457"/>
      <c r="K45" s="457"/>
      <c r="L45" s="457"/>
      <c r="M45" s="457"/>
      <c r="N45" s="457"/>
      <c r="O45" s="457"/>
      <c r="P45" s="457"/>
      <c r="Q45" s="457"/>
      <c r="R45" s="457"/>
      <c r="S45" s="457">
        <v>1960</v>
      </c>
      <c r="T45" s="464"/>
      <c r="U45" s="465"/>
      <c r="V45" s="464"/>
      <c r="W45" s="465"/>
      <c r="X45" s="464"/>
      <c r="Y45" s="465"/>
      <c r="Z45" s="464"/>
      <c r="AA45" s="465"/>
      <c r="AB45" s="464"/>
      <c r="AC45" s="465"/>
      <c r="AD45" s="464"/>
      <c r="AE45" s="465"/>
      <c r="AF45" s="464"/>
      <c r="AG45" s="465"/>
      <c r="AH45" s="464"/>
      <c r="AI45" s="465"/>
      <c r="AJ45" s="464"/>
      <c r="AK45" s="465"/>
      <c r="AL45" s="464"/>
      <c r="AM45" s="465"/>
      <c r="AN45" s="464"/>
      <c r="AO45" s="465"/>
      <c r="AP45" s="464"/>
      <c r="AQ45" s="465"/>
      <c r="AR45" s="464"/>
      <c r="AS45" s="465"/>
      <c r="AT45" s="464"/>
      <c r="AU45" s="465"/>
      <c r="AV45" s="464"/>
      <c r="AW45" s="465"/>
      <c r="AX45" s="464"/>
      <c r="AY45" s="465"/>
      <c r="AZ45" s="464"/>
      <c r="BA45" s="465"/>
      <c r="BB45" s="464"/>
      <c r="BC45" s="465"/>
      <c r="BD45" s="464"/>
      <c r="BE45" s="465"/>
      <c r="BF45" s="464"/>
      <c r="BG45" s="465"/>
      <c r="BH45" s="464"/>
      <c r="BI45" s="465"/>
      <c r="BJ45" s="464"/>
      <c r="BK45" s="24"/>
      <c r="BL45" s="27"/>
      <c r="BM45" s="24"/>
      <c r="BN45" s="27"/>
      <c r="BO45" s="24"/>
      <c r="BP45" s="27"/>
      <c r="BQ45" s="24"/>
      <c r="BR45" s="27"/>
      <c r="BS45" s="24"/>
      <c r="BT45" s="27"/>
      <c r="BU45" s="24"/>
      <c r="BV45" s="27"/>
      <c r="BW45" s="24"/>
      <c r="BX45" s="27"/>
      <c r="BY45" s="24"/>
      <c r="BZ45" s="27"/>
      <c r="CA45" s="24"/>
      <c r="CB45" s="27"/>
      <c r="CC45" s="24"/>
      <c r="CD45" s="27"/>
      <c r="CE45" s="24"/>
      <c r="CF45" s="27"/>
      <c r="CG45" s="24"/>
      <c r="CH45" s="27"/>
      <c r="CI45" s="24"/>
      <c r="CJ45" s="27"/>
      <c r="CK45" s="24"/>
      <c r="CL45" s="27"/>
      <c r="CM45" s="24"/>
      <c r="CN45" s="27"/>
      <c r="CO45" s="24"/>
      <c r="CP45" s="27"/>
      <c r="CQ45" s="24"/>
      <c r="CR45" s="27"/>
      <c r="CS45" s="24"/>
      <c r="CT45" s="27"/>
      <c r="CU45" s="24"/>
      <c r="CV45" s="27"/>
      <c r="CW45" s="24"/>
      <c r="CX45" s="27"/>
      <c r="CY45" s="24"/>
      <c r="CZ45" s="27"/>
      <c r="DA45" s="24"/>
      <c r="DB45" s="27"/>
      <c r="DC45" s="24"/>
      <c r="DD45" s="27"/>
      <c r="DE45" s="24"/>
      <c r="DF45" s="27"/>
      <c r="DG45" s="24"/>
      <c r="DH45" s="27"/>
      <c r="DI45" s="24"/>
      <c r="DJ45" s="27"/>
      <c r="DK45" s="24"/>
      <c r="DL45" s="27"/>
      <c r="DM45" s="24"/>
      <c r="DN45" s="27"/>
      <c r="DO45" s="24"/>
      <c r="DP45" s="27"/>
      <c r="DQ45" s="24"/>
      <c r="DR45" s="27"/>
      <c r="DS45" s="24"/>
      <c r="DT45" s="27"/>
      <c r="DU45" s="24"/>
      <c r="DV45" s="27"/>
      <c r="DW45" s="24"/>
      <c r="DX45" s="27"/>
      <c r="DY45" s="24"/>
      <c r="DZ45" s="27"/>
      <c r="EA45" s="24"/>
      <c r="EB45" s="27"/>
      <c r="EC45" s="24"/>
      <c r="ED45" s="27"/>
      <c r="EE45" s="24"/>
      <c r="EF45" s="27"/>
      <c r="EG45" s="24"/>
      <c r="EH45" s="27"/>
      <c r="EI45" s="24"/>
      <c r="EJ45" s="27"/>
      <c r="EK45" s="24"/>
      <c r="EL45" s="27"/>
      <c r="EM45" s="24"/>
      <c r="EN45" s="27"/>
      <c r="EO45" s="24"/>
      <c r="EP45" s="27"/>
      <c r="EQ45" s="24"/>
      <c r="ER45" s="27"/>
      <c r="ES45" s="24"/>
      <c r="ET45" s="27"/>
      <c r="EU45" s="24"/>
      <c r="EV45" s="27"/>
      <c r="EW45" s="24"/>
      <c r="EX45" s="27"/>
      <c r="EY45" s="24"/>
      <c r="EZ45" s="27"/>
      <c r="FA45" s="24"/>
      <c r="FB45" s="27"/>
      <c r="FC45" s="24"/>
      <c r="FD45" s="27"/>
      <c r="FE45" s="24"/>
      <c r="FF45" s="27"/>
      <c r="FG45" s="24"/>
      <c r="FH45" s="27"/>
      <c r="FI45" s="24"/>
      <c r="FJ45" s="27"/>
      <c r="FK45" s="24"/>
      <c r="FL45" s="27"/>
      <c r="FM45" s="24"/>
      <c r="FN45" s="27"/>
      <c r="FO45" s="24"/>
      <c r="FP45" s="27"/>
      <c r="FQ45" s="24"/>
      <c r="FR45" s="27"/>
      <c r="FS45" s="24"/>
      <c r="FT45" s="27"/>
      <c r="FU45" s="24"/>
      <c r="FV45" s="27"/>
      <c r="FW45" s="24"/>
      <c r="FX45" s="27"/>
      <c r="FY45" s="24"/>
      <c r="FZ45" s="27"/>
      <c r="GA45" s="24"/>
      <c r="GB45" s="27"/>
      <c r="GC45" s="24"/>
      <c r="GD45" s="27"/>
      <c r="GE45" s="24"/>
      <c r="GF45" s="27"/>
      <c r="GG45" s="24"/>
      <c r="GH45" s="27"/>
      <c r="GI45" s="24"/>
      <c r="GJ45" s="27"/>
      <c r="GK45" s="24"/>
      <c r="GL45" s="27"/>
      <c r="GM45" s="24"/>
      <c r="GN45" s="27"/>
      <c r="GO45" s="24"/>
      <c r="GP45" s="27"/>
      <c r="GQ45" s="24"/>
      <c r="GR45" s="27"/>
      <c r="GS45" s="24"/>
      <c r="GT45" s="27"/>
      <c r="GU45" s="24"/>
      <c r="GV45" s="27"/>
      <c r="GW45" s="24"/>
      <c r="GX45" s="27"/>
      <c r="GY45" s="24"/>
      <c r="GZ45" s="27"/>
      <c r="HA45" s="24"/>
      <c r="HB45" s="27"/>
      <c r="HC45" s="24"/>
      <c r="HD45" s="27"/>
      <c r="HE45" s="24"/>
      <c r="HF45" s="27"/>
      <c r="HG45" s="24"/>
      <c r="HH45" s="27"/>
      <c r="HI45" s="24"/>
      <c r="HJ45" s="27"/>
      <c r="HK45" s="24"/>
      <c r="HL45" s="27"/>
      <c r="HM45" s="24"/>
      <c r="HN45" s="27"/>
      <c r="HO45" s="24"/>
      <c r="HP45" s="27"/>
      <c r="HQ45" s="24"/>
      <c r="HR45" s="27"/>
      <c r="HS45" s="24"/>
      <c r="HT45" s="27"/>
      <c r="HU45" s="24"/>
      <c r="HV45" s="27"/>
      <c r="HW45" s="24"/>
      <c r="HX45" s="27"/>
      <c r="HY45" s="24"/>
      <c r="HZ45" s="27"/>
      <c r="IA45" s="24"/>
      <c r="IB45" s="27"/>
      <c r="IC45" s="24"/>
      <c r="ID45" s="27"/>
      <c r="IE45" s="24"/>
      <c r="IF45" s="27"/>
      <c r="IG45" s="24"/>
      <c r="IH45" s="27"/>
      <c r="II45" s="24"/>
      <c r="IJ45" s="27"/>
      <c r="IK45" s="24"/>
    </row>
    <row r="46" spans="1:62" ht="25.5">
      <c r="A46" s="715">
        <v>1</v>
      </c>
      <c r="B46" s="733" t="s">
        <v>48</v>
      </c>
      <c r="C46" s="717" t="s">
        <v>5</v>
      </c>
      <c r="D46" s="732">
        <v>920</v>
      </c>
      <c r="E46" s="712">
        <f t="shared" si="2"/>
        <v>920</v>
      </c>
      <c r="F46" s="713">
        <v>25</v>
      </c>
      <c r="G46" s="712">
        <f t="shared" si="4"/>
        <v>552</v>
      </c>
      <c r="I46" s="459" t="s">
        <v>59</v>
      </c>
      <c r="J46" s="457"/>
      <c r="K46" s="457"/>
      <c r="L46" s="457"/>
      <c r="M46" s="457"/>
      <c r="N46" s="457"/>
      <c r="O46" s="457"/>
      <c r="P46" s="457"/>
      <c r="Q46" s="457"/>
      <c r="R46" s="457"/>
      <c r="S46" s="457">
        <v>560</v>
      </c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</row>
    <row r="47" spans="1:62" ht="14.25">
      <c r="A47" s="724" t="s">
        <v>12</v>
      </c>
      <c r="B47" s="725"/>
      <c r="C47" s="726"/>
      <c r="D47" s="734"/>
      <c r="E47" s="735">
        <f>SUM(E29:E46)</f>
        <v>86988</v>
      </c>
      <c r="F47" s="736"/>
      <c r="G47" s="729">
        <f>SUM(G31:G46)</f>
        <v>30629.266666666666</v>
      </c>
      <c r="I47" s="459" t="s">
        <v>60</v>
      </c>
      <c r="J47" s="457"/>
      <c r="K47" s="457"/>
      <c r="L47" s="457"/>
      <c r="M47" s="457"/>
      <c r="N47" s="457"/>
      <c r="O47" s="457"/>
      <c r="P47" s="457"/>
      <c r="Q47" s="457"/>
      <c r="R47" s="457"/>
      <c r="S47" s="457">
        <v>1975</v>
      </c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</row>
    <row r="48" spans="1:62" ht="14.25">
      <c r="A48" s="154"/>
      <c r="B48" s="155"/>
      <c r="C48" s="156"/>
      <c r="D48" s="164"/>
      <c r="E48" s="466"/>
      <c r="F48" s="467"/>
      <c r="G48" s="468"/>
      <c r="I48" s="469" t="s">
        <v>61</v>
      </c>
      <c r="J48" s="457"/>
      <c r="K48" s="457"/>
      <c r="L48" s="457"/>
      <c r="M48" s="457"/>
      <c r="N48" s="457"/>
      <c r="O48" s="457"/>
      <c r="P48" s="457"/>
      <c r="Q48" s="457"/>
      <c r="R48" s="457"/>
      <c r="S48" s="457">
        <v>2040</v>
      </c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</row>
    <row r="49" spans="1:62" ht="14.25">
      <c r="A49" s="154"/>
      <c r="B49" s="155"/>
      <c r="C49" s="156"/>
      <c r="D49" s="164"/>
      <c r="E49" s="466"/>
      <c r="F49" s="467"/>
      <c r="G49" s="468"/>
      <c r="I49" s="469" t="s">
        <v>351</v>
      </c>
      <c r="J49" s="457"/>
      <c r="K49" s="457"/>
      <c r="L49" s="457"/>
      <c r="M49" s="457"/>
      <c r="N49" s="457"/>
      <c r="O49" s="457"/>
      <c r="P49" s="457"/>
      <c r="Q49" s="457"/>
      <c r="R49" s="457"/>
      <c r="S49" s="457">
        <v>840</v>
      </c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</row>
    <row r="50" spans="1:62" ht="14.25">
      <c r="A50" s="154"/>
      <c r="B50" s="155"/>
      <c r="C50" s="156"/>
      <c r="D50" s="164"/>
      <c r="E50" s="466"/>
      <c r="F50" s="467"/>
      <c r="G50" s="468"/>
      <c r="I50" s="469" t="s">
        <v>62</v>
      </c>
      <c r="J50" s="457"/>
      <c r="K50" s="457"/>
      <c r="L50" s="457"/>
      <c r="M50" s="457"/>
      <c r="N50" s="457">
        <f>S50</f>
        <v>165</v>
      </c>
      <c r="O50" s="457"/>
      <c r="P50" s="457"/>
      <c r="Q50" s="457"/>
      <c r="R50" s="457"/>
      <c r="S50" s="457">
        <v>165</v>
      </c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</row>
    <row r="51" spans="1:62" ht="14.25">
      <c r="A51" s="154"/>
      <c r="B51" s="155"/>
      <c r="C51" s="156"/>
      <c r="D51" s="164"/>
      <c r="E51" s="466"/>
      <c r="F51" s="467"/>
      <c r="G51" s="468"/>
      <c r="I51" s="469" t="s">
        <v>63</v>
      </c>
      <c r="J51" s="457"/>
      <c r="K51" s="457"/>
      <c r="L51" s="457"/>
      <c r="M51" s="457"/>
      <c r="N51" s="457">
        <f>S51</f>
        <v>430.68</v>
      </c>
      <c r="O51" s="457"/>
      <c r="P51" s="457"/>
      <c r="Q51" s="457"/>
      <c r="R51" s="457"/>
      <c r="S51" s="457">
        <v>430.68</v>
      </c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</row>
    <row r="52" spans="1:62" ht="14.25">
      <c r="A52" s="154"/>
      <c r="B52" s="155"/>
      <c r="C52" s="156"/>
      <c r="D52" s="164"/>
      <c r="E52" s="466"/>
      <c r="I52" s="469" t="s">
        <v>64</v>
      </c>
      <c r="J52" s="457"/>
      <c r="K52" s="457"/>
      <c r="L52" s="457"/>
      <c r="M52" s="457"/>
      <c r="N52" s="457">
        <f>S52</f>
        <v>580</v>
      </c>
      <c r="O52" s="457"/>
      <c r="P52" s="457"/>
      <c r="Q52" s="457"/>
      <c r="R52" s="457"/>
      <c r="S52" s="457">
        <v>580</v>
      </c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</row>
    <row r="53" spans="1:62" ht="14.25">
      <c r="A53" s="297"/>
      <c r="B53" s="298"/>
      <c r="C53" s="299"/>
      <c r="D53" s="300"/>
      <c r="E53" s="280"/>
      <c r="I53" s="469" t="s">
        <v>65</v>
      </c>
      <c r="J53" s="457"/>
      <c r="K53" s="457"/>
      <c r="L53" s="457"/>
      <c r="M53" s="457"/>
      <c r="N53" s="457">
        <v>790.08</v>
      </c>
      <c r="O53" s="457"/>
      <c r="P53" s="457"/>
      <c r="Q53" s="457"/>
      <c r="R53" s="457"/>
      <c r="S53" s="457">
        <f>N53</f>
        <v>790.08</v>
      </c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</row>
    <row r="54" spans="1:62" ht="14.25">
      <c r="A54" s="703" t="s">
        <v>49</v>
      </c>
      <c r="B54" s="703"/>
      <c r="C54" s="703"/>
      <c r="D54" s="704"/>
      <c r="E54" s="705"/>
      <c r="F54" s="706"/>
      <c r="G54" s="705"/>
      <c r="I54" s="469" t="s">
        <v>67</v>
      </c>
      <c r="J54" s="457"/>
      <c r="K54" s="457"/>
      <c r="L54" s="457"/>
      <c r="M54" s="457"/>
      <c r="N54" s="457">
        <v>1425</v>
      </c>
      <c r="O54" s="457"/>
      <c r="P54" s="457"/>
      <c r="Q54" s="457"/>
      <c r="R54" s="457"/>
      <c r="S54" s="457">
        <f>N54</f>
        <v>1425</v>
      </c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</row>
    <row r="55" spans="1:62" ht="25.5">
      <c r="A55" s="707" t="s">
        <v>3</v>
      </c>
      <c r="B55" s="707" t="s">
        <v>4</v>
      </c>
      <c r="C55" s="707" t="s">
        <v>5</v>
      </c>
      <c r="D55" s="707" t="s">
        <v>6</v>
      </c>
      <c r="E55" s="707" t="s">
        <v>7</v>
      </c>
      <c r="F55" s="707" t="s">
        <v>489</v>
      </c>
      <c r="G55" s="707" t="s">
        <v>490</v>
      </c>
      <c r="I55" s="470" t="s">
        <v>69</v>
      </c>
      <c r="J55" s="457"/>
      <c r="K55" s="457"/>
      <c r="L55" s="457"/>
      <c r="M55" s="457"/>
      <c r="N55" s="457">
        <v>1200</v>
      </c>
      <c r="O55" s="457"/>
      <c r="P55" s="457"/>
      <c r="Q55" s="457"/>
      <c r="R55" s="457"/>
      <c r="S55" s="457">
        <f>N55</f>
        <v>1200</v>
      </c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</row>
    <row r="56" spans="1:62" ht="14.25">
      <c r="A56" s="708">
        <v>1</v>
      </c>
      <c r="B56" s="709" t="s">
        <v>50</v>
      </c>
      <c r="C56" s="710" t="s">
        <v>5</v>
      </c>
      <c r="D56" s="731">
        <v>18000</v>
      </c>
      <c r="E56" s="737">
        <f>D56*A56</f>
        <v>18000</v>
      </c>
      <c r="F56" s="713">
        <v>10</v>
      </c>
      <c r="G56" s="712">
        <f>E56-(E56/F56)*10</f>
        <v>0</v>
      </c>
      <c r="I56" s="470" t="s">
        <v>70</v>
      </c>
      <c r="J56" s="457"/>
      <c r="K56" s="457"/>
      <c r="L56" s="457">
        <v>600</v>
      </c>
      <c r="M56" s="457"/>
      <c r="N56" s="457"/>
      <c r="O56" s="457">
        <v>600</v>
      </c>
      <c r="P56" s="457"/>
      <c r="Q56" s="457"/>
      <c r="R56" s="457">
        <v>600</v>
      </c>
      <c r="S56" s="457"/>
      <c r="T56" s="208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</row>
    <row r="57" spans="1:62" ht="15" thickBot="1">
      <c r="A57" s="724" t="s">
        <v>12</v>
      </c>
      <c r="B57" s="726"/>
      <c r="C57" s="726"/>
      <c r="D57" s="734"/>
      <c r="E57" s="738">
        <f>E56</f>
        <v>18000</v>
      </c>
      <c r="F57" s="710"/>
      <c r="G57" s="737">
        <v>0</v>
      </c>
      <c r="I57" s="471" t="s">
        <v>73</v>
      </c>
      <c r="J57" s="472"/>
      <c r="K57" s="472"/>
      <c r="L57" s="472">
        <v>500</v>
      </c>
      <c r="M57" s="472"/>
      <c r="N57" s="472"/>
      <c r="O57" s="472">
        <v>500</v>
      </c>
      <c r="P57" s="472"/>
      <c r="Q57" s="472"/>
      <c r="R57" s="472">
        <v>500</v>
      </c>
      <c r="S57" s="472"/>
      <c r="T57" s="208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</row>
    <row r="58" spans="1:62" ht="15" thickBot="1">
      <c r="A58" s="147"/>
      <c r="B58" s="6"/>
      <c r="C58" s="148"/>
      <c r="D58" s="158"/>
      <c r="E58" s="755"/>
      <c r="I58" s="473" t="s">
        <v>12</v>
      </c>
      <c r="J58" s="472">
        <f aca="true" t="shared" si="5" ref="J58:S58">SUM(J29:J57)</f>
        <v>0</v>
      </c>
      <c r="K58" s="472">
        <f t="shared" si="5"/>
        <v>0</v>
      </c>
      <c r="L58" s="472">
        <f t="shared" si="5"/>
        <v>1100</v>
      </c>
      <c r="M58" s="472">
        <f t="shared" si="5"/>
        <v>0</v>
      </c>
      <c r="N58" s="472">
        <f t="shared" si="5"/>
        <v>12760.76</v>
      </c>
      <c r="O58" s="472">
        <f t="shared" si="5"/>
        <v>1100</v>
      </c>
      <c r="P58" s="472">
        <f t="shared" si="5"/>
        <v>0</v>
      </c>
      <c r="Q58" s="472">
        <f t="shared" si="5"/>
        <v>0</v>
      </c>
      <c r="R58" s="472">
        <f t="shared" si="5"/>
        <v>1100</v>
      </c>
      <c r="S58" s="472">
        <f t="shared" si="5"/>
        <v>57265.76</v>
      </c>
      <c r="T58" s="208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</row>
    <row r="59" spans="1:62" ht="14.25">
      <c r="A59" s="703" t="s">
        <v>51</v>
      </c>
      <c r="B59" s="703"/>
      <c r="C59" s="703"/>
      <c r="D59" s="704"/>
      <c r="E59" s="705"/>
      <c r="F59" s="706"/>
      <c r="G59" s="705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8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</row>
    <row r="60" spans="1:62" s="283" customFormat="1" ht="23.25" customHeight="1" outlineLevel="1">
      <c r="A60" s="707" t="s">
        <v>3</v>
      </c>
      <c r="B60" s="707" t="s">
        <v>4</v>
      </c>
      <c r="C60" s="707" t="s">
        <v>5</v>
      </c>
      <c r="D60" s="707" t="s">
        <v>6</v>
      </c>
      <c r="E60" s="707" t="s">
        <v>7</v>
      </c>
      <c r="F60" s="707" t="s">
        <v>489</v>
      </c>
      <c r="G60" s="707" t="s">
        <v>490</v>
      </c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8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</row>
    <row r="61" spans="1:62" ht="15" customHeight="1">
      <c r="A61" s="739">
        <v>6</v>
      </c>
      <c r="B61" s="740" t="s">
        <v>52</v>
      </c>
      <c r="C61" s="741" t="s">
        <v>53</v>
      </c>
      <c r="D61" s="742">
        <v>250</v>
      </c>
      <c r="E61" s="743">
        <f aca="true" t="shared" si="6" ref="E61:E84">D61*A61</f>
        <v>1500</v>
      </c>
      <c r="F61" s="713">
        <v>15</v>
      </c>
      <c r="G61" s="712">
        <f aca="true" t="shared" si="7" ref="G61:G66">E61-(E61/F61)*10</f>
        <v>500</v>
      </c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8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</row>
    <row r="62" spans="1:62" ht="15" customHeight="1">
      <c r="A62" s="744">
        <v>8</v>
      </c>
      <c r="B62" s="740" t="s">
        <v>54</v>
      </c>
      <c r="C62" s="745" t="s">
        <v>5</v>
      </c>
      <c r="D62" s="746">
        <v>254</v>
      </c>
      <c r="E62" s="747">
        <f t="shared" si="6"/>
        <v>2032</v>
      </c>
      <c r="F62" s="713">
        <v>20</v>
      </c>
      <c r="G62" s="712">
        <f t="shared" si="7"/>
        <v>1016</v>
      </c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8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</row>
    <row r="63" spans="1:62" ht="15" customHeight="1">
      <c r="A63" s="744">
        <v>10</v>
      </c>
      <c r="B63" s="740" t="s">
        <v>55</v>
      </c>
      <c r="C63" s="745" t="s">
        <v>5</v>
      </c>
      <c r="D63" s="746">
        <v>401</v>
      </c>
      <c r="E63" s="747">
        <f t="shared" si="6"/>
        <v>4010</v>
      </c>
      <c r="F63" s="713">
        <v>10</v>
      </c>
      <c r="G63" s="712">
        <f t="shared" si="7"/>
        <v>0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8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</row>
    <row r="64" spans="1:62" ht="15" customHeight="1">
      <c r="A64" s="744">
        <v>10</v>
      </c>
      <c r="B64" s="740" t="s">
        <v>319</v>
      </c>
      <c r="C64" s="745" t="s">
        <v>5</v>
      </c>
      <c r="D64" s="746">
        <v>180</v>
      </c>
      <c r="E64" s="747">
        <f t="shared" si="6"/>
        <v>1800</v>
      </c>
      <c r="F64" s="713">
        <v>10</v>
      </c>
      <c r="G64" s="712">
        <f t="shared" si="7"/>
        <v>0</v>
      </c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8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</row>
    <row r="65" spans="1:20" ht="15" customHeight="1">
      <c r="A65" s="744">
        <v>15</v>
      </c>
      <c r="B65" s="748" t="s">
        <v>348</v>
      </c>
      <c r="C65" s="745" t="s">
        <v>5</v>
      </c>
      <c r="D65" s="746">
        <v>350</v>
      </c>
      <c r="E65" s="747">
        <f t="shared" si="6"/>
        <v>5250</v>
      </c>
      <c r="F65" s="713">
        <v>10</v>
      </c>
      <c r="G65" s="712">
        <f t="shared" si="7"/>
        <v>0</v>
      </c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8"/>
    </row>
    <row r="66" spans="1:20" ht="15" customHeight="1">
      <c r="A66" s="744">
        <v>2</v>
      </c>
      <c r="B66" s="748" t="s">
        <v>349</v>
      </c>
      <c r="C66" s="745" t="s">
        <v>5</v>
      </c>
      <c r="D66" s="746">
        <v>360</v>
      </c>
      <c r="E66" s="747">
        <f t="shared" si="6"/>
        <v>720</v>
      </c>
      <c r="F66" s="713">
        <v>15</v>
      </c>
      <c r="G66" s="712">
        <f t="shared" si="7"/>
        <v>240</v>
      </c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8"/>
    </row>
    <row r="67" spans="1:20" ht="15" customHeight="1">
      <c r="A67" s="744">
        <v>4</v>
      </c>
      <c r="B67" s="748" t="s">
        <v>350</v>
      </c>
      <c r="C67" s="745" t="s">
        <v>5</v>
      </c>
      <c r="D67" s="746">
        <v>180</v>
      </c>
      <c r="E67" s="747">
        <f t="shared" si="6"/>
        <v>720</v>
      </c>
      <c r="F67" s="713">
        <v>5</v>
      </c>
      <c r="G67" s="712">
        <v>0</v>
      </c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208"/>
    </row>
    <row r="68" spans="1:20" ht="15" customHeight="1">
      <c r="A68" s="744">
        <v>5</v>
      </c>
      <c r="B68" s="748" t="s">
        <v>332</v>
      </c>
      <c r="C68" s="745" t="s">
        <v>5</v>
      </c>
      <c r="D68" s="746">
        <v>350</v>
      </c>
      <c r="E68" s="747">
        <f t="shared" si="6"/>
        <v>1750</v>
      </c>
      <c r="F68" s="713">
        <v>15</v>
      </c>
      <c r="G68" s="712">
        <f>E68-(E68/F68)*10</f>
        <v>583.3333333333333</v>
      </c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208"/>
    </row>
    <row r="69" spans="1:20" ht="15" customHeight="1">
      <c r="A69" s="744">
        <v>5</v>
      </c>
      <c r="B69" s="748" t="s">
        <v>56</v>
      </c>
      <c r="C69" s="745" t="s">
        <v>5</v>
      </c>
      <c r="D69" s="746">
        <v>250</v>
      </c>
      <c r="E69" s="747">
        <f t="shared" si="6"/>
        <v>1250</v>
      </c>
      <c r="F69" s="713">
        <v>5</v>
      </c>
      <c r="G69" s="712">
        <v>0</v>
      </c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208"/>
    </row>
    <row r="70" spans="1:20" ht="15" customHeight="1">
      <c r="A70" s="744">
        <v>5</v>
      </c>
      <c r="B70" s="748" t="s">
        <v>317</v>
      </c>
      <c r="C70" s="745" t="s">
        <v>5</v>
      </c>
      <c r="D70" s="746">
        <v>95</v>
      </c>
      <c r="E70" s="747">
        <f t="shared" si="6"/>
        <v>475</v>
      </c>
      <c r="F70" s="713">
        <v>15</v>
      </c>
      <c r="G70" s="712">
        <f>E70-(E70/F70)*10</f>
        <v>158.33333333333331</v>
      </c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208"/>
    </row>
    <row r="71" spans="1:20" ht="15" customHeight="1">
      <c r="A71" s="744">
        <v>5</v>
      </c>
      <c r="B71" s="748" t="s">
        <v>316</v>
      </c>
      <c r="C71" s="745" t="s">
        <v>5</v>
      </c>
      <c r="D71" s="746">
        <v>33</v>
      </c>
      <c r="E71" s="747">
        <f t="shared" si="6"/>
        <v>165</v>
      </c>
      <c r="F71" s="713">
        <v>10</v>
      </c>
      <c r="G71" s="712">
        <f>E71-(E71/F71)*10</f>
        <v>0</v>
      </c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208"/>
    </row>
    <row r="72" spans="1:20" ht="15" customHeight="1">
      <c r="A72" s="720">
        <v>1</v>
      </c>
      <c r="B72" s="749" t="s">
        <v>57</v>
      </c>
      <c r="C72" s="745" t="s">
        <v>5</v>
      </c>
      <c r="D72" s="750">
        <v>1000</v>
      </c>
      <c r="E72" s="747">
        <f t="shared" si="6"/>
        <v>1000</v>
      </c>
      <c r="F72" s="713">
        <v>5</v>
      </c>
      <c r="G72" s="712">
        <v>0</v>
      </c>
      <c r="I72" s="27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208"/>
    </row>
    <row r="73" spans="1:20" ht="15" customHeight="1">
      <c r="A73" s="744">
        <v>7</v>
      </c>
      <c r="B73" s="748" t="s">
        <v>58</v>
      </c>
      <c r="C73" s="745" t="s">
        <v>5</v>
      </c>
      <c r="D73" s="746">
        <v>280</v>
      </c>
      <c r="E73" s="747">
        <f t="shared" si="6"/>
        <v>1960</v>
      </c>
      <c r="F73" s="713">
        <v>10</v>
      </c>
      <c r="G73" s="712">
        <f>E73-(E73/F73)*10</f>
        <v>0</v>
      </c>
      <c r="I73" s="27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208"/>
    </row>
    <row r="74" spans="1:20" ht="15" customHeight="1">
      <c r="A74" s="744">
        <v>7</v>
      </c>
      <c r="B74" s="748" t="s">
        <v>59</v>
      </c>
      <c r="C74" s="745" t="s">
        <v>5</v>
      </c>
      <c r="D74" s="746">
        <v>80</v>
      </c>
      <c r="E74" s="747">
        <f t="shared" si="6"/>
        <v>560</v>
      </c>
      <c r="F74" s="713">
        <v>10</v>
      </c>
      <c r="G74" s="712">
        <f>E74-(E74/F74)*10</f>
        <v>0</v>
      </c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</row>
    <row r="75" spans="1:20" ht="15" customHeight="1">
      <c r="A75" s="744">
        <v>5</v>
      </c>
      <c r="B75" s="748" t="s">
        <v>60</v>
      </c>
      <c r="C75" s="745" t="s">
        <v>5</v>
      </c>
      <c r="D75" s="746">
        <v>395</v>
      </c>
      <c r="E75" s="747">
        <f t="shared" si="6"/>
        <v>1975</v>
      </c>
      <c r="F75" s="713">
        <v>10</v>
      </c>
      <c r="G75" s="712">
        <f>E75-(E75/F75)*10</f>
        <v>0</v>
      </c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</row>
    <row r="76" spans="1:20" ht="15" customHeight="1">
      <c r="A76" s="720">
        <v>3</v>
      </c>
      <c r="B76" s="751" t="s">
        <v>61</v>
      </c>
      <c r="C76" s="745" t="s">
        <v>5</v>
      </c>
      <c r="D76" s="750">
        <v>680</v>
      </c>
      <c r="E76" s="747">
        <f t="shared" si="6"/>
        <v>2040</v>
      </c>
      <c r="F76" s="713">
        <v>10</v>
      </c>
      <c r="G76" s="712">
        <f>E76-(E76/F76)*10</f>
        <v>0</v>
      </c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</row>
    <row r="77" spans="1:20" ht="15" customHeight="1">
      <c r="A77" s="720">
        <v>2</v>
      </c>
      <c r="B77" s="751" t="s">
        <v>351</v>
      </c>
      <c r="C77" s="745" t="s">
        <v>5</v>
      </c>
      <c r="D77" s="750">
        <v>420</v>
      </c>
      <c r="E77" s="747">
        <f t="shared" si="6"/>
        <v>840</v>
      </c>
      <c r="F77" s="713">
        <v>10</v>
      </c>
      <c r="G77" s="712">
        <f>E77-(E77/F77)*10</f>
        <v>0</v>
      </c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</row>
    <row r="78" spans="1:20" ht="15" customHeight="1">
      <c r="A78" s="720">
        <v>5</v>
      </c>
      <c r="B78" s="751" t="s">
        <v>62</v>
      </c>
      <c r="C78" s="745" t="s">
        <v>5</v>
      </c>
      <c r="D78" s="750">
        <v>33</v>
      </c>
      <c r="E78" s="747">
        <f t="shared" si="6"/>
        <v>165</v>
      </c>
      <c r="F78" s="713">
        <v>5</v>
      </c>
      <c r="G78" s="712">
        <v>0</v>
      </c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</row>
    <row r="79" spans="1:20" ht="15" customHeight="1">
      <c r="A79" s="720">
        <v>12</v>
      </c>
      <c r="B79" s="751" t="s">
        <v>63</v>
      </c>
      <c r="C79" s="745" t="s">
        <v>5</v>
      </c>
      <c r="D79" s="750">
        <v>35.89</v>
      </c>
      <c r="E79" s="747">
        <f t="shared" si="6"/>
        <v>430.68</v>
      </c>
      <c r="F79" s="713">
        <v>5</v>
      </c>
      <c r="G79" s="712">
        <v>0</v>
      </c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474"/>
    </row>
    <row r="80" spans="1:20" ht="15" customHeight="1">
      <c r="A80" s="720">
        <v>10</v>
      </c>
      <c r="B80" s="751" t="s">
        <v>64</v>
      </c>
      <c r="C80" s="745" t="s">
        <v>5</v>
      </c>
      <c r="D80" s="750">
        <v>58</v>
      </c>
      <c r="E80" s="747">
        <f t="shared" si="6"/>
        <v>580</v>
      </c>
      <c r="F80" s="713">
        <v>5</v>
      </c>
      <c r="G80" s="712">
        <v>0</v>
      </c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474"/>
    </row>
    <row r="81" spans="1:20" ht="15" customHeight="1">
      <c r="A81" s="720">
        <v>1</v>
      </c>
      <c r="B81" s="751" t="s">
        <v>399</v>
      </c>
      <c r="C81" s="745" t="s">
        <v>5</v>
      </c>
      <c r="D81" s="750">
        <v>825</v>
      </c>
      <c r="E81" s="747">
        <f t="shared" si="6"/>
        <v>825</v>
      </c>
      <c r="F81" s="713">
        <v>20</v>
      </c>
      <c r="G81" s="712">
        <f>E81-(E81/F81)*10</f>
        <v>412.5</v>
      </c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474"/>
    </row>
    <row r="82" spans="1:20" ht="15" customHeight="1">
      <c r="A82" s="720">
        <v>12</v>
      </c>
      <c r="B82" s="751" t="s">
        <v>65</v>
      </c>
      <c r="C82" s="745" t="s">
        <v>5</v>
      </c>
      <c r="D82" s="750">
        <v>65.84</v>
      </c>
      <c r="E82" s="747">
        <f t="shared" si="6"/>
        <v>790.08</v>
      </c>
      <c r="F82" s="713">
        <v>5</v>
      </c>
      <c r="G82" s="712">
        <v>0</v>
      </c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474"/>
    </row>
    <row r="83" spans="1:20" ht="15" customHeight="1">
      <c r="A83" s="744">
        <v>10</v>
      </c>
      <c r="B83" s="748" t="s">
        <v>66</v>
      </c>
      <c r="C83" s="745" t="s">
        <v>5</v>
      </c>
      <c r="D83" s="750">
        <v>220</v>
      </c>
      <c r="E83" s="747">
        <f t="shared" si="6"/>
        <v>2200</v>
      </c>
      <c r="F83" s="713">
        <v>10</v>
      </c>
      <c r="G83" s="712">
        <f>E83-(E83/F83)*10</f>
        <v>0</v>
      </c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464"/>
    </row>
    <row r="84" spans="1:20" ht="14.25">
      <c r="A84" s="720">
        <v>15</v>
      </c>
      <c r="B84" s="751" t="s">
        <v>67</v>
      </c>
      <c r="C84" s="745" t="s">
        <v>5</v>
      </c>
      <c r="D84" s="750">
        <v>95</v>
      </c>
      <c r="E84" s="747">
        <f t="shared" si="6"/>
        <v>1425</v>
      </c>
      <c r="F84" s="713">
        <v>5</v>
      </c>
      <c r="G84" s="712">
        <v>0</v>
      </c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474"/>
    </row>
    <row r="85" spans="1:20" ht="14.25">
      <c r="A85" s="724" t="s">
        <v>12</v>
      </c>
      <c r="B85" s="725"/>
      <c r="C85" s="726"/>
      <c r="D85" s="734"/>
      <c r="E85" s="752">
        <f>SUM(E61:E84)</f>
        <v>34462.76</v>
      </c>
      <c r="F85" s="753"/>
      <c r="G85" s="754">
        <f>SUM(G61:G84)</f>
        <v>2910.1666666666665</v>
      </c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474"/>
    </row>
    <row r="86" spans="1:20" ht="14.25">
      <c r="A86" s="154"/>
      <c r="B86" s="155"/>
      <c r="C86" s="156"/>
      <c r="D86" s="164"/>
      <c r="E86" s="192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</row>
    <row r="87" spans="1:20" ht="14.25">
      <c r="A87" s="703" t="s">
        <v>68</v>
      </c>
      <c r="B87" s="703"/>
      <c r="C87" s="703"/>
      <c r="D87" s="704"/>
      <c r="E87" s="705"/>
      <c r="F87" s="706"/>
      <c r="G87" s="705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</row>
    <row r="88" spans="1:245" ht="25.5">
      <c r="A88" s="707" t="s">
        <v>3</v>
      </c>
      <c r="B88" s="707" t="s">
        <v>4</v>
      </c>
      <c r="C88" s="707" t="s">
        <v>5</v>
      </c>
      <c r="D88" s="707" t="s">
        <v>6</v>
      </c>
      <c r="E88" s="707" t="s">
        <v>7</v>
      </c>
      <c r="F88" s="707" t="s">
        <v>489</v>
      </c>
      <c r="G88" s="707" t="s">
        <v>490</v>
      </c>
      <c r="H88" s="27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</row>
    <row r="89" spans="1:245" ht="15" customHeight="1">
      <c r="A89" s="720">
        <v>1</v>
      </c>
      <c r="B89" s="756" t="s">
        <v>69</v>
      </c>
      <c r="C89" s="757" t="s">
        <v>15</v>
      </c>
      <c r="D89" s="750">
        <v>1200</v>
      </c>
      <c r="E89" s="755">
        <f aca="true" t="shared" si="8" ref="E89:E95">D89*A89</f>
        <v>1200</v>
      </c>
      <c r="F89" s="713">
        <v>5</v>
      </c>
      <c r="G89" s="712">
        <v>0</v>
      </c>
      <c r="H89" s="27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</row>
    <row r="90" spans="1:245" ht="15" customHeight="1">
      <c r="A90" s="720">
        <v>1</v>
      </c>
      <c r="B90" s="756" t="s">
        <v>70</v>
      </c>
      <c r="C90" s="757" t="s">
        <v>15</v>
      </c>
      <c r="D90" s="750">
        <v>600</v>
      </c>
      <c r="E90" s="755">
        <f t="shared" si="8"/>
        <v>600</v>
      </c>
      <c r="F90" s="713">
        <v>3</v>
      </c>
      <c r="G90" s="712">
        <v>0</v>
      </c>
      <c r="H90" s="27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</row>
    <row r="91" spans="1:245" ht="15" customHeight="1">
      <c r="A91" s="720">
        <v>1</v>
      </c>
      <c r="B91" s="756" t="s">
        <v>71</v>
      </c>
      <c r="C91" s="757" t="s">
        <v>15</v>
      </c>
      <c r="D91" s="750">
        <v>1100</v>
      </c>
      <c r="E91" s="755">
        <f t="shared" si="8"/>
        <v>1100</v>
      </c>
      <c r="F91" s="713">
        <v>20</v>
      </c>
      <c r="G91" s="712">
        <f>E91-(E91/F91)*10</f>
        <v>550</v>
      </c>
      <c r="H91" s="27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</row>
    <row r="92" spans="1:245" s="283" customFormat="1" ht="15" customHeight="1" outlineLevel="1">
      <c r="A92" s="720">
        <v>5</v>
      </c>
      <c r="B92" s="756" t="s">
        <v>72</v>
      </c>
      <c r="C92" s="757" t="s">
        <v>5</v>
      </c>
      <c r="D92" s="750">
        <v>15</v>
      </c>
      <c r="E92" s="755">
        <f t="shared" si="8"/>
        <v>75</v>
      </c>
      <c r="F92" s="713">
        <v>25</v>
      </c>
      <c r="G92" s="712">
        <f>E92-(E92/F92)*10</f>
        <v>45</v>
      </c>
      <c r="H92" s="284"/>
      <c r="I92" s="1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  <c r="EO92" s="284"/>
      <c r="EP92" s="284"/>
      <c r="EQ92" s="284"/>
      <c r="ER92" s="284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E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</row>
    <row r="93" spans="1:245" ht="15" customHeight="1">
      <c r="A93" s="758">
        <v>1</v>
      </c>
      <c r="B93" s="759" t="s">
        <v>73</v>
      </c>
      <c r="C93" s="760" t="s">
        <v>15</v>
      </c>
      <c r="D93" s="761">
        <v>500</v>
      </c>
      <c r="E93" s="762">
        <f t="shared" si="8"/>
        <v>500</v>
      </c>
      <c r="F93" s="713">
        <v>3</v>
      </c>
      <c r="G93" s="712">
        <v>0</v>
      </c>
      <c r="H93" s="27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</row>
    <row r="94" spans="1:245" ht="15" customHeight="1">
      <c r="A94" s="720">
        <v>1</v>
      </c>
      <c r="B94" s="763" t="s">
        <v>74</v>
      </c>
      <c r="C94" s="757" t="s">
        <v>15</v>
      </c>
      <c r="D94" s="750">
        <v>1000</v>
      </c>
      <c r="E94" s="755">
        <f t="shared" si="8"/>
        <v>1000</v>
      </c>
      <c r="F94" s="713">
        <v>10</v>
      </c>
      <c r="G94" s="712">
        <f>E94-(E94/F94)*10</f>
        <v>0</v>
      </c>
      <c r="H94" s="27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</row>
    <row r="95" spans="1:20" ht="14.25">
      <c r="A95" s="720">
        <v>1</v>
      </c>
      <c r="B95" s="756" t="s">
        <v>75</v>
      </c>
      <c r="C95" s="757" t="s">
        <v>15</v>
      </c>
      <c r="D95" s="750">
        <v>500</v>
      </c>
      <c r="E95" s="755">
        <f t="shared" si="8"/>
        <v>500</v>
      </c>
      <c r="F95" s="713">
        <v>10</v>
      </c>
      <c r="G95" s="712">
        <f>E95-(E95/F95)*10</f>
        <v>0</v>
      </c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</row>
    <row r="96" spans="1:20" ht="14.25">
      <c r="A96" s="724" t="s">
        <v>12</v>
      </c>
      <c r="B96" s="726"/>
      <c r="C96" s="726"/>
      <c r="D96" s="734"/>
      <c r="E96" s="738">
        <f>SUM(E89:E95)</f>
        <v>4975</v>
      </c>
      <c r="F96" s="724"/>
      <c r="G96" s="729">
        <f>SUM(G89:G95)</f>
        <v>595</v>
      </c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</row>
    <row r="97" spans="1:20" ht="14.25">
      <c r="A97" s="147"/>
      <c r="B97" s="153"/>
      <c r="C97" s="41"/>
      <c r="D97" s="158"/>
      <c r="E97" s="280"/>
      <c r="F97" s="285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</row>
    <row r="98" spans="10:20" ht="14.25"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</row>
    <row r="99" spans="10:20" ht="14.25"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</row>
    <row r="100" spans="10:20" ht="14.25"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</row>
    <row r="101" spans="10:20" ht="14.25"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</row>
    <row r="102" spans="10:20" ht="14.25"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</row>
    <row r="103" spans="10:20" ht="14.25"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</row>
    <row r="104" spans="10:20" ht="14.25"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</row>
    <row r="105" spans="10:20" ht="14.25"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</row>
    <row r="106" spans="10:20" ht="14.25"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</row>
    <row r="107" spans="10:20" ht="14.25"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</row>
    <row r="108" spans="10:20" ht="14.25"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</row>
    <row r="109" ht="14.25">
      <c r="T109" s="208"/>
    </row>
    <row r="110" ht="14.25">
      <c r="T110" s="208"/>
    </row>
    <row r="111" ht="14.25">
      <c r="T111" s="208"/>
    </row>
    <row r="112" ht="14.25">
      <c r="T112" s="208"/>
    </row>
    <row r="113" ht="14.25">
      <c r="T113" s="208"/>
    </row>
    <row r="114" ht="14.25">
      <c r="T114" s="208"/>
    </row>
    <row r="115" ht="14.25">
      <c r="T115" s="208"/>
    </row>
    <row r="116" ht="14.25">
      <c r="T116" s="208"/>
    </row>
    <row r="117" ht="14.25">
      <c r="T117" s="208"/>
    </row>
    <row r="118" ht="14.25">
      <c r="T118" s="208"/>
    </row>
    <row r="119" ht="14.25">
      <c r="T119" s="208"/>
    </row>
    <row r="120" ht="14.25">
      <c r="T120" s="208"/>
    </row>
  </sheetData>
  <sheetProtection/>
  <printOptions horizontalCentered="1" verticalCentered="1"/>
  <pageMargins left="0.2362204724409449" right="0.2362204724409449" top="0.2362204724409449" bottom="0.2362204724409449" header="0" footer="0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Q146"/>
  <sheetViews>
    <sheetView showGridLines="0" showZeros="0" defaultGridColor="0" zoomScale="70" zoomScaleNormal="70" zoomScalePageLayoutView="0" colorId="12" workbookViewId="0" topLeftCell="A1">
      <selection activeCell="G1" sqref="G1:Q10"/>
    </sheetView>
  </sheetViews>
  <sheetFormatPr defaultColWidth="11.421875" defaultRowHeight="19.5" customHeight="1" outlineLevelRow="1"/>
  <cols>
    <col min="1" max="1" width="41.140625" style="0" customWidth="1"/>
    <col min="2" max="2" width="21.8515625" style="0" customWidth="1"/>
    <col min="3" max="3" width="17.00390625" style="0" customWidth="1"/>
    <col min="4" max="4" width="22.140625" style="0" customWidth="1"/>
    <col min="5" max="5" width="23.7109375" style="0" customWidth="1"/>
    <col min="7" max="7" width="23.57421875" style="0" customWidth="1"/>
    <col min="8" max="8" width="11.00390625" style="0" customWidth="1"/>
    <col min="9" max="9" width="13.00390625" style="0" bestFit="1" customWidth="1"/>
    <col min="10" max="17" width="11.28125" style="0" bestFit="1" customWidth="1"/>
  </cols>
  <sheetData>
    <row r="1" spans="1:17" ht="19.5" customHeight="1">
      <c r="A1" s="847" t="s">
        <v>109</v>
      </c>
      <c r="B1" s="847"/>
      <c r="C1" s="847"/>
      <c r="D1" s="847"/>
      <c r="E1" s="802">
        <f>+E24+E41+E73</f>
        <v>16340.302416666666</v>
      </c>
      <c r="G1" s="848" t="s">
        <v>558</v>
      </c>
      <c r="H1" s="848"/>
      <c r="I1" s="848"/>
      <c r="J1" s="848"/>
      <c r="K1" s="848"/>
      <c r="L1" s="848"/>
      <c r="M1" s="848"/>
      <c r="N1" s="848"/>
      <c r="O1" s="848"/>
      <c r="P1" s="848"/>
      <c r="Q1" s="848"/>
    </row>
    <row r="2" spans="1:17" ht="19.5" customHeight="1">
      <c r="A2" s="71"/>
      <c r="B2" s="71"/>
      <c r="C2" s="71"/>
      <c r="D2" s="71"/>
      <c r="E2" s="71"/>
      <c r="G2" s="676"/>
      <c r="H2" s="807">
        <v>2011</v>
      </c>
      <c r="I2" s="807">
        <v>2012</v>
      </c>
      <c r="J2" s="807">
        <v>2013</v>
      </c>
      <c r="K2" s="807">
        <v>2014</v>
      </c>
      <c r="L2" s="807">
        <v>2015</v>
      </c>
      <c r="M2" s="807">
        <v>2016</v>
      </c>
      <c r="N2" s="807">
        <v>2017</v>
      </c>
      <c r="O2" s="807">
        <v>2018</v>
      </c>
      <c r="P2" s="807">
        <v>2019</v>
      </c>
      <c r="Q2" s="807">
        <v>2020</v>
      </c>
    </row>
    <row r="3" spans="1:17" ht="23.25">
      <c r="A3" s="803" t="s">
        <v>110</v>
      </c>
      <c r="B3" s="804"/>
      <c r="C3" s="804"/>
      <c r="D3" s="804"/>
      <c r="E3" s="804"/>
      <c r="G3" s="808" t="s">
        <v>557</v>
      </c>
      <c r="H3" s="809">
        <f>INGRESOS!P49</f>
        <v>538115</v>
      </c>
      <c r="I3" s="809">
        <f>INGRESOS!Q49</f>
        <v>687981.5</v>
      </c>
      <c r="J3" s="809">
        <f>INGRESOS!R49</f>
        <v>702085</v>
      </c>
      <c r="K3" s="809">
        <f>INGRESOS!S49</f>
        <v>716925.5</v>
      </c>
      <c r="L3" s="809">
        <f>INGRESOS!T49</f>
        <v>732503</v>
      </c>
      <c r="M3" s="809">
        <f>INGRESOS!U49</f>
        <v>757918</v>
      </c>
      <c r="N3" s="809">
        <f>INGRESOS!V49</f>
        <v>775170.5</v>
      </c>
      <c r="O3" s="809">
        <f>INGRESOS!W49</f>
        <v>793327.5</v>
      </c>
      <c r="P3" s="809">
        <f>INGRESOS!X49</f>
        <v>812422.5</v>
      </c>
      <c r="Q3" s="809">
        <f>INGRESOS!Y49</f>
        <v>832522.5</v>
      </c>
    </row>
    <row r="4" spans="1:17" ht="25.5" customHeight="1" hidden="1">
      <c r="A4" s="627" t="s">
        <v>111</v>
      </c>
      <c r="B4" s="628" t="s">
        <v>112</v>
      </c>
      <c r="C4" s="628" t="s">
        <v>5</v>
      </c>
      <c r="D4" s="628" t="s">
        <v>113</v>
      </c>
      <c r="E4" s="628" t="s">
        <v>114</v>
      </c>
      <c r="G4" s="808" t="s">
        <v>227</v>
      </c>
      <c r="H4" s="810">
        <f>(INGRESOS!$C17+(INGRESOS!$C$36/12))*'COSTOS DE PRESTACION'!$D$5</f>
        <v>1488.15</v>
      </c>
      <c r="I4" s="810">
        <f>(INGRESOS!$C18+(INGRESOS!$C$36/12))*'COSTOS DE PRESTACION'!$D$5</f>
        <v>1257.45</v>
      </c>
      <c r="J4" s="810">
        <f>(INGRESOS!$C19+(INGRESOS!$C$36/12))*'COSTOS DE PRESTACION'!$D$5</f>
        <v>1488.15</v>
      </c>
      <c r="K4" s="810">
        <f>(INGRESOS!$C20+(INGRESOS!$C$36/12))*'COSTOS DE PRESTACION'!$D$5</f>
        <v>1257.45</v>
      </c>
      <c r="L4" s="810">
        <f>(INGRESOS!$C21+(INGRESOS!$C$36/12))*'COSTOS DE PRESTACION'!$D$5</f>
        <v>1257.45</v>
      </c>
      <c r="M4" s="810">
        <f>(INGRESOS!$C22+(INGRESOS!$C$36/12))*'COSTOS DE PRESTACION'!$D$5</f>
        <v>1488.15</v>
      </c>
      <c r="N4" s="810">
        <f>(INGRESOS!$C23+(INGRESOS!$C$36/12))*'COSTOS DE PRESTACION'!$D$5</f>
        <v>1718.8500000000001</v>
      </c>
      <c r="O4" s="810">
        <f>(INGRESOS!$C24+(INGRESOS!$C$36/12))*'COSTOS DE PRESTACION'!$D$5</f>
        <v>1834.1999999999998</v>
      </c>
      <c r="P4" s="810">
        <f>(INGRESOS!$C25+(INGRESOS!$C$36/12))*'COSTOS DE PRESTACION'!$D$5</f>
        <v>1372.8000000000002</v>
      </c>
      <c r="Q4" s="810">
        <f>(INGRESOS!$C26+(INGRESOS!$C$36/12))*'COSTOS DE PRESTACION'!$D$5</f>
        <v>1257.45</v>
      </c>
    </row>
    <row r="5" spans="1:17" ht="19.5" customHeight="1" hidden="1">
      <c r="A5" s="629" t="s">
        <v>115</v>
      </c>
      <c r="B5" s="630">
        <f>(INGRESOS!C29+INGRESOS!C36)/12</f>
        <v>940.8333333333334</v>
      </c>
      <c r="C5" s="631" t="s">
        <v>303</v>
      </c>
      <c r="D5" s="631">
        <v>1.5</v>
      </c>
      <c r="E5" s="632">
        <f>+D5*B5</f>
        <v>1411.25</v>
      </c>
      <c r="G5" s="811"/>
      <c r="H5" s="812"/>
      <c r="I5" s="812"/>
      <c r="J5" s="812"/>
      <c r="K5" s="812"/>
      <c r="L5" s="812"/>
      <c r="M5" s="812"/>
      <c r="N5" s="812"/>
      <c r="O5" s="812"/>
      <c r="P5" s="812"/>
      <c r="Q5" s="812"/>
    </row>
    <row r="6" spans="1:17" ht="19.5" customHeight="1" hidden="1">
      <c r="A6" s="633"/>
      <c r="B6" s="633"/>
      <c r="C6" s="633"/>
      <c r="D6" s="633"/>
      <c r="E6" s="634">
        <f>+E5</f>
        <v>1411.25</v>
      </c>
      <c r="G6" s="676" t="s">
        <v>552</v>
      </c>
      <c r="H6" s="813">
        <v>2011</v>
      </c>
      <c r="I6" s="813">
        <v>2012</v>
      </c>
      <c r="J6" s="813">
        <v>2013</v>
      </c>
      <c r="K6" s="813">
        <v>2014</v>
      </c>
      <c r="L6" s="813">
        <v>2015</v>
      </c>
      <c r="M6" s="813">
        <v>2016</v>
      </c>
      <c r="N6" s="813">
        <v>2017</v>
      </c>
      <c r="O6" s="813">
        <v>2018</v>
      </c>
      <c r="P6" s="813">
        <v>2019</v>
      </c>
      <c r="Q6" s="813">
        <v>2020</v>
      </c>
    </row>
    <row r="7" spans="1:17" ht="29.25" customHeight="1">
      <c r="A7" s="627" t="s">
        <v>116</v>
      </c>
      <c r="B7" s="628" t="s">
        <v>112</v>
      </c>
      <c r="C7" s="628" t="s">
        <v>5</v>
      </c>
      <c r="D7" s="628" t="s">
        <v>113</v>
      </c>
      <c r="E7" s="628" t="s">
        <v>114</v>
      </c>
      <c r="G7" s="808" t="s">
        <v>559</v>
      </c>
      <c r="H7" s="814">
        <v>1.5</v>
      </c>
      <c r="I7" s="814">
        <f>H7*1.02</f>
        <v>1.53</v>
      </c>
      <c r="J7" s="814">
        <f aca="true" t="shared" si="0" ref="J7:Q7">I7*1.02</f>
        <v>1.5606</v>
      </c>
      <c r="K7" s="814">
        <f t="shared" si="0"/>
        <v>1.591812</v>
      </c>
      <c r="L7" s="814">
        <f t="shared" si="0"/>
        <v>1.62364824</v>
      </c>
      <c r="M7" s="814">
        <f t="shared" si="0"/>
        <v>1.6561212048</v>
      </c>
      <c r="N7" s="814">
        <f t="shared" si="0"/>
        <v>1.689243628896</v>
      </c>
      <c r="O7" s="814">
        <f t="shared" si="0"/>
        <v>1.72302850147392</v>
      </c>
      <c r="P7" s="814">
        <f t="shared" si="0"/>
        <v>1.7574890715033984</v>
      </c>
      <c r="Q7" s="814">
        <f t="shared" si="0"/>
        <v>1.7926388529334665</v>
      </c>
    </row>
    <row r="8" spans="1:17" ht="19.5" customHeight="1">
      <c r="A8" s="629" t="s">
        <v>117</v>
      </c>
      <c r="B8" s="631">
        <v>1</v>
      </c>
      <c r="C8" s="631" t="s">
        <v>108</v>
      </c>
      <c r="D8" s="631">
        <v>250</v>
      </c>
      <c r="E8" s="632">
        <f>+D8*B8</f>
        <v>250</v>
      </c>
      <c r="G8" s="808" t="s">
        <v>555</v>
      </c>
      <c r="H8" s="815">
        <f>'FLUJO  COSTOS DE PRESTACION'!D5-'FLUJO  COSTOS DE PRESTACION'!D7</f>
        <v>179148.629</v>
      </c>
      <c r="I8" s="815">
        <f>'FLUJO  COSTOS DE PRESTACION'!E5-'FLUJO  COSTOS DE PRESTACION'!E7</f>
        <v>181456.90856</v>
      </c>
      <c r="J8" s="815">
        <f>'FLUJO  COSTOS DE PRESTACION'!F5-'FLUJO  COSTOS DE PRESTACION'!F7</f>
        <v>183811.35371120003</v>
      </c>
      <c r="K8" s="815">
        <f>'FLUJO  COSTOS DE PRESTACION'!G5-'FLUJO  COSTOS DE PRESTACION'!G7</f>
        <v>186212.88776542404</v>
      </c>
      <c r="L8" s="815">
        <f>'FLUJO  COSTOS DE PRESTACION'!H5-'FLUJO  COSTOS DE PRESTACION'!H7</f>
        <v>188662.4525007325</v>
      </c>
      <c r="M8" s="815">
        <f>'FLUJO  COSTOS DE PRESTACION'!I5-'FLUJO  COSTOS DE PRESTACION'!I7</f>
        <v>191161.00853074717</v>
      </c>
      <c r="N8" s="815">
        <f>'FLUJO  COSTOS DE PRESTACION'!J5-'FLUJO  COSTOS DE PRESTACION'!J7</f>
        <v>183779.26068136212</v>
      </c>
      <c r="O8" s="815">
        <f>'FLUJO  COSTOS DE PRESTACION'!K5-'FLUJO  COSTOS DE PRESTACION'!K7</f>
        <v>186378.75837498938</v>
      </c>
      <c r="P8" s="815">
        <f>'FLUJO  COSTOS DE PRESTACION'!L5-'FLUJO  COSTOS DE PRESTACION'!L7</f>
        <v>189030.24602248915</v>
      </c>
      <c r="Q8" s="815">
        <f>'FLUJO  COSTOS DE PRESTACION'!M5-'FLUJO  COSTOS DE PRESTACION'!M7</f>
        <v>191734.7634229389</v>
      </c>
    </row>
    <row r="9" spans="1:17" ht="19.5" customHeight="1">
      <c r="A9" s="633"/>
      <c r="B9" s="633"/>
      <c r="C9" s="633"/>
      <c r="D9" s="633"/>
      <c r="E9" s="634">
        <f>+E8</f>
        <v>250</v>
      </c>
      <c r="G9" s="808" t="s">
        <v>556</v>
      </c>
      <c r="H9" s="816">
        <f>H3/(INGRESOS!C29+INGRESOS!C36)</f>
        <v>47.662976085031</v>
      </c>
      <c r="I9" s="816">
        <f>I3/(INGRESOS!D29+INGRESOS!D36)</f>
        <v>44.99846294721695</v>
      </c>
      <c r="J9" s="816">
        <f>J3/(INGRESOS!E29+INGRESOS!E36)</f>
        <v>44.69032463399109</v>
      </c>
      <c r="K9" s="816">
        <f>K3/(INGRESOS!F29+INGRESOS!F36)</f>
        <v>44.383427227140466</v>
      </c>
      <c r="L9" s="816">
        <f>L3/(INGRESOS!G29+INGRESOS!G36)</f>
        <v>44.07889035985077</v>
      </c>
      <c r="M9" s="816">
        <f>M3/(INGRESOS!H29+INGRESOS!H36)</f>
        <v>44.301963993453356</v>
      </c>
      <c r="N9" s="816">
        <f>N3/(INGRESOS!I29+INGRESOS!I36)</f>
        <v>43.9862963173126</v>
      </c>
      <c r="O9" s="816">
        <f>O3/(INGRESOS!J29+INGRESOS!J36)</f>
        <v>43.67341040462428</v>
      </c>
      <c r="P9" s="816">
        <f>P3/(INGRESOS!K29+INGRESOS!K36)</f>
        <v>43.363891112890315</v>
      </c>
      <c r="Q9" s="816">
        <f>Q3/(INGRESOS!L29+INGRESOS!L36)</f>
        <v>43.057796741660205</v>
      </c>
    </row>
    <row r="10" spans="1:17" ht="42.75" customHeight="1">
      <c r="A10" s="627" t="s">
        <v>118</v>
      </c>
      <c r="B10" s="628" t="s">
        <v>112</v>
      </c>
      <c r="C10" s="628" t="s">
        <v>119</v>
      </c>
      <c r="D10" s="628" t="s">
        <v>120</v>
      </c>
      <c r="E10" s="628" t="s">
        <v>114</v>
      </c>
      <c r="G10" s="808" t="s">
        <v>558</v>
      </c>
      <c r="H10" s="817">
        <f>H8/(H9-H7)</f>
        <v>3880.785949978894</v>
      </c>
      <c r="I10" s="817">
        <f aca="true" t="shared" si="1" ref="I10:Q10">I8/(I9-I7)</f>
        <v>4174.449618343768</v>
      </c>
      <c r="J10" s="817">
        <f t="shared" si="1"/>
        <v>4261.8253483198905</v>
      </c>
      <c r="K10" s="817">
        <f t="shared" si="1"/>
        <v>4351.6209139803395</v>
      </c>
      <c r="L10" s="817">
        <f t="shared" si="1"/>
        <v>4443.796409596254</v>
      </c>
      <c r="M10" s="817">
        <f t="shared" si="1"/>
        <v>4482.523876433011</v>
      </c>
      <c r="N10" s="817">
        <f t="shared" si="1"/>
        <v>4344.966114664808</v>
      </c>
      <c r="O10" s="817">
        <f t="shared" si="1"/>
        <v>4442.838179763814</v>
      </c>
      <c r="P10" s="817">
        <f t="shared" si="1"/>
        <v>4543.2971068840825</v>
      </c>
      <c r="Q10" s="817">
        <f t="shared" si="1"/>
        <v>4646.408089361003</v>
      </c>
    </row>
    <row r="11" spans="1:5" ht="19.5" customHeight="1">
      <c r="A11" s="629" t="s">
        <v>477</v>
      </c>
      <c r="B11" s="630">
        <v>1</v>
      </c>
      <c r="C11" s="631">
        <v>380</v>
      </c>
      <c r="D11" s="631">
        <v>493.67</v>
      </c>
      <c r="E11" s="632">
        <f>+B11*D11</f>
        <v>493.67</v>
      </c>
    </row>
    <row r="12" spans="1:5" ht="19.5" customHeight="1">
      <c r="A12" s="629" t="s">
        <v>478</v>
      </c>
      <c r="B12" s="630">
        <v>1</v>
      </c>
      <c r="C12" s="631">
        <v>260</v>
      </c>
      <c r="D12" s="631">
        <v>344.09</v>
      </c>
      <c r="E12" s="632">
        <f aca="true" t="shared" si="2" ref="E12:E19">+B12*D12</f>
        <v>344.09</v>
      </c>
    </row>
    <row r="13" spans="1:5" ht="19.5" customHeight="1">
      <c r="A13" s="629" t="s">
        <v>121</v>
      </c>
      <c r="B13" s="630">
        <v>1</v>
      </c>
      <c r="C13" s="631">
        <v>240</v>
      </c>
      <c r="D13" s="631">
        <v>319.16</v>
      </c>
      <c r="E13" s="632">
        <f t="shared" si="2"/>
        <v>319.16</v>
      </c>
    </row>
    <row r="14" spans="1:5" ht="19.5" customHeight="1">
      <c r="A14" s="629" t="s">
        <v>479</v>
      </c>
      <c r="B14" s="630">
        <v>1</v>
      </c>
      <c r="C14" s="631">
        <v>240</v>
      </c>
      <c r="D14" s="631">
        <v>319.16</v>
      </c>
      <c r="E14" s="632">
        <f t="shared" si="2"/>
        <v>319.16</v>
      </c>
    </row>
    <row r="15" spans="1:5" ht="19.5" customHeight="1">
      <c r="A15" s="629" t="s">
        <v>480</v>
      </c>
      <c r="B15" s="630">
        <v>2</v>
      </c>
      <c r="C15" s="631">
        <v>240</v>
      </c>
      <c r="D15" s="631">
        <v>319.16</v>
      </c>
      <c r="E15" s="632">
        <f t="shared" si="2"/>
        <v>638.32</v>
      </c>
    </row>
    <row r="16" spans="1:5" ht="19.5" customHeight="1">
      <c r="A16" s="629" t="s">
        <v>481</v>
      </c>
      <c r="B16" s="630">
        <v>1</v>
      </c>
      <c r="C16" s="631">
        <v>240</v>
      </c>
      <c r="D16" s="631">
        <v>319.16</v>
      </c>
      <c r="E16" s="632">
        <f t="shared" si="2"/>
        <v>319.16</v>
      </c>
    </row>
    <row r="17" spans="1:5" ht="19.5" customHeight="1">
      <c r="A17" s="629" t="s">
        <v>482</v>
      </c>
      <c r="B17" s="630">
        <v>2</v>
      </c>
      <c r="C17" s="631">
        <v>260</v>
      </c>
      <c r="D17" s="631">
        <v>344.09</v>
      </c>
      <c r="E17" s="632">
        <f t="shared" si="2"/>
        <v>688.18</v>
      </c>
    </row>
    <row r="18" spans="1:5" ht="19.5" customHeight="1">
      <c r="A18" s="629" t="s">
        <v>483</v>
      </c>
      <c r="B18" s="630">
        <v>1</v>
      </c>
      <c r="C18" s="631">
        <v>240</v>
      </c>
      <c r="D18" s="631">
        <v>319.16</v>
      </c>
      <c r="E18" s="632">
        <f t="shared" si="2"/>
        <v>319.16</v>
      </c>
    </row>
    <row r="19" spans="1:5" ht="19.5" customHeight="1">
      <c r="A19" s="629" t="s">
        <v>484</v>
      </c>
      <c r="B19" s="630">
        <v>2</v>
      </c>
      <c r="C19" s="631">
        <v>240</v>
      </c>
      <c r="D19" s="631">
        <v>319.16</v>
      </c>
      <c r="E19" s="632">
        <f t="shared" si="2"/>
        <v>638.32</v>
      </c>
    </row>
    <row r="20" spans="1:5" ht="19.5" customHeight="1">
      <c r="A20" s="629"/>
      <c r="B20" s="630"/>
      <c r="C20" s="631"/>
      <c r="D20" s="631"/>
      <c r="E20" s="632">
        <f>+B20*C20</f>
        <v>0</v>
      </c>
    </row>
    <row r="21" spans="1:5" ht="19.5" customHeight="1">
      <c r="A21" s="629"/>
      <c r="B21" s="631"/>
      <c r="C21" s="631"/>
      <c r="D21" s="631"/>
      <c r="E21" s="634">
        <f>SUM(E11:E20)</f>
        <v>4079.22</v>
      </c>
    </row>
    <row r="22" spans="1:5" ht="29.25" customHeight="1">
      <c r="A22" s="627" t="s">
        <v>339</v>
      </c>
      <c r="B22" s="628" t="s">
        <v>112</v>
      </c>
      <c r="C22" s="628" t="s">
        <v>5</v>
      </c>
      <c r="D22" s="628" t="s">
        <v>113</v>
      </c>
      <c r="E22" s="628" t="s">
        <v>114</v>
      </c>
    </row>
    <row r="23" spans="1:5" ht="19.5" customHeight="1">
      <c r="A23" s="629" t="s">
        <v>122</v>
      </c>
      <c r="B23" s="631">
        <v>13</v>
      </c>
      <c r="C23" s="631" t="s">
        <v>123</v>
      </c>
      <c r="D23" s="631">
        <f>1.5*22</f>
        <v>33</v>
      </c>
      <c r="E23" s="635">
        <f>+D23*B23</f>
        <v>429</v>
      </c>
    </row>
    <row r="24" spans="1:5" ht="19.5" customHeight="1">
      <c r="A24" s="640" t="s">
        <v>124</v>
      </c>
      <c r="B24" s="637"/>
      <c r="C24" s="637"/>
      <c r="D24" s="805" t="s">
        <v>125</v>
      </c>
      <c r="E24" s="805">
        <f>E6+E9+E21+E23</f>
        <v>6169.469999999999</v>
      </c>
    </row>
    <row r="25" spans="1:5" ht="19.5" customHeight="1">
      <c r="A25" s="73"/>
      <c r="B25" s="73"/>
      <c r="C25" s="73"/>
      <c r="D25" s="73"/>
      <c r="E25" s="74"/>
    </row>
    <row r="26" spans="1:5" ht="19.5" customHeight="1">
      <c r="A26" s="806" t="s">
        <v>126</v>
      </c>
      <c r="B26" s="806"/>
      <c r="C26" s="806"/>
      <c r="D26" s="806"/>
      <c r="E26" s="806"/>
    </row>
    <row r="27" spans="1:5" ht="19.5" customHeight="1">
      <c r="A27" s="627" t="s">
        <v>127</v>
      </c>
      <c r="B27" s="628" t="s">
        <v>112</v>
      </c>
      <c r="C27" s="628" t="s">
        <v>5</v>
      </c>
      <c r="D27" s="628" t="s">
        <v>113</v>
      </c>
      <c r="E27" s="628" t="s">
        <v>114</v>
      </c>
    </row>
    <row r="28" spans="1:5" ht="19.5" customHeight="1">
      <c r="A28" s="629" t="s">
        <v>128</v>
      </c>
      <c r="B28" s="630">
        <v>1</v>
      </c>
      <c r="C28" s="631" t="s">
        <v>15</v>
      </c>
      <c r="D28" s="631">
        <v>250</v>
      </c>
      <c r="E28" s="632">
        <f aca="true" t="shared" si="3" ref="E28:E34">+D28*B28</f>
        <v>250</v>
      </c>
    </row>
    <row r="29" spans="1:5" ht="19.5" customHeight="1">
      <c r="A29" s="629" t="s">
        <v>129</v>
      </c>
      <c r="B29" s="630">
        <v>15</v>
      </c>
      <c r="C29" s="631" t="s">
        <v>130</v>
      </c>
      <c r="D29" s="631">
        <v>2.85</v>
      </c>
      <c r="E29" s="632">
        <f t="shared" si="3"/>
        <v>42.75</v>
      </c>
    </row>
    <row r="30" spans="1:5" ht="19.5" customHeight="1">
      <c r="A30" s="629" t="s">
        <v>131</v>
      </c>
      <c r="B30" s="630">
        <v>1</v>
      </c>
      <c r="C30" s="631" t="s">
        <v>15</v>
      </c>
      <c r="D30" s="631">
        <f>6*20</f>
        <v>120</v>
      </c>
      <c r="E30" s="632">
        <f t="shared" si="3"/>
        <v>120</v>
      </c>
    </row>
    <row r="31" spans="1:5" ht="19.5" customHeight="1">
      <c r="A31" s="629" t="s">
        <v>132</v>
      </c>
      <c r="B31" s="630">
        <v>1</v>
      </c>
      <c r="C31" s="631" t="s">
        <v>15</v>
      </c>
      <c r="D31" s="631">
        <v>30</v>
      </c>
      <c r="E31" s="632">
        <f t="shared" si="3"/>
        <v>30</v>
      </c>
    </row>
    <row r="32" spans="1:7" ht="19.5" customHeight="1">
      <c r="A32" s="629" t="s">
        <v>133</v>
      </c>
      <c r="B32" s="630">
        <v>1</v>
      </c>
      <c r="C32" s="631" t="s">
        <v>15</v>
      </c>
      <c r="D32" s="631">
        <v>150</v>
      </c>
      <c r="E32" s="632">
        <f t="shared" si="3"/>
        <v>150</v>
      </c>
      <c r="G32">
        <f>+G31*30</f>
        <v>0</v>
      </c>
    </row>
    <row r="33" spans="1:5" ht="19.5" customHeight="1">
      <c r="A33" s="629" t="s">
        <v>134</v>
      </c>
      <c r="B33" s="630">
        <v>1</v>
      </c>
      <c r="C33" s="631" t="s">
        <v>15</v>
      </c>
      <c r="D33" s="631">
        <v>42</v>
      </c>
      <c r="E33" s="632">
        <f t="shared" si="3"/>
        <v>42</v>
      </c>
    </row>
    <row r="34" spans="1:5" ht="19.5" customHeight="1">
      <c r="A34" s="629" t="s">
        <v>135</v>
      </c>
      <c r="B34" s="630">
        <v>1</v>
      </c>
      <c r="C34" s="631" t="s">
        <v>15</v>
      </c>
      <c r="D34" s="631">
        <v>150</v>
      </c>
      <c r="E34" s="632">
        <f t="shared" si="3"/>
        <v>150</v>
      </c>
    </row>
    <row r="35" spans="1:5" ht="19.5" customHeight="1">
      <c r="A35" s="617"/>
      <c r="B35" s="618"/>
      <c r="C35" s="618"/>
      <c r="D35" s="618"/>
      <c r="E35" s="638">
        <f>SUM(E28:E34)</f>
        <v>784.75</v>
      </c>
    </row>
    <row r="36" spans="1:5" ht="30" outlineLevel="1">
      <c r="A36" s="627" t="s">
        <v>136</v>
      </c>
      <c r="B36" s="628" t="s">
        <v>112</v>
      </c>
      <c r="C36" s="628" t="s">
        <v>119</v>
      </c>
      <c r="D36" s="628" t="s">
        <v>120</v>
      </c>
      <c r="E36" s="628" t="s">
        <v>114</v>
      </c>
    </row>
    <row r="37" spans="1:5" ht="19.5" customHeight="1" outlineLevel="1">
      <c r="A37" s="629" t="s">
        <v>485</v>
      </c>
      <c r="B37" s="630">
        <v>1</v>
      </c>
      <c r="C37" s="631">
        <v>600</v>
      </c>
      <c r="D37" s="631">
        <v>767.9</v>
      </c>
      <c r="E37" s="632">
        <f>+B37*D37</f>
        <v>767.9</v>
      </c>
    </row>
    <row r="38" spans="1:5" ht="19.5" customHeight="1" outlineLevel="1">
      <c r="A38" s="629" t="s">
        <v>486</v>
      </c>
      <c r="B38" s="630">
        <v>1</v>
      </c>
      <c r="C38" s="631">
        <v>450</v>
      </c>
      <c r="D38" s="631">
        <v>580.925</v>
      </c>
      <c r="E38" s="632">
        <f>+B38*D38</f>
        <v>580.925</v>
      </c>
    </row>
    <row r="39" spans="1:5" ht="19.5" customHeight="1" outlineLevel="1">
      <c r="A39" s="629"/>
      <c r="B39" s="630">
        <v>1</v>
      </c>
      <c r="C39" s="631">
        <v>0</v>
      </c>
      <c r="D39" s="631"/>
      <c r="E39" s="632">
        <f>+B39*C39</f>
        <v>0</v>
      </c>
    </row>
    <row r="40" spans="1:5" ht="19.5" customHeight="1" outlineLevel="1">
      <c r="A40" s="617"/>
      <c r="B40" s="618"/>
      <c r="C40" s="618"/>
      <c r="D40" s="618"/>
      <c r="E40" s="639">
        <f>SUM(E37:E39)</f>
        <v>1348.8249999999998</v>
      </c>
    </row>
    <row r="41" spans="1:5" ht="19.5" customHeight="1">
      <c r="A41" s="640" t="s">
        <v>137</v>
      </c>
      <c r="B41" s="636"/>
      <c r="C41" s="636"/>
      <c r="D41" s="619" t="s">
        <v>138</v>
      </c>
      <c r="E41" s="619">
        <f>E35+E40</f>
        <v>2133.575</v>
      </c>
    </row>
    <row r="42" spans="1:5" ht="19.5" customHeight="1">
      <c r="A42" s="73"/>
      <c r="B42" s="73"/>
      <c r="C42" s="73"/>
      <c r="D42" s="73"/>
      <c r="E42" s="73"/>
    </row>
    <row r="43" spans="1:5" ht="19.5" customHeight="1">
      <c r="A43" s="620" t="s">
        <v>139</v>
      </c>
      <c r="B43" s="620"/>
      <c r="C43" s="620"/>
      <c r="D43" s="620"/>
      <c r="E43" s="620"/>
    </row>
    <row r="44" spans="1:5" ht="45">
      <c r="A44" s="627" t="s">
        <v>140</v>
      </c>
      <c r="B44" s="628" t="s">
        <v>141</v>
      </c>
      <c r="C44" s="628" t="s">
        <v>142</v>
      </c>
      <c r="D44" s="628" t="s">
        <v>143</v>
      </c>
      <c r="E44" s="628" t="s">
        <v>144</v>
      </c>
    </row>
    <row r="45" spans="1:8" ht="19.5" customHeight="1">
      <c r="A45" s="641" t="s">
        <v>145</v>
      </c>
      <c r="B45" s="642">
        <f>100%/C45</f>
        <v>0.05</v>
      </c>
      <c r="C45" s="643">
        <v>20</v>
      </c>
      <c r="D45" s="644">
        <f>INVERSIONES!E30</f>
        <v>590210</v>
      </c>
      <c r="E45" s="645">
        <f>+D45*B45/12</f>
        <v>2459.2083333333335</v>
      </c>
      <c r="G45" s="85" t="s">
        <v>352</v>
      </c>
      <c r="H45" s="76" t="s">
        <v>353</v>
      </c>
    </row>
    <row r="46" spans="1:8" ht="19.5" customHeight="1">
      <c r="A46" s="641" t="s">
        <v>146</v>
      </c>
      <c r="B46" s="642">
        <f>100%/C46</f>
        <v>0.2</v>
      </c>
      <c r="C46" s="643">
        <v>5</v>
      </c>
      <c r="D46" s="644">
        <f>INVERSIONES!E52</f>
        <v>86988</v>
      </c>
      <c r="E46" s="645">
        <f>+D46*B46/12</f>
        <v>1449.8000000000002</v>
      </c>
      <c r="G46" s="231">
        <f>+D45+D46+D47+D48</f>
        <v>728160.76</v>
      </c>
      <c r="H46" s="234">
        <f>+D85</f>
        <v>1500</v>
      </c>
    </row>
    <row r="47" spans="1:8" ht="19.5" customHeight="1">
      <c r="A47" s="641" t="s">
        <v>147</v>
      </c>
      <c r="B47" s="642">
        <f>100%/C47</f>
        <v>0.1</v>
      </c>
      <c r="C47" s="643">
        <v>10</v>
      </c>
      <c r="D47" s="644">
        <f>INVERSIONES!E85-D85</f>
        <v>32962.76</v>
      </c>
      <c r="E47" s="645">
        <f>+D47*B47/12</f>
        <v>274.6896666666667</v>
      </c>
      <c r="G47" s="232">
        <f>INVERSIONES!E8</f>
        <v>140000</v>
      </c>
      <c r="H47" s="230"/>
    </row>
    <row r="48" spans="1:8" ht="19.5" customHeight="1" outlineLevel="1">
      <c r="A48" s="641" t="s">
        <v>148</v>
      </c>
      <c r="B48" s="642">
        <f>100%/C48</f>
        <v>0.2</v>
      </c>
      <c r="C48" s="643">
        <v>5</v>
      </c>
      <c r="D48" s="644">
        <f>INVERSIONES!E57</f>
        <v>18000</v>
      </c>
      <c r="E48" s="645">
        <f>+D48*B48/12</f>
        <v>300</v>
      </c>
      <c r="G48" s="232">
        <f>INVERSIONES!E96</f>
        <v>4975</v>
      </c>
      <c r="H48" s="230"/>
    </row>
    <row r="49" spans="1:8" ht="19.5" customHeight="1">
      <c r="A49" s="617"/>
      <c r="B49" s="618"/>
      <c r="C49" s="618"/>
      <c r="D49" s="618"/>
      <c r="E49" s="646">
        <f>SUM(E45:E48)</f>
        <v>4483.698</v>
      </c>
      <c r="G49" s="233">
        <f>INVERSIONES!E106</f>
        <v>21300</v>
      </c>
      <c r="H49" s="230"/>
    </row>
    <row r="50" spans="1:9" ht="19.5" customHeight="1">
      <c r="A50" s="627" t="s">
        <v>149</v>
      </c>
      <c r="B50" s="628" t="s">
        <v>112</v>
      </c>
      <c r="C50" s="628" t="s">
        <v>5</v>
      </c>
      <c r="D50" s="628" t="s">
        <v>113</v>
      </c>
      <c r="E50" s="628" t="s">
        <v>114</v>
      </c>
      <c r="G50" s="98">
        <f>SUM(G46:G49)</f>
        <v>894435.76</v>
      </c>
      <c r="H50" s="235">
        <f>SUM(H46:H49)</f>
        <v>1500</v>
      </c>
      <c r="I50" s="222">
        <f>+G50+H50</f>
        <v>895935.76</v>
      </c>
    </row>
    <row r="51" spans="1:5" ht="19.5" customHeight="1">
      <c r="A51" s="629" t="s">
        <v>150</v>
      </c>
      <c r="B51" s="631">
        <f>57+57</f>
        <v>114</v>
      </c>
      <c r="C51" s="631" t="s">
        <v>151</v>
      </c>
      <c r="D51" s="631">
        <f>8.25*1.12</f>
        <v>9.24</v>
      </c>
      <c r="E51" s="632">
        <f>+D51*B51</f>
        <v>1053.3600000000001</v>
      </c>
    </row>
    <row r="52" spans="1:5" ht="19.5" customHeight="1">
      <c r="A52" s="629" t="s">
        <v>152</v>
      </c>
      <c r="B52" s="631">
        <f>149+61+292+5460+242+850</f>
        <v>7054</v>
      </c>
      <c r="C52" s="631" t="s">
        <v>153</v>
      </c>
      <c r="D52" s="631">
        <v>0.065</v>
      </c>
      <c r="E52" s="632">
        <f>+D52*B52</f>
        <v>458.51</v>
      </c>
    </row>
    <row r="53" spans="1:5" ht="19.5" customHeight="1">
      <c r="A53" s="629" t="s">
        <v>554</v>
      </c>
      <c r="B53" s="631"/>
      <c r="C53" s="631">
        <v>1</v>
      </c>
      <c r="D53" s="631">
        <v>100</v>
      </c>
      <c r="E53" s="632">
        <f>D53*C53</f>
        <v>100</v>
      </c>
    </row>
    <row r="54" spans="1:5" ht="19.5" customHeight="1">
      <c r="A54" s="629" t="s">
        <v>154</v>
      </c>
      <c r="B54" s="631">
        <v>2</v>
      </c>
      <c r="C54" s="631" t="s">
        <v>15</v>
      </c>
      <c r="D54" s="631">
        <v>100</v>
      </c>
      <c r="E54" s="632">
        <f>+D54*B54</f>
        <v>200</v>
      </c>
    </row>
    <row r="55" spans="1:5" ht="19.5" customHeight="1">
      <c r="A55" s="617"/>
      <c r="B55" s="618"/>
      <c r="C55" s="618"/>
      <c r="D55" s="618"/>
      <c r="E55" s="621">
        <f>SUM(E51:E54)</f>
        <v>1811.8700000000001</v>
      </c>
    </row>
    <row r="56" spans="1:5" ht="30.75" customHeight="1">
      <c r="A56" s="627" t="s">
        <v>155</v>
      </c>
      <c r="B56" s="628" t="s">
        <v>156</v>
      </c>
      <c r="C56" s="628" t="s">
        <v>5</v>
      </c>
      <c r="D56" s="628" t="s">
        <v>143</v>
      </c>
      <c r="E56" s="628" t="s">
        <v>114</v>
      </c>
    </row>
    <row r="57" spans="1:5" ht="19.5" customHeight="1">
      <c r="A57" s="629" t="s">
        <v>157</v>
      </c>
      <c r="B57" s="647">
        <v>0.00166666666666667</v>
      </c>
      <c r="C57" s="631" t="s">
        <v>108</v>
      </c>
      <c r="D57" s="631">
        <f>+D46+D48</f>
        <v>104988</v>
      </c>
      <c r="E57" s="632">
        <f>+D57*B57</f>
        <v>174.98000000000036</v>
      </c>
    </row>
    <row r="58" spans="1:5" ht="19.5" customHeight="1">
      <c r="A58" s="629" t="s">
        <v>145</v>
      </c>
      <c r="B58" s="647">
        <f>1%/12</f>
        <v>0.0008333333333333334</v>
      </c>
      <c r="C58" s="631" t="s">
        <v>108</v>
      </c>
      <c r="D58" s="631">
        <f>+D45</f>
        <v>590210</v>
      </c>
      <c r="E58" s="632">
        <f>+D58*B58</f>
        <v>491.8416666666667</v>
      </c>
    </row>
    <row r="59" spans="1:5" ht="19.5" customHeight="1">
      <c r="A59" s="629" t="s">
        <v>158</v>
      </c>
      <c r="B59" s="647">
        <f>5%/12</f>
        <v>0.004166666666666667</v>
      </c>
      <c r="C59" s="631" t="s">
        <v>108</v>
      </c>
      <c r="D59" s="631">
        <f>+D47</f>
        <v>32962.76</v>
      </c>
      <c r="E59" s="632">
        <f>+D59*B59</f>
        <v>137.34483333333333</v>
      </c>
    </row>
    <row r="60" spans="1:5" ht="19.5" customHeight="1">
      <c r="A60" s="617"/>
      <c r="B60" s="618"/>
      <c r="C60" s="618"/>
      <c r="D60" s="618"/>
      <c r="E60" s="621">
        <f>SUM(E57:E59)</f>
        <v>804.1665000000004</v>
      </c>
    </row>
    <row r="61" spans="1:5" ht="32.25" customHeight="1">
      <c r="A61" s="627" t="s">
        <v>160</v>
      </c>
      <c r="B61" s="628" t="s">
        <v>112</v>
      </c>
      <c r="C61" s="628" t="s">
        <v>5</v>
      </c>
      <c r="D61" s="628" t="s">
        <v>113</v>
      </c>
      <c r="E61" s="628" t="s">
        <v>114</v>
      </c>
    </row>
    <row r="62" spans="1:5" ht="30">
      <c r="A62" s="629" t="s">
        <v>161</v>
      </c>
      <c r="B62" s="630">
        <v>1</v>
      </c>
      <c r="C62" s="631" t="s">
        <v>159</v>
      </c>
      <c r="D62" s="631">
        <v>51.6666666666667</v>
      </c>
      <c r="E62" s="632">
        <f>+D62*B62</f>
        <v>51.6666666666667</v>
      </c>
    </row>
    <row r="63" spans="1:5" ht="30">
      <c r="A63" s="629" t="s">
        <v>162</v>
      </c>
      <c r="B63" s="630">
        <v>1</v>
      </c>
      <c r="C63" s="631" t="s">
        <v>159</v>
      </c>
      <c r="D63" s="631">
        <v>43.3333333333333</v>
      </c>
      <c r="E63" s="632">
        <f>+D63*B63</f>
        <v>43.3333333333333</v>
      </c>
    </row>
    <row r="64" spans="1:5" ht="19.5" customHeight="1">
      <c r="A64" s="629" t="s">
        <v>163</v>
      </c>
      <c r="B64" s="630">
        <v>1</v>
      </c>
      <c r="C64" s="631" t="s">
        <v>159</v>
      </c>
      <c r="D64" s="631">
        <f>INVERSIONES!D56*0.01/12</f>
        <v>15</v>
      </c>
      <c r="E64" s="632">
        <f>+D64*B64</f>
        <v>15</v>
      </c>
    </row>
    <row r="65" spans="1:5" ht="19.5" customHeight="1">
      <c r="A65" s="617"/>
      <c r="B65" s="618"/>
      <c r="C65" s="618"/>
      <c r="D65" s="618"/>
      <c r="E65" s="621">
        <f>SUM(E62:E64)</f>
        <v>110</v>
      </c>
    </row>
    <row r="66" spans="1:5" ht="30">
      <c r="A66" s="627" t="s">
        <v>164</v>
      </c>
      <c r="B66" s="628" t="s">
        <v>165</v>
      </c>
      <c r="C66" s="628" t="s">
        <v>101</v>
      </c>
      <c r="D66" s="628"/>
      <c r="E66" s="628" t="s">
        <v>114</v>
      </c>
    </row>
    <row r="67" spans="1:5" ht="19.5" customHeight="1">
      <c r="A67" s="629" t="s">
        <v>166</v>
      </c>
      <c r="B67" s="631">
        <f>INVERSIONES!E134</f>
        <v>2470</v>
      </c>
      <c r="C67" s="630">
        <f>+C90</f>
        <v>72</v>
      </c>
      <c r="D67" s="631"/>
      <c r="E67" s="632">
        <f>+B67/C67</f>
        <v>34.30555555555556</v>
      </c>
    </row>
    <row r="68" spans="1:5" ht="19.5" customHeight="1">
      <c r="A68" s="629" t="s">
        <v>167</v>
      </c>
      <c r="B68" s="631">
        <f>INVERSIONES!E147</f>
        <v>2537.1499999999996</v>
      </c>
      <c r="C68" s="630">
        <f>+C67</f>
        <v>72</v>
      </c>
      <c r="D68" s="631"/>
      <c r="E68" s="632">
        <f>+B68/C68</f>
        <v>35.23819444444444</v>
      </c>
    </row>
    <row r="69" spans="1:5" ht="19.5" customHeight="1">
      <c r="A69" s="629" t="s">
        <v>168</v>
      </c>
      <c r="B69" s="631">
        <f>INVERSIONES!E153</f>
        <v>645</v>
      </c>
      <c r="C69" s="630">
        <f>+C68</f>
        <v>72</v>
      </c>
      <c r="D69" s="631"/>
      <c r="E69" s="632">
        <f>+B69/C69</f>
        <v>8.958333333333334</v>
      </c>
    </row>
    <row r="70" spans="1:10" ht="19.5" customHeight="1">
      <c r="A70" s="629" t="s">
        <v>169</v>
      </c>
      <c r="B70" s="631">
        <f>INVERSIONES!E159</f>
        <v>1000</v>
      </c>
      <c r="C70" s="630">
        <f>+C69</f>
        <v>72</v>
      </c>
      <c r="D70" s="631"/>
      <c r="E70" s="632">
        <f>+B70/C70</f>
        <v>13.88888888888889</v>
      </c>
      <c r="J70" s="212"/>
    </row>
    <row r="71" spans="1:5" ht="27.75" customHeight="1">
      <c r="A71" s="629" t="s">
        <v>170</v>
      </c>
      <c r="B71" s="631">
        <f>INVERSIONES!E165</f>
        <v>52929.5</v>
      </c>
      <c r="C71" s="630">
        <f>+C70</f>
        <v>72</v>
      </c>
      <c r="D71" s="631"/>
      <c r="E71" s="632">
        <f>+B71/C71</f>
        <v>735.1319444444445</v>
      </c>
    </row>
    <row r="72" spans="1:5" ht="19.5" customHeight="1">
      <c r="A72" s="617"/>
      <c r="B72" s="618"/>
      <c r="C72" s="618"/>
      <c r="D72" s="618"/>
      <c r="E72" s="621">
        <f>SUM(E67:E71)</f>
        <v>827.5229166666667</v>
      </c>
    </row>
    <row r="73" spans="1:5" ht="19.5" customHeight="1">
      <c r="A73" s="640" t="s">
        <v>171</v>
      </c>
      <c r="B73" s="637"/>
      <c r="C73" s="637"/>
      <c r="D73" s="619" t="s">
        <v>172</v>
      </c>
      <c r="E73" s="619">
        <f>+E49+E55+E60+E65+E72</f>
        <v>8037.257416666667</v>
      </c>
    </row>
    <row r="74" spans="1:5" ht="19.5" customHeight="1">
      <c r="A74" s="71"/>
      <c r="B74" s="71"/>
      <c r="C74" s="71"/>
      <c r="D74" s="71"/>
      <c r="E74" s="71"/>
    </row>
    <row r="75" spans="1:5" ht="19.5" customHeight="1">
      <c r="A75" s="71"/>
      <c r="B75" s="71"/>
      <c r="C75" s="71"/>
      <c r="D75" s="71"/>
      <c r="E75" s="71"/>
    </row>
    <row r="76" spans="1:5" ht="19.5" customHeight="1">
      <c r="A76" s="622" t="s">
        <v>173</v>
      </c>
      <c r="B76" s="616"/>
      <c r="C76" s="616"/>
      <c r="D76" s="616"/>
      <c r="E76" s="623">
        <f>+E83+E86+E91+E94+E102</f>
        <v>5007.066666666667</v>
      </c>
    </row>
    <row r="77" spans="1:5" ht="27.75" customHeight="1">
      <c r="A77" s="627" t="s">
        <v>174</v>
      </c>
      <c r="B77" s="628" t="s">
        <v>112</v>
      </c>
      <c r="C77" s="628" t="s">
        <v>119</v>
      </c>
      <c r="D77" s="628" t="s">
        <v>120</v>
      </c>
      <c r="E77" s="628" t="s">
        <v>114</v>
      </c>
    </row>
    <row r="78" spans="1:5" ht="19.5" customHeight="1">
      <c r="A78" s="629" t="s">
        <v>473</v>
      </c>
      <c r="B78" s="630">
        <v>1</v>
      </c>
      <c r="C78" s="631">
        <v>1500</v>
      </c>
      <c r="D78" s="631">
        <v>1889.75</v>
      </c>
      <c r="E78" s="632">
        <f>+D78*B78</f>
        <v>1889.75</v>
      </c>
    </row>
    <row r="79" spans="1:5" ht="19.5" customHeight="1">
      <c r="A79" s="629" t="s">
        <v>355</v>
      </c>
      <c r="B79" s="630">
        <v>1</v>
      </c>
      <c r="C79" s="631">
        <v>600</v>
      </c>
      <c r="D79" s="631">
        <v>767.9</v>
      </c>
      <c r="E79" s="632">
        <f>D79*B79</f>
        <v>767.9</v>
      </c>
    </row>
    <row r="80" spans="1:5" ht="19.5" customHeight="1">
      <c r="A80" s="629" t="s">
        <v>475</v>
      </c>
      <c r="B80" s="630">
        <v>1</v>
      </c>
      <c r="C80" s="631">
        <v>400</v>
      </c>
      <c r="D80" s="631">
        <v>518.6</v>
      </c>
      <c r="E80" s="632">
        <f>+D80*B80</f>
        <v>518.6</v>
      </c>
    </row>
    <row r="81" spans="1:5" ht="19.5" customHeight="1">
      <c r="A81" s="629" t="s">
        <v>476</v>
      </c>
      <c r="B81" s="630">
        <v>1</v>
      </c>
      <c r="C81" s="631">
        <v>600</v>
      </c>
      <c r="D81" s="631">
        <v>767.9</v>
      </c>
      <c r="E81" s="632">
        <f>+D81*B81</f>
        <v>767.9</v>
      </c>
    </row>
    <row r="82" spans="1:5" ht="19.5" customHeight="1">
      <c r="A82" s="629"/>
      <c r="B82" s="630">
        <v>0</v>
      </c>
      <c r="C82" s="631"/>
      <c r="D82" s="648"/>
      <c r="E82" s="632">
        <f>+B82*C82</f>
        <v>0</v>
      </c>
    </row>
    <row r="83" spans="1:5" ht="19.5" customHeight="1">
      <c r="A83" s="617"/>
      <c r="B83" s="618"/>
      <c r="C83" s="618"/>
      <c r="D83" s="618"/>
      <c r="E83" s="649">
        <f>SUM(E78:E82)</f>
        <v>3944.15</v>
      </c>
    </row>
    <row r="84" spans="1:5" ht="36.75" customHeight="1">
      <c r="A84" s="627" t="s">
        <v>340</v>
      </c>
      <c r="B84" s="628" t="s">
        <v>141</v>
      </c>
      <c r="C84" s="628" t="s">
        <v>142</v>
      </c>
      <c r="D84" s="628" t="s">
        <v>143</v>
      </c>
      <c r="E84" s="628" t="s">
        <v>144</v>
      </c>
    </row>
    <row r="85" spans="1:5" ht="19.5" customHeight="1">
      <c r="A85" s="629" t="s">
        <v>175</v>
      </c>
      <c r="B85" s="651">
        <v>0.1</v>
      </c>
      <c r="C85" s="630">
        <v>10</v>
      </c>
      <c r="D85" s="631">
        <f>+INVERSIONES!E61</f>
        <v>1500</v>
      </c>
      <c r="E85" s="632">
        <f>+B85*D85/12</f>
        <v>12.5</v>
      </c>
    </row>
    <row r="86" spans="1:5" ht="19.5" customHeight="1">
      <c r="A86" s="617"/>
      <c r="B86" s="618"/>
      <c r="C86" s="618"/>
      <c r="D86" s="618"/>
      <c r="E86" s="650">
        <f>SUM(E85:E85)</f>
        <v>12.5</v>
      </c>
    </row>
    <row r="87" spans="1:5" ht="19.5" customHeight="1">
      <c r="A87" s="627" t="s">
        <v>341</v>
      </c>
      <c r="B87" s="628" t="s">
        <v>165</v>
      </c>
      <c r="C87" s="628" t="s">
        <v>101</v>
      </c>
      <c r="D87" s="657"/>
      <c r="E87" s="628" t="s">
        <v>114</v>
      </c>
    </row>
    <row r="88" spans="1:5" ht="19.5" customHeight="1">
      <c r="A88" s="629" t="s">
        <v>176</v>
      </c>
      <c r="B88" s="631">
        <f>+INVERSIONES!E115</f>
        <v>1000</v>
      </c>
      <c r="C88" s="630">
        <v>72</v>
      </c>
      <c r="D88" s="648"/>
      <c r="E88" s="632">
        <f>+B88/C88</f>
        <v>13.88888888888889</v>
      </c>
    </row>
    <row r="89" spans="1:5" ht="19.5" customHeight="1">
      <c r="A89" s="629" t="s">
        <v>177</v>
      </c>
      <c r="B89" s="631">
        <f>+INVERSIONES!E121</f>
        <v>2300</v>
      </c>
      <c r="C89" s="630">
        <f>+C88</f>
        <v>72</v>
      </c>
      <c r="D89" s="648"/>
      <c r="E89" s="632">
        <f>+B89/C89</f>
        <v>31.944444444444443</v>
      </c>
    </row>
    <row r="90" spans="1:5" ht="19.5" customHeight="1">
      <c r="A90" s="629" t="s">
        <v>178</v>
      </c>
      <c r="B90" s="631">
        <f>+INVERSIONES!E126</f>
        <v>1500</v>
      </c>
      <c r="C90" s="630">
        <f>+C89</f>
        <v>72</v>
      </c>
      <c r="D90" s="648"/>
      <c r="E90" s="632">
        <f>+B90/C90</f>
        <v>20.833333333333332</v>
      </c>
    </row>
    <row r="91" spans="1:5" ht="19.5" customHeight="1">
      <c r="A91" s="617"/>
      <c r="B91" s="618"/>
      <c r="C91" s="618"/>
      <c r="D91" s="618"/>
      <c r="E91" s="624">
        <f>SUM(E88:E90)</f>
        <v>66.66666666666666</v>
      </c>
    </row>
    <row r="92" spans="1:5" ht="32.25" customHeight="1">
      <c r="A92" s="627" t="s">
        <v>342</v>
      </c>
      <c r="B92" s="628" t="s">
        <v>179</v>
      </c>
      <c r="C92" s="628" t="s">
        <v>5</v>
      </c>
      <c r="D92" s="628" t="s">
        <v>143</v>
      </c>
      <c r="E92" s="628" t="s">
        <v>114</v>
      </c>
    </row>
    <row r="93" spans="1:5" ht="19.5" customHeight="1">
      <c r="A93" s="629" t="str">
        <f>+A85</f>
        <v>Mobiliario de oficina</v>
      </c>
      <c r="B93" s="652">
        <f>3%/12</f>
        <v>0.0025</v>
      </c>
      <c r="C93" s="631" t="s">
        <v>159</v>
      </c>
      <c r="D93" s="631">
        <f>+D85</f>
        <v>1500</v>
      </c>
      <c r="E93" s="632">
        <f>+B93*D93</f>
        <v>3.75</v>
      </c>
    </row>
    <row r="94" spans="1:5" ht="19.5" customHeight="1">
      <c r="A94" s="617"/>
      <c r="B94" s="618"/>
      <c r="C94" s="618"/>
      <c r="D94" s="618"/>
      <c r="E94" s="624">
        <f>SUM(E93:E93)</f>
        <v>3.75</v>
      </c>
    </row>
    <row r="95" spans="1:5" ht="19.5" customHeight="1">
      <c r="A95" s="627" t="s">
        <v>343</v>
      </c>
      <c r="B95" s="628" t="s">
        <v>112</v>
      </c>
      <c r="C95" s="628" t="s">
        <v>5</v>
      </c>
      <c r="D95" s="628" t="s">
        <v>113</v>
      </c>
      <c r="E95" s="628" t="s">
        <v>114</v>
      </c>
    </row>
    <row r="96" spans="1:5" ht="19.5" customHeight="1">
      <c r="A96" s="629"/>
      <c r="B96" s="631"/>
      <c r="C96" s="653"/>
      <c r="D96" s="631"/>
      <c r="E96" s="632"/>
    </row>
    <row r="97" spans="1:5" ht="19.5" customHeight="1">
      <c r="A97" s="627" t="s">
        <v>344</v>
      </c>
      <c r="B97" s="628" t="s">
        <v>3</v>
      </c>
      <c r="C97" s="628" t="s">
        <v>180</v>
      </c>
      <c r="D97" s="628" t="s">
        <v>181</v>
      </c>
      <c r="E97" s="628" t="s">
        <v>114</v>
      </c>
    </row>
    <row r="98" spans="1:5" ht="19.5" customHeight="1">
      <c r="A98" s="629" t="s">
        <v>472</v>
      </c>
      <c r="B98" s="630">
        <v>32</v>
      </c>
      <c r="C98" s="631" t="s">
        <v>20</v>
      </c>
      <c r="D98" s="631">
        <f>E98/B98</f>
        <v>15.625</v>
      </c>
      <c r="E98" s="632">
        <v>500</v>
      </c>
    </row>
    <row r="99" spans="1:5" ht="19.5" customHeight="1">
      <c r="A99" s="629" t="s">
        <v>182</v>
      </c>
      <c r="B99" s="630">
        <v>1</v>
      </c>
      <c r="C99" s="631" t="s">
        <v>15</v>
      </c>
      <c r="D99" s="631">
        <v>180</v>
      </c>
      <c r="E99" s="632">
        <f>+B99*D99</f>
        <v>180</v>
      </c>
    </row>
    <row r="100" spans="1:5" ht="19.5" customHeight="1">
      <c r="A100" s="629" t="s">
        <v>183</v>
      </c>
      <c r="B100" s="630">
        <v>1</v>
      </c>
      <c r="C100" s="631" t="s">
        <v>15</v>
      </c>
      <c r="D100" s="631">
        <v>150</v>
      </c>
      <c r="E100" s="632">
        <f>+B100*D100</f>
        <v>150</v>
      </c>
    </row>
    <row r="101" spans="1:5" ht="30">
      <c r="A101" s="629" t="s">
        <v>184</v>
      </c>
      <c r="B101" s="630">
        <v>1</v>
      </c>
      <c r="C101" s="631" t="s">
        <v>108</v>
      </c>
      <c r="D101" s="631">
        <v>150</v>
      </c>
      <c r="E101" s="632">
        <f>+B101*D101</f>
        <v>150</v>
      </c>
    </row>
    <row r="102" spans="1:5" ht="19.5" customHeight="1">
      <c r="A102" s="617"/>
      <c r="B102" s="618"/>
      <c r="C102" s="618"/>
      <c r="D102" s="618"/>
      <c r="E102" s="624">
        <f>SUM(E98:E101)</f>
        <v>980</v>
      </c>
    </row>
    <row r="103" spans="1:5" ht="19.5" customHeight="1">
      <c r="A103" s="640" t="s">
        <v>553</v>
      </c>
      <c r="B103" s="637"/>
      <c r="C103" s="637"/>
      <c r="D103" s="637"/>
      <c r="E103" s="654">
        <f>+E102+E94+E91+E86+E83</f>
        <v>5007.066666666667</v>
      </c>
    </row>
    <row r="104" spans="1:5" ht="19.5" customHeight="1">
      <c r="A104" s="71"/>
      <c r="B104" s="71"/>
      <c r="C104" s="71"/>
      <c r="D104" s="71"/>
      <c r="E104" s="71"/>
    </row>
    <row r="105" spans="1:5" ht="19.5" customHeight="1">
      <c r="A105" s="71"/>
      <c r="B105" s="71"/>
      <c r="C105" s="71"/>
      <c r="D105" s="71"/>
      <c r="E105" s="71"/>
    </row>
    <row r="106" spans="1:5" ht="19.5" customHeight="1">
      <c r="A106" s="625" t="s">
        <v>186</v>
      </c>
      <c r="B106" s="620"/>
      <c r="C106" s="620"/>
      <c r="D106" s="620"/>
      <c r="E106" s="626">
        <f>+E111</f>
        <v>11123.5</v>
      </c>
    </row>
    <row r="107" spans="1:5" ht="27.75" customHeight="1">
      <c r="A107" s="627" t="s">
        <v>187</v>
      </c>
      <c r="B107" s="628" t="s">
        <v>112</v>
      </c>
      <c r="C107" s="628" t="s">
        <v>188</v>
      </c>
      <c r="D107" s="628"/>
      <c r="E107" s="628" t="s">
        <v>114</v>
      </c>
    </row>
    <row r="108" spans="1:5" ht="19.5" customHeight="1" hidden="1">
      <c r="A108" s="629"/>
      <c r="B108" s="631"/>
      <c r="C108" s="631"/>
      <c r="D108" s="631"/>
      <c r="E108" s="632">
        <f>+C108*B108</f>
        <v>0</v>
      </c>
    </row>
    <row r="109" spans="1:5" ht="19.5" customHeight="1">
      <c r="A109" s="629" t="s">
        <v>474</v>
      </c>
      <c r="B109" s="630">
        <v>1</v>
      </c>
      <c r="C109" s="631">
        <v>1000</v>
      </c>
      <c r="D109" s="631">
        <v>1266.5</v>
      </c>
      <c r="E109" s="632">
        <f>+D109*B109</f>
        <v>1266.5</v>
      </c>
    </row>
    <row r="110" spans="1:5" ht="45">
      <c r="A110" s="629" t="s">
        <v>537</v>
      </c>
      <c r="B110" s="631"/>
      <c r="C110" s="631">
        <f>'PUBLICIDAD ANTES-POST'!D67/12</f>
        <v>9857</v>
      </c>
      <c r="D110" s="631"/>
      <c r="E110" s="632">
        <f>+C110</f>
        <v>9857</v>
      </c>
    </row>
    <row r="111" spans="1:5" ht="19.5" customHeight="1">
      <c r="A111" s="655"/>
      <c r="B111" s="655"/>
      <c r="C111" s="655"/>
      <c r="D111" s="655"/>
      <c r="E111" s="619">
        <f>SUM(E108:E110)</f>
        <v>11123.5</v>
      </c>
    </row>
    <row r="112" spans="1:5" ht="19.5" customHeight="1">
      <c r="A112" s="71"/>
      <c r="B112" s="71"/>
      <c r="C112" s="71"/>
      <c r="D112" s="71"/>
      <c r="E112" s="71"/>
    </row>
    <row r="113" spans="1:5" ht="19.5" customHeight="1">
      <c r="A113" s="71"/>
      <c r="B113" s="71"/>
      <c r="C113" s="71"/>
      <c r="D113" s="71"/>
      <c r="E113" s="71"/>
    </row>
    <row r="114" spans="1:8" ht="41.25" customHeight="1">
      <c r="A114" s="656" t="s">
        <v>189</v>
      </c>
      <c r="B114" s="656"/>
      <c r="C114" s="656"/>
      <c r="D114" s="656"/>
      <c r="E114" s="656">
        <f>+E106+E76+E1</f>
        <v>32470.86908333333</v>
      </c>
      <c r="H114" s="213"/>
    </row>
    <row r="115" spans="1:5" ht="19.5" customHeight="1">
      <c r="A115" s="71"/>
      <c r="B115" s="71"/>
      <c r="C115" s="71"/>
      <c r="D115" s="71"/>
      <c r="E115" s="71"/>
    </row>
    <row r="116" spans="1:5" ht="19.5" customHeight="1">
      <c r="A116" s="71"/>
      <c r="B116" s="71"/>
      <c r="C116" s="71"/>
      <c r="D116" s="71"/>
      <c r="E116" s="71"/>
    </row>
    <row r="117" ht="19.5" customHeight="1">
      <c r="E117" s="213"/>
    </row>
    <row r="118" ht="19.5" customHeight="1">
      <c r="E118" s="203"/>
    </row>
    <row r="120" ht="19.5" customHeight="1">
      <c r="E120" s="203"/>
    </row>
    <row r="145" spans="1:5" ht="19.5" customHeight="1">
      <c r="A145" s="71"/>
      <c r="B145" s="71"/>
      <c r="C145" s="71"/>
      <c r="D145" s="71"/>
      <c r="E145" s="71"/>
    </row>
    <row r="146" spans="1:5" ht="19.5" customHeight="1">
      <c r="A146" s="71"/>
      <c r="B146" s="71"/>
      <c r="C146" s="71"/>
      <c r="D146" s="71"/>
      <c r="E146" s="71"/>
    </row>
  </sheetData>
  <sheetProtection/>
  <mergeCells count="2">
    <mergeCell ref="A1:D1"/>
    <mergeCell ref="G1:Q1"/>
  </mergeCells>
  <printOptions/>
  <pageMargins left="0.79" right="0.79" top="0.98" bottom="0.67" header="0" footer="0"/>
  <pageSetup fitToHeight="6" fitToWidth="1" horizontalDpi="300" verticalDpi="300" orientation="portrait" paperSize="9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7"/>
  <sheetViews>
    <sheetView zoomScale="75" zoomScaleNormal="75" zoomScalePageLayoutView="0" workbookViewId="0" topLeftCell="A35">
      <selection activeCell="B56" sqref="B56:H63"/>
    </sheetView>
  </sheetViews>
  <sheetFormatPr defaultColWidth="11.421875" defaultRowHeight="12.75"/>
  <cols>
    <col min="1" max="1" width="5.57421875" style="504" customWidth="1"/>
    <col min="2" max="2" width="19.57421875" style="504" customWidth="1"/>
    <col min="3" max="3" width="32.8515625" style="504" customWidth="1"/>
    <col min="4" max="4" width="43.140625" style="504" bestFit="1" customWidth="1"/>
    <col min="5" max="5" width="20.28125" style="504" bestFit="1" customWidth="1"/>
    <col min="6" max="6" width="15.140625" style="504" customWidth="1"/>
    <col min="7" max="7" width="20.00390625" style="504" customWidth="1"/>
    <col min="8" max="8" width="16.140625" style="504" customWidth="1"/>
    <col min="9" max="16384" width="11.421875" style="504" customWidth="1"/>
  </cols>
  <sheetData>
    <row r="1" spans="7:8" ht="13.5" thickBot="1">
      <c r="G1" s="505"/>
      <c r="H1" s="506"/>
    </row>
    <row r="2" spans="2:8" ht="21" thickBot="1">
      <c r="B2" s="859" t="s">
        <v>492</v>
      </c>
      <c r="C2" s="860"/>
      <c r="D2" s="860"/>
      <c r="E2" s="860"/>
      <c r="F2" s="860"/>
      <c r="G2" s="860"/>
      <c r="H2" s="861"/>
    </row>
    <row r="3" spans="2:8" ht="19.5">
      <c r="B3" s="862" t="s">
        <v>493</v>
      </c>
      <c r="C3" s="862" t="s">
        <v>494</v>
      </c>
      <c r="D3" s="862" t="s">
        <v>495</v>
      </c>
      <c r="E3" s="764" t="s">
        <v>496</v>
      </c>
      <c r="F3" s="764" t="s">
        <v>497</v>
      </c>
      <c r="G3" s="765" t="s">
        <v>498</v>
      </c>
      <c r="H3" s="766" t="s">
        <v>107</v>
      </c>
    </row>
    <row r="4" spans="2:8" ht="20.25" thickBot="1">
      <c r="B4" s="863"/>
      <c r="C4" s="863"/>
      <c r="D4" s="863"/>
      <c r="E4" s="767" t="s">
        <v>499</v>
      </c>
      <c r="F4" s="767" t="s">
        <v>500</v>
      </c>
      <c r="G4" s="768" t="s">
        <v>501</v>
      </c>
      <c r="H4" s="769" t="s">
        <v>502</v>
      </c>
    </row>
    <row r="5" spans="2:8" ht="12.75">
      <c r="B5" s="507"/>
      <c r="C5" s="508"/>
      <c r="D5" s="509"/>
      <c r="E5" s="510"/>
      <c r="F5" s="508"/>
      <c r="G5" s="511"/>
      <c r="H5" s="512"/>
    </row>
    <row r="6" spans="2:8" ht="15.75">
      <c r="B6" s="480" t="s">
        <v>503</v>
      </c>
      <c r="C6" s="513" t="s">
        <v>504</v>
      </c>
      <c r="D6" s="514" t="s">
        <v>505</v>
      </c>
      <c r="E6" s="515"/>
      <c r="F6" s="513">
        <v>2</v>
      </c>
      <c r="G6" s="516">
        <v>3758</v>
      </c>
      <c r="H6" s="517">
        <f>+G6*F6</f>
        <v>7516</v>
      </c>
    </row>
    <row r="7" spans="2:8" ht="15.75">
      <c r="B7" s="480"/>
      <c r="C7" s="518" t="s">
        <v>506</v>
      </c>
      <c r="D7" s="519"/>
      <c r="E7" s="520"/>
      <c r="F7" s="513"/>
      <c r="G7" s="521"/>
      <c r="H7" s="522"/>
    </row>
    <row r="8" spans="2:8" ht="15.75" thickBot="1">
      <c r="B8" s="523"/>
      <c r="C8" s="524"/>
      <c r="D8" s="525"/>
      <c r="E8" s="526"/>
      <c r="F8" s="527"/>
      <c r="G8" s="528"/>
      <c r="H8" s="529"/>
    </row>
    <row r="9" spans="2:8" ht="15">
      <c r="B9" s="530"/>
      <c r="C9" s="531"/>
      <c r="D9" s="531"/>
      <c r="E9" s="532"/>
      <c r="F9" s="533"/>
      <c r="G9" s="534"/>
      <c r="H9" s="535"/>
    </row>
    <row r="10" spans="2:8" ht="15">
      <c r="B10" s="530"/>
      <c r="C10" s="531"/>
      <c r="D10" s="531"/>
      <c r="E10" s="532"/>
      <c r="F10" s="533"/>
      <c r="G10" s="534"/>
      <c r="H10" s="535"/>
    </row>
    <row r="11" spans="2:8" ht="15.75" thickBot="1">
      <c r="B11" s="530"/>
      <c r="C11" s="531"/>
      <c r="D11" s="531"/>
      <c r="E11" s="532"/>
      <c r="F11" s="533"/>
      <c r="G11" s="534"/>
      <c r="H11" s="535"/>
    </row>
    <row r="12" spans="2:9" ht="15.75">
      <c r="B12" s="862" t="s">
        <v>507</v>
      </c>
      <c r="C12" s="862" t="s">
        <v>508</v>
      </c>
      <c r="D12" s="862" t="s">
        <v>509</v>
      </c>
      <c r="E12" s="764" t="s">
        <v>498</v>
      </c>
      <c r="F12" s="764" t="s">
        <v>107</v>
      </c>
      <c r="G12" s="764" t="s">
        <v>107</v>
      </c>
      <c r="I12" s="504">
        <v>2</v>
      </c>
    </row>
    <row r="13" spans="2:7" ht="16.5" thickBot="1">
      <c r="B13" s="863"/>
      <c r="C13" s="863"/>
      <c r="D13" s="863"/>
      <c r="E13" s="767" t="s">
        <v>501</v>
      </c>
      <c r="F13" s="767" t="s">
        <v>568</v>
      </c>
      <c r="G13" s="767" t="s">
        <v>569</v>
      </c>
    </row>
    <row r="14" spans="2:7" ht="15">
      <c r="B14" s="480"/>
      <c r="C14" s="536"/>
      <c r="D14" s="537"/>
      <c r="E14" s="537"/>
      <c r="F14" s="538"/>
      <c r="G14" s="538"/>
    </row>
    <row r="15" spans="2:7" ht="15">
      <c r="B15" s="770" t="s">
        <v>510</v>
      </c>
      <c r="C15" s="513" t="s">
        <v>511</v>
      </c>
      <c r="D15" s="513">
        <v>10000</v>
      </c>
      <c r="E15" s="521">
        <v>0.035</v>
      </c>
      <c r="F15" s="771">
        <f>+D15*E15</f>
        <v>350.00000000000006</v>
      </c>
      <c r="G15" s="771">
        <f>F15*$I$12</f>
        <v>700.0000000000001</v>
      </c>
    </row>
    <row r="16" spans="2:7" ht="15">
      <c r="B16" s="770"/>
      <c r="C16" s="513"/>
      <c r="D16" s="513"/>
      <c r="E16" s="521"/>
      <c r="F16" s="771"/>
      <c r="G16" s="771"/>
    </row>
    <row r="17" spans="2:7" ht="15">
      <c r="B17" s="770" t="s">
        <v>512</v>
      </c>
      <c r="C17" s="513" t="s">
        <v>513</v>
      </c>
      <c r="D17" s="513">
        <v>500</v>
      </c>
      <c r="E17" s="521">
        <v>1.4</v>
      </c>
      <c r="F17" s="771">
        <f>+D17*E17</f>
        <v>700</v>
      </c>
      <c r="G17" s="771">
        <f aca="true" t="shared" si="0" ref="G17:G23">F17*$I$12</f>
        <v>1400</v>
      </c>
    </row>
    <row r="18" spans="2:7" ht="15">
      <c r="B18" s="772"/>
      <c r="C18" s="513" t="s">
        <v>570</v>
      </c>
      <c r="D18" s="513">
        <v>1000</v>
      </c>
      <c r="E18" s="521">
        <v>1</v>
      </c>
      <c r="F18" s="771">
        <f>+D18*E18</f>
        <v>1000</v>
      </c>
      <c r="G18" s="771">
        <f t="shared" si="0"/>
        <v>2000</v>
      </c>
    </row>
    <row r="19" spans="2:7" ht="15">
      <c r="B19" s="772"/>
      <c r="C19" s="513"/>
      <c r="D19" s="513"/>
      <c r="E19" s="540"/>
      <c r="F19" s="771"/>
      <c r="G19" s="771"/>
    </row>
    <row r="20" spans="2:7" ht="30">
      <c r="B20" s="770" t="s">
        <v>514</v>
      </c>
      <c r="C20" s="541" t="s">
        <v>515</v>
      </c>
      <c r="D20" s="513">
        <v>1</v>
      </c>
      <c r="E20" s="540">
        <v>1000</v>
      </c>
      <c r="F20" s="771">
        <f>D20*E20</f>
        <v>1000</v>
      </c>
      <c r="G20" s="771">
        <f t="shared" si="0"/>
        <v>2000</v>
      </c>
    </row>
    <row r="21" spans="2:7" ht="15">
      <c r="B21" s="772"/>
      <c r="C21" s="513" t="s">
        <v>571</v>
      </c>
      <c r="D21" s="513">
        <v>1</v>
      </c>
      <c r="E21" s="540">
        <v>120</v>
      </c>
      <c r="F21" s="771"/>
      <c r="G21" s="771"/>
    </row>
    <row r="22" spans="2:8" ht="15">
      <c r="B22" s="772" t="s">
        <v>572</v>
      </c>
      <c r="C22" s="513" t="s">
        <v>573</v>
      </c>
      <c r="D22" s="513">
        <v>10</v>
      </c>
      <c r="E22" s="540">
        <v>12.8</v>
      </c>
      <c r="F22" s="771">
        <f>D22*E22</f>
        <v>128</v>
      </c>
      <c r="G22" s="771">
        <f t="shared" si="0"/>
        <v>256</v>
      </c>
      <c r="H22" s="547"/>
    </row>
    <row r="23" spans="2:8" ht="15">
      <c r="B23" s="772" t="s">
        <v>574</v>
      </c>
      <c r="C23" s="513" t="s">
        <v>575</v>
      </c>
      <c r="D23" s="513">
        <v>1</v>
      </c>
      <c r="E23" s="540">
        <v>5000</v>
      </c>
      <c r="F23" s="771">
        <f>D23*E23</f>
        <v>5000</v>
      </c>
      <c r="G23" s="771">
        <f t="shared" si="0"/>
        <v>10000</v>
      </c>
      <c r="H23" s="535"/>
    </row>
    <row r="24" spans="2:18" ht="15.75" thickBot="1">
      <c r="B24" s="773"/>
      <c r="C24" s="544"/>
      <c r="D24" s="544"/>
      <c r="E24" s="774" t="s">
        <v>12</v>
      </c>
      <c r="F24" s="775">
        <f>SUM(F15:F23)</f>
        <v>8178</v>
      </c>
      <c r="G24" s="775">
        <f>SUM(G15:G23)</f>
        <v>16356</v>
      </c>
      <c r="H24" s="535"/>
      <c r="I24" s="547"/>
      <c r="J24" s="547"/>
      <c r="K24" s="547"/>
      <c r="L24" s="547"/>
      <c r="M24" s="547"/>
      <c r="N24" s="547"/>
      <c r="O24" s="547"/>
      <c r="P24" s="547"/>
      <c r="Q24" s="547"/>
      <c r="R24" s="547"/>
    </row>
    <row r="25" spans="2:18" ht="15">
      <c r="B25" s="548"/>
      <c r="C25" s="547"/>
      <c r="D25" s="531"/>
      <c r="E25" s="549"/>
      <c r="F25" s="533"/>
      <c r="G25" s="534"/>
      <c r="H25" s="535"/>
      <c r="I25" s="547"/>
      <c r="J25" s="547"/>
      <c r="K25" s="547"/>
      <c r="L25" s="547"/>
      <c r="M25" s="547"/>
      <c r="N25" s="547"/>
      <c r="O25" s="547"/>
      <c r="P25" s="547"/>
      <c r="Q25" s="547"/>
      <c r="R25" s="547"/>
    </row>
    <row r="26" spans="2:18" ht="15">
      <c r="B26" s="530" t="s">
        <v>12</v>
      </c>
      <c r="C26" s="531"/>
      <c r="D26" s="531"/>
      <c r="E26" s="550"/>
      <c r="F26" s="776">
        <f>G24+H6</f>
        <v>23872</v>
      </c>
      <c r="G26" s="534"/>
      <c r="H26" s="535"/>
      <c r="I26" s="547"/>
      <c r="J26" s="547"/>
      <c r="K26" s="547"/>
      <c r="L26" s="547"/>
      <c r="M26" s="547"/>
      <c r="N26" s="547"/>
      <c r="O26" s="547"/>
      <c r="P26" s="547"/>
      <c r="Q26" s="547"/>
      <c r="R26" s="547"/>
    </row>
    <row r="27" spans="2:18" ht="15">
      <c r="B27" s="530"/>
      <c r="C27" s="533"/>
      <c r="D27" s="533"/>
      <c r="E27" s="550"/>
      <c r="F27" s="533"/>
      <c r="G27" s="534"/>
      <c r="H27" s="535"/>
      <c r="I27" s="547"/>
      <c r="J27" s="547"/>
      <c r="K27" s="547"/>
      <c r="L27" s="547"/>
      <c r="M27" s="547"/>
      <c r="N27" s="547"/>
      <c r="O27" s="547"/>
      <c r="P27" s="547"/>
      <c r="Q27" s="547"/>
      <c r="R27" s="547"/>
    </row>
    <row r="28" spans="2:18" ht="15" customHeight="1" thickBot="1">
      <c r="B28" s="530"/>
      <c r="C28" s="531"/>
      <c r="D28" s="531"/>
      <c r="E28" s="550"/>
      <c r="F28" s="533"/>
      <c r="I28" s="547"/>
      <c r="J28" s="547"/>
      <c r="K28" s="547"/>
      <c r="L28" s="547"/>
      <c r="M28" s="547"/>
      <c r="N28" s="547"/>
      <c r="O28" s="547"/>
      <c r="P28" s="547"/>
      <c r="Q28" s="547"/>
      <c r="R28" s="547"/>
    </row>
    <row r="29" spans="2:18" ht="13.5" customHeight="1">
      <c r="B29" s="851" t="s">
        <v>516</v>
      </c>
      <c r="C29" s="852"/>
      <c r="D29" s="852"/>
      <c r="E29" s="852"/>
      <c r="F29" s="852"/>
      <c r="G29" s="852"/>
      <c r="H29" s="853"/>
      <c r="I29" s="547"/>
      <c r="J29" s="547"/>
      <c r="K29" s="547"/>
      <c r="L29" s="547"/>
      <c r="M29" s="547"/>
      <c r="N29" s="547"/>
      <c r="O29" s="547"/>
      <c r="P29" s="547"/>
      <c r="Q29" s="547"/>
      <c r="R29" s="547"/>
    </row>
    <row r="30" spans="2:18" ht="13.5" thickBot="1">
      <c r="B30" s="854"/>
      <c r="C30" s="855"/>
      <c r="D30" s="855"/>
      <c r="E30" s="855"/>
      <c r="F30" s="855"/>
      <c r="G30" s="855"/>
      <c r="H30" s="856"/>
      <c r="I30" s="547"/>
      <c r="J30" s="547"/>
      <c r="K30" s="547"/>
      <c r="L30" s="547"/>
      <c r="M30" s="547"/>
      <c r="N30" s="547"/>
      <c r="O30" s="547"/>
      <c r="P30" s="547"/>
      <c r="Q30" s="547"/>
      <c r="R30" s="547"/>
    </row>
    <row r="31" spans="2:18" ht="19.5">
      <c r="B31" s="857" t="s">
        <v>493</v>
      </c>
      <c r="C31" s="857" t="s">
        <v>494</v>
      </c>
      <c r="D31" s="857" t="s">
        <v>495</v>
      </c>
      <c r="E31" s="823" t="s">
        <v>496</v>
      </c>
      <c r="F31" s="823" t="s">
        <v>497</v>
      </c>
      <c r="G31" s="824" t="s">
        <v>498</v>
      </c>
      <c r="H31" s="825" t="s">
        <v>107</v>
      </c>
      <c r="I31" s="547"/>
      <c r="J31" s="547"/>
      <c r="K31" s="547"/>
      <c r="L31" s="547"/>
      <c r="M31" s="547"/>
      <c r="N31" s="547"/>
      <c r="O31" s="547"/>
      <c r="P31" s="547"/>
      <c r="Q31" s="547"/>
      <c r="R31" s="547"/>
    </row>
    <row r="32" spans="2:18" ht="20.25" thickBot="1">
      <c r="B32" s="858"/>
      <c r="C32" s="858"/>
      <c r="D32" s="858"/>
      <c r="E32" s="826" t="s">
        <v>499</v>
      </c>
      <c r="F32" s="826" t="s">
        <v>500</v>
      </c>
      <c r="G32" s="827" t="s">
        <v>501</v>
      </c>
      <c r="H32" s="828" t="s">
        <v>502</v>
      </c>
      <c r="I32" s="547"/>
      <c r="J32" s="547"/>
      <c r="K32" s="547"/>
      <c r="L32" s="547"/>
      <c r="M32" s="547"/>
      <c r="N32" s="547"/>
      <c r="O32" s="547"/>
      <c r="P32" s="547"/>
      <c r="Q32" s="547"/>
      <c r="R32" s="547"/>
    </row>
    <row r="33" spans="2:18" ht="12.75">
      <c r="B33" s="507"/>
      <c r="C33" s="508"/>
      <c r="D33" s="509"/>
      <c r="E33" s="510"/>
      <c r="F33" s="508"/>
      <c r="G33" s="511"/>
      <c r="H33" s="512"/>
      <c r="I33" s="547"/>
      <c r="J33" s="547"/>
      <c r="K33" s="547"/>
      <c r="L33" s="547"/>
      <c r="M33" s="547"/>
      <c r="N33" s="547"/>
      <c r="O33" s="547"/>
      <c r="P33" s="547"/>
      <c r="Q33" s="547"/>
      <c r="R33" s="547"/>
    </row>
    <row r="34" spans="2:18" ht="15.75">
      <c r="B34" s="480" t="s">
        <v>503</v>
      </c>
      <c r="C34" s="513" t="s">
        <v>504</v>
      </c>
      <c r="D34" s="514" t="s">
        <v>505</v>
      </c>
      <c r="E34" s="515" t="s">
        <v>159</v>
      </c>
      <c r="F34" s="513">
        <v>12</v>
      </c>
      <c r="G34" s="516">
        <v>3758</v>
      </c>
      <c r="H34" s="517">
        <f>+G34*F34</f>
        <v>45096</v>
      </c>
      <c r="I34" s="547"/>
      <c r="J34" s="547"/>
      <c r="K34" s="547"/>
      <c r="L34" s="547"/>
      <c r="M34" s="547"/>
      <c r="N34" s="547"/>
      <c r="O34" s="547"/>
      <c r="P34" s="547"/>
      <c r="Q34" s="547"/>
      <c r="R34" s="547"/>
    </row>
    <row r="35" spans="2:18" ht="15.75">
      <c r="B35" s="480"/>
      <c r="C35" s="518" t="s">
        <v>506</v>
      </c>
      <c r="D35" s="519"/>
      <c r="E35" s="520"/>
      <c r="F35" s="513"/>
      <c r="G35" s="521"/>
      <c r="H35" s="522"/>
      <c r="I35" s="547"/>
      <c r="J35" s="547"/>
      <c r="K35" s="547"/>
      <c r="L35" s="547"/>
      <c r="M35" s="547"/>
      <c r="N35" s="547"/>
      <c r="O35" s="547"/>
      <c r="P35" s="547"/>
      <c r="Q35" s="547"/>
      <c r="R35" s="547"/>
    </row>
    <row r="36" spans="2:18" ht="15.75" thickBot="1">
      <c r="B36" s="523"/>
      <c r="C36" s="524"/>
      <c r="D36" s="525"/>
      <c r="E36" s="526"/>
      <c r="F36" s="527"/>
      <c r="G36" s="528"/>
      <c r="H36" s="529"/>
      <c r="I36" s="547"/>
      <c r="J36" s="547"/>
      <c r="K36" s="547"/>
      <c r="L36" s="547"/>
      <c r="M36" s="547"/>
      <c r="N36" s="547"/>
      <c r="O36" s="547"/>
      <c r="P36" s="547"/>
      <c r="Q36" s="547"/>
      <c r="R36" s="547"/>
    </row>
    <row r="37" spans="2:18" ht="15">
      <c r="B37" s="530"/>
      <c r="C37" s="531"/>
      <c r="D37" s="531"/>
      <c r="E37" s="532"/>
      <c r="F37" s="533"/>
      <c r="G37" s="534"/>
      <c r="H37" s="535"/>
      <c r="I37" s="547"/>
      <c r="J37" s="547"/>
      <c r="K37" s="547"/>
      <c r="L37" s="547"/>
      <c r="M37" s="547"/>
      <c r="N37" s="547"/>
      <c r="O37" s="547"/>
      <c r="P37" s="547"/>
      <c r="Q37" s="547"/>
      <c r="R37" s="547"/>
    </row>
    <row r="38" spans="2:18" ht="15">
      <c r="B38" s="530"/>
      <c r="C38" s="531"/>
      <c r="D38" s="531"/>
      <c r="E38" s="532"/>
      <c r="F38" s="533"/>
      <c r="I38" s="547"/>
      <c r="J38" s="547"/>
      <c r="K38" s="547"/>
      <c r="L38" s="547"/>
      <c r="M38" s="547"/>
      <c r="N38" s="547"/>
      <c r="O38" s="547"/>
      <c r="P38" s="547"/>
      <c r="Q38" s="547"/>
      <c r="R38" s="547"/>
    </row>
    <row r="39" spans="2:18" ht="15.75" thickBot="1">
      <c r="B39" s="530"/>
      <c r="C39" s="531"/>
      <c r="D39" s="531"/>
      <c r="E39" s="532"/>
      <c r="F39" s="533"/>
      <c r="I39" s="547"/>
      <c r="J39" s="547"/>
      <c r="K39" s="547"/>
      <c r="L39" s="547"/>
      <c r="M39" s="547"/>
      <c r="N39" s="547"/>
      <c r="O39" s="547"/>
      <c r="P39" s="547"/>
      <c r="Q39" s="547"/>
      <c r="R39" s="547"/>
    </row>
    <row r="40" spans="2:18" ht="15.75">
      <c r="B40" s="857" t="s">
        <v>507</v>
      </c>
      <c r="C40" s="857" t="s">
        <v>508</v>
      </c>
      <c r="D40" s="857" t="s">
        <v>509</v>
      </c>
      <c r="E40" s="823" t="s">
        <v>498</v>
      </c>
      <c r="F40" s="823" t="s">
        <v>107</v>
      </c>
      <c r="G40" s="823"/>
      <c r="I40" s="547"/>
      <c r="J40" s="547"/>
      <c r="K40" s="547"/>
      <c r="L40" s="547"/>
      <c r="M40" s="547"/>
      <c r="N40" s="547"/>
      <c r="O40" s="547"/>
      <c r="P40" s="547"/>
      <c r="Q40" s="547"/>
      <c r="R40" s="547"/>
    </row>
    <row r="41" spans="2:18" ht="16.5" thickBot="1">
      <c r="B41" s="858"/>
      <c r="C41" s="858"/>
      <c r="D41" s="858"/>
      <c r="E41" s="826" t="s">
        <v>501</v>
      </c>
      <c r="F41" s="826" t="s">
        <v>576</v>
      </c>
      <c r="G41" s="826" t="s">
        <v>581</v>
      </c>
      <c r="I41" s="547"/>
      <c r="J41" s="547">
        <v>12</v>
      </c>
      <c r="K41" s="547"/>
      <c r="L41" s="547"/>
      <c r="M41" s="547"/>
      <c r="N41" s="547"/>
      <c r="O41" s="547"/>
      <c r="P41" s="547"/>
      <c r="Q41" s="547"/>
      <c r="R41" s="547"/>
    </row>
    <row r="42" spans="2:18" ht="15">
      <c r="B42" s="480"/>
      <c r="C42" s="536"/>
      <c r="D42" s="537"/>
      <c r="E42" s="537"/>
      <c r="F42" s="538"/>
      <c r="G42" s="538"/>
      <c r="I42" s="547"/>
      <c r="J42" s="547"/>
      <c r="K42" s="547"/>
      <c r="L42" s="547"/>
      <c r="M42" s="547"/>
      <c r="N42" s="547"/>
      <c r="O42" s="547"/>
      <c r="P42" s="547"/>
      <c r="Q42" s="547"/>
      <c r="R42" s="547"/>
    </row>
    <row r="43" spans="2:18" ht="15.75">
      <c r="B43" s="539" t="s">
        <v>510</v>
      </c>
      <c r="C43" s="513" t="s">
        <v>511</v>
      </c>
      <c r="D43" s="513">
        <f>1000</f>
        <v>1000</v>
      </c>
      <c r="E43" s="521">
        <v>0.035</v>
      </c>
      <c r="F43" s="522">
        <f>+D43*E43</f>
        <v>35</v>
      </c>
      <c r="G43" s="522">
        <f>F43*$J$41</f>
        <v>420</v>
      </c>
      <c r="I43" s="547"/>
      <c r="J43" s="547"/>
      <c r="K43" s="547"/>
      <c r="L43" s="547"/>
      <c r="M43" s="547"/>
      <c r="N43" s="547"/>
      <c r="O43" s="547"/>
      <c r="P43" s="547"/>
      <c r="Q43" s="547"/>
      <c r="R43" s="547"/>
    </row>
    <row r="44" spans="2:18" ht="15.75">
      <c r="B44" s="539"/>
      <c r="C44" s="518"/>
      <c r="D44" s="513"/>
      <c r="E44" s="521"/>
      <c r="F44" s="522"/>
      <c r="G44" s="522"/>
      <c r="I44" s="547"/>
      <c r="J44" s="547"/>
      <c r="K44" s="547"/>
      <c r="L44" s="547"/>
      <c r="M44" s="547"/>
      <c r="N44" s="547"/>
      <c r="O44" s="547"/>
      <c r="P44" s="547"/>
      <c r="Q44" s="547"/>
      <c r="R44" s="547"/>
    </row>
    <row r="45" spans="2:18" ht="15.75">
      <c r="B45" s="539" t="s">
        <v>512</v>
      </c>
      <c r="C45" s="513" t="s">
        <v>513</v>
      </c>
      <c r="D45" s="513">
        <f>200</f>
        <v>200</v>
      </c>
      <c r="E45" s="521">
        <v>2.5</v>
      </c>
      <c r="F45" s="522">
        <f>+D45*E45</f>
        <v>500</v>
      </c>
      <c r="G45" s="522">
        <f>F45*$J$41</f>
        <v>6000</v>
      </c>
      <c r="I45" s="547"/>
      <c r="J45" s="547"/>
      <c r="K45" s="547"/>
      <c r="L45" s="547"/>
      <c r="M45" s="547"/>
      <c r="N45" s="547"/>
      <c r="O45" s="547"/>
      <c r="P45" s="547"/>
      <c r="Q45" s="547"/>
      <c r="R45" s="547"/>
    </row>
    <row r="46" spans="2:18" ht="15.75">
      <c r="B46" s="480"/>
      <c r="C46" s="513" t="s">
        <v>577</v>
      </c>
      <c r="D46" s="513">
        <f>500</f>
        <v>500</v>
      </c>
      <c r="E46" s="521">
        <v>1</v>
      </c>
      <c r="F46" s="522">
        <f>+D46*E46</f>
        <v>500</v>
      </c>
      <c r="G46" s="522">
        <f>F46*$J$41</f>
        <v>6000</v>
      </c>
      <c r="I46" s="547"/>
      <c r="J46" s="547"/>
      <c r="K46" s="547"/>
      <c r="L46" s="547"/>
      <c r="M46" s="547"/>
      <c r="N46" s="547"/>
      <c r="O46" s="547"/>
      <c r="P46" s="547"/>
      <c r="Q46" s="547"/>
      <c r="R46" s="547"/>
    </row>
    <row r="47" spans="2:18" ht="15.75">
      <c r="B47" s="480"/>
      <c r="C47" s="513"/>
      <c r="D47" s="513"/>
      <c r="E47" s="540"/>
      <c r="F47" s="522"/>
      <c r="G47" s="522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</row>
    <row r="48" spans="2:18" ht="15.75">
      <c r="B48" s="480" t="s">
        <v>578</v>
      </c>
      <c r="C48" s="513" t="s">
        <v>580</v>
      </c>
      <c r="D48" s="551">
        <v>1</v>
      </c>
      <c r="E48" s="540">
        <v>64</v>
      </c>
      <c r="F48" s="522">
        <f>D48*E48</f>
        <v>64</v>
      </c>
      <c r="G48" s="522">
        <f>F48*$J$41</f>
        <v>768</v>
      </c>
      <c r="H48" s="535"/>
      <c r="I48" s="547"/>
      <c r="J48" s="547"/>
      <c r="K48" s="547"/>
      <c r="L48" s="547"/>
      <c r="M48" s="547"/>
      <c r="N48" s="547"/>
      <c r="O48" s="547"/>
      <c r="P48" s="547"/>
      <c r="Q48" s="547"/>
      <c r="R48" s="547"/>
    </row>
    <row r="49" spans="2:18" ht="16.5" thickBot="1">
      <c r="B49" s="542"/>
      <c r="C49" s="543"/>
      <c r="D49" s="544"/>
      <c r="E49" s="545" t="s">
        <v>12</v>
      </c>
      <c r="F49" s="546">
        <f>SUM(F43:F48)</f>
        <v>1099</v>
      </c>
      <c r="G49" s="546">
        <f>SUM(G43:G48)</f>
        <v>13188</v>
      </c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</row>
    <row r="50" spans="2:18" ht="15">
      <c r="B50" s="548"/>
      <c r="C50" s="547"/>
      <c r="D50" s="531"/>
      <c r="E50" s="549"/>
      <c r="F50" s="533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</row>
    <row r="51" spans="2:18" ht="12.75">
      <c r="B51" s="547"/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</row>
    <row r="52" spans="2:18" ht="15.75">
      <c r="B52" s="552" t="s">
        <v>12</v>
      </c>
      <c r="C52" s="552"/>
      <c r="D52" s="552"/>
      <c r="E52" s="552"/>
      <c r="F52" s="777">
        <f>H34+G49</f>
        <v>58284</v>
      </c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</row>
    <row r="53" spans="2:18" ht="12.75"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</row>
    <row r="54" spans="2:18" ht="12.75">
      <c r="B54" s="547"/>
      <c r="C54" s="547"/>
      <c r="D54" s="547"/>
      <c r="E54" s="547"/>
      <c r="F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</row>
    <row r="55" spans="2:18" ht="13.5" thickBot="1">
      <c r="B55" s="547"/>
      <c r="C55" s="547"/>
      <c r="D55" s="547"/>
      <c r="E55" s="547"/>
      <c r="F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</row>
    <row r="56" spans="2:18" ht="15">
      <c r="B56" s="849" t="s">
        <v>517</v>
      </c>
      <c r="C56" s="849" t="s">
        <v>518</v>
      </c>
      <c r="D56" s="849" t="s">
        <v>495</v>
      </c>
      <c r="E56" s="849" t="s">
        <v>519</v>
      </c>
      <c r="F56" s="829" t="s">
        <v>520</v>
      </c>
      <c r="G56" s="829" t="s">
        <v>521</v>
      </c>
      <c r="H56" s="830" t="s">
        <v>522</v>
      </c>
      <c r="I56" s="547"/>
      <c r="J56" s="547"/>
      <c r="K56" s="547"/>
      <c r="L56" s="547"/>
      <c r="M56" s="547"/>
      <c r="N56" s="547"/>
      <c r="O56" s="547"/>
      <c r="P56" s="547"/>
      <c r="Q56" s="547"/>
      <c r="R56" s="547"/>
    </row>
    <row r="57" spans="2:18" ht="15.75" thickBot="1">
      <c r="B57" s="850"/>
      <c r="C57" s="850"/>
      <c r="D57" s="850"/>
      <c r="E57" s="850"/>
      <c r="F57" s="831" t="s">
        <v>523</v>
      </c>
      <c r="G57" s="831" t="s">
        <v>524</v>
      </c>
      <c r="H57" s="832" t="s">
        <v>525</v>
      </c>
      <c r="I57" s="547"/>
      <c r="J57" s="547"/>
      <c r="K57" s="547"/>
      <c r="L57" s="547"/>
      <c r="M57" s="547"/>
      <c r="N57" s="547"/>
      <c r="O57" s="547"/>
      <c r="P57" s="547"/>
      <c r="Q57" s="547"/>
      <c r="R57" s="547"/>
    </row>
    <row r="58" spans="2:18" ht="12.75">
      <c r="B58" s="475"/>
      <c r="C58" s="476"/>
      <c r="D58" s="477"/>
      <c r="E58" s="476"/>
      <c r="F58" s="477"/>
      <c r="G58" s="478"/>
      <c r="H58" s="479"/>
      <c r="I58" s="547"/>
      <c r="J58" s="547"/>
      <c r="K58" s="547"/>
      <c r="L58" s="547"/>
      <c r="M58" s="547"/>
      <c r="N58" s="547"/>
      <c r="O58" s="547"/>
      <c r="P58" s="547"/>
      <c r="Q58" s="547"/>
      <c r="R58" s="547"/>
    </row>
    <row r="59" spans="2:18" ht="15">
      <c r="B59" s="480" t="s">
        <v>526</v>
      </c>
      <c r="C59" s="482" t="s">
        <v>527</v>
      </c>
      <c r="D59" s="481" t="s">
        <v>528</v>
      </c>
      <c r="E59" s="482"/>
      <c r="F59" s="483"/>
      <c r="G59" s="484"/>
      <c r="H59" s="485"/>
      <c r="I59" s="547"/>
      <c r="J59" s="547"/>
      <c r="K59" s="547"/>
      <c r="L59" s="547"/>
      <c r="M59" s="547"/>
      <c r="N59" s="547"/>
      <c r="O59" s="547"/>
      <c r="P59" s="547"/>
      <c r="Q59" s="547"/>
      <c r="R59" s="547"/>
    </row>
    <row r="60" spans="2:18" ht="45">
      <c r="B60" s="480" t="s">
        <v>529</v>
      </c>
      <c r="C60" s="482"/>
      <c r="D60" s="486" t="s">
        <v>530</v>
      </c>
      <c r="E60" s="487" t="s">
        <v>531</v>
      </c>
      <c r="F60" s="488">
        <v>1</v>
      </c>
      <c r="G60" s="489">
        <v>2500</v>
      </c>
      <c r="H60" s="490">
        <f>G60*12</f>
        <v>30000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/>
    </row>
    <row r="61" spans="2:18" ht="15">
      <c r="B61" s="491"/>
      <c r="C61" s="482" t="s">
        <v>529</v>
      </c>
      <c r="D61" s="483"/>
      <c r="E61" s="492" t="s">
        <v>529</v>
      </c>
      <c r="F61" s="488" t="s">
        <v>529</v>
      </c>
      <c r="G61" s="493" t="s">
        <v>529</v>
      </c>
      <c r="H61" s="494" t="s">
        <v>529</v>
      </c>
      <c r="I61" s="547"/>
      <c r="J61" s="547"/>
      <c r="K61" s="547"/>
      <c r="L61" s="547"/>
      <c r="M61" s="547"/>
      <c r="N61" s="547"/>
      <c r="O61" s="547"/>
      <c r="P61" s="547"/>
      <c r="Q61" s="547"/>
      <c r="R61" s="547"/>
    </row>
    <row r="62" spans="2:18" ht="15.75" thickBot="1">
      <c r="B62" s="480" t="s">
        <v>532</v>
      </c>
      <c r="C62" s="482" t="s">
        <v>527</v>
      </c>
      <c r="D62" s="483" t="s">
        <v>533</v>
      </c>
      <c r="E62" s="492" t="s">
        <v>531</v>
      </c>
      <c r="F62" s="495">
        <v>1</v>
      </c>
      <c r="G62" s="489">
        <v>2500</v>
      </c>
      <c r="H62" s="490">
        <f>G62*12</f>
        <v>30000</v>
      </c>
      <c r="I62" s="547"/>
      <c r="J62" s="547"/>
      <c r="K62" s="547"/>
      <c r="L62" s="547"/>
      <c r="M62" s="547"/>
      <c r="N62" s="547"/>
      <c r="O62" s="547"/>
      <c r="P62" s="547"/>
      <c r="Q62" s="547"/>
      <c r="R62" s="547"/>
    </row>
    <row r="63" spans="2:18" ht="15.75" thickBot="1">
      <c r="B63" s="496"/>
      <c r="C63" s="497"/>
      <c r="D63" s="498"/>
      <c r="E63" s="497"/>
      <c r="F63" s="499"/>
      <c r="G63" s="500"/>
      <c r="H63" s="778">
        <f>SUM(H60:H62)</f>
        <v>60000</v>
      </c>
      <c r="I63" s="547"/>
      <c r="J63" s="547"/>
      <c r="K63" s="547"/>
      <c r="L63" s="547"/>
      <c r="M63" s="547"/>
      <c r="N63" s="547"/>
      <c r="O63" s="547"/>
      <c r="P63" s="547"/>
      <c r="Q63" s="547"/>
      <c r="R63" s="547"/>
    </row>
    <row r="64" spans="2:18" ht="12.75"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</row>
    <row r="65" spans="2:8" ht="12.75">
      <c r="B65" s="547"/>
      <c r="C65" s="547"/>
      <c r="D65" s="547"/>
      <c r="E65" s="547"/>
      <c r="F65" s="547"/>
      <c r="H65" s="504">
        <f>H63*2/12</f>
        <v>10000</v>
      </c>
    </row>
    <row r="66" spans="2:6" ht="12.75">
      <c r="B66" s="547"/>
      <c r="C66" s="547"/>
      <c r="D66" s="547"/>
      <c r="E66" s="547"/>
      <c r="F66" s="547"/>
    </row>
    <row r="67" spans="2:4" ht="18">
      <c r="B67" s="779" t="s">
        <v>579</v>
      </c>
      <c r="C67" s="779"/>
      <c r="D67" s="780">
        <f>H63+F52</f>
        <v>118284</v>
      </c>
    </row>
  </sheetData>
  <sheetProtection/>
  <mergeCells count="18">
    <mergeCell ref="D40:D41"/>
    <mergeCell ref="B2:H2"/>
    <mergeCell ref="B12:B13"/>
    <mergeCell ref="C12:C13"/>
    <mergeCell ref="D12:D13"/>
    <mergeCell ref="B3:B4"/>
    <mergeCell ref="C3:C4"/>
    <mergeCell ref="D3:D4"/>
    <mergeCell ref="B56:B57"/>
    <mergeCell ref="C56:C57"/>
    <mergeCell ref="D56:D57"/>
    <mergeCell ref="E56:E57"/>
    <mergeCell ref="B29:H30"/>
    <mergeCell ref="B31:B32"/>
    <mergeCell ref="C31:C32"/>
    <mergeCell ref="D31:D32"/>
    <mergeCell ref="B40:B41"/>
    <mergeCell ref="C40:C41"/>
  </mergeCells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1"/>
  <sheetViews>
    <sheetView showGridLines="0" showZeros="0" zoomScale="75" zoomScaleNormal="75" zoomScalePageLayoutView="0" workbookViewId="0" topLeftCell="A1">
      <selection activeCell="C26" sqref="C26"/>
    </sheetView>
  </sheetViews>
  <sheetFormatPr defaultColWidth="11.421875" defaultRowHeight="12.75" outlineLevelRow="1"/>
  <cols>
    <col min="1" max="1" width="42.8515625" style="210" bestFit="1" customWidth="1"/>
    <col min="2" max="2" width="2.8515625" style="0" bestFit="1" customWidth="1"/>
    <col min="3" max="12" width="15.28125" style="0" bestFit="1" customWidth="1"/>
  </cols>
  <sheetData>
    <row r="1" spans="1:12" ht="22.5">
      <c r="A1" s="864" t="s">
        <v>222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</row>
    <row r="2" spans="1:12" ht="12.75">
      <c r="A2" s="220">
        <f>'FLUJO  COSTOS DE PRESTACION'!B2</f>
        <v>0</v>
      </c>
      <c r="B2" s="75">
        <f>'FLUJO  COSTOS DE PRESTACION'!C2</f>
        <v>0</v>
      </c>
      <c r="C2" s="75">
        <f>'FLUJO  COSTOS DE PRESTACION'!D2</f>
        <v>0</v>
      </c>
      <c r="D2" s="75">
        <f>'FLUJO  COSTOS DE PRESTACION'!E2</f>
        <v>0</v>
      </c>
      <c r="E2" s="75">
        <f>'FLUJO  COSTOS DE PRESTACION'!F2</f>
        <v>0</v>
      </c>
      <c r="F2" s="75">
        <f>'FLUJO  COSTOS DE PRESTACION'!G2</f>
        <v>0</v>
      </c>
      <c r="G2" s="75">
        <f>'FLUJO  COSTOS DE PRESTACION'!H2</f>
        <v>0</v>
      </c>
      <c r="H2" s="75">
        <f>'FLUJO  COSTOS DE PRESTACION'!I2</f>
        <v>0</v>
      </c>
      <c r="I2" s="75">
        <f>'FLUJO  COSTOS DE PRESTACION'!J2</f>
        <v>0</v>
      </c>
      <c r="J2" s="75">
        <f>'FLUJO  COSTOS DE PRESTACION'!K2</f>
        <v>0</v>
      </c>
      <c r="K2" s="75">
        <f>'FLUJO  COSTOS DE PRESTACION'!L2</f>
        <v>0</v>
      </c>
      <c r="L2" s="75">
        <f>'FLUJO  COSTOS DE PRESTACION'!M2</f>
        <v>0</v>
      </c>
    </row>
    <row r="3" spans="1:12" ht="12.75">
      <c r="A3" s="448" t="str">
        <f>'FLUJO  COSTOS DE PRESTACION'!B3</f>
        <v>PERIODO </v>
      </c>
      <c r="B3" s="449" t="str">
        <f>'FLUJO  COSTOS DE PRESTACION'!C3</f>
        <v>0</v>
      </c>
      <c r="C3" s="452">
        <v>2011</v>
      </c>
      <c r="D3" s="452">
        <v>2012</v>
      </c>
      <c r="E3" s="452">
        <v>2013</v>
      </c>
      <c r="F3" s="452">
        <v>2014</v>
      </c>
      <c r="G3" s="452">
        <v>2015</v>
      </c>
      <c r="H3" s="452">
        <v>2016</v>
      </c>
      <c r="I3" s="452">
        <v>2017</v>
      </c>
      <c r="J3" s="452">
        <v>2018</v>
      </c>
      <c r="K3" s="452">
        <v>2019</v>
      </c>
      <c r="L3" s="452">
        <v>2020</v>
      </c>
    </row>
    <row r="4" spans="1:12" s="69" customFormat="1" ht="17.25" customHeight="1" outlineLevel="1">
      <c r="A4" s="221" t="str">
        <f>'FLUJO  COSTOS DE PRESTACION'!B5</f>
        <v>COSTOS DE PRESTACION DE SERVICIO</v>
      </c>
      <c r="B4" s="450">
        <f>'FLUJO  COSTOS DE PRESTACION'!C5</f>
        <v>0</v>
      </c>
      <c r="C4" s="451">
        <f>SUM(C6:C18)</f>
        <v>196083.629</v>
      </c>
      <c r="D4" s="451">
        <f aca="true" t="shared" si="0" ref="D4:L4">SUM(D6:D18)</f>
        <v>198730.60856000002</v>
      </c>
      <c r="E4" s="451">
        <f t="shared" si="0"/>
        <v>201430.52771120003</v>
      </c>
      <c r="F4" s="451">
        <f t="shared" si="0"/>
        <v>204184.44524542402</v>
      </c>
      <c r="G4" s="451">
        <f t="shared" si="0"/>
        <v>206993.4411303325</v>
      </c>
      <c r="H4" s="451">
        <f t="shared" si="0"/>
        <v>209858.61693293919</v>
      </c>
      <c r="I4" s="451">
        <f t="shared" si="0"/>
        <v>202850.82125159795</v>
      </c>
      <c r="J4" s="451">
        <f t="shared" si="0"/>
        <v>205831.75015662995</v>
      </c>
      <c r="K4" s="451">
        <f t="shared" si="0"/>
        <v>208872.29763976252</v>
      </c>
      <c r="L4" s="451">
        <f t="shared" si="0"/>
        <v>211973.65607255776</v>
      </c>
    </row>
    <row r="5" spans="1:12" s="70" customFormat="1" ht="18" outlineLevel="1">
      <c r="A5" s="222" t="str">
        <f>'FLUJO  COSTOS DE PRESTACION'!B6</f>
        <v>COSTOS DIRECTOS</v>
      </c>
      <c r="B5" s="220">
        <f>'FLUJO  COSTOS DE PRESTACION'!C6</f>
        <v>0</v>
      </c>
      <c r="C5" s="220">
        <f>'FLUJO  COSTOS DE PRESTACION'!D6</f>
        <v>0</v>
      </c>
      <c r="D5" s="220">
        <f>'FLUJO  COSTOS DE PRESTACION'!E6</f>
        <v>0</v>
      </c>
      <c r="E5" s="220">
        <f>'FLUJO  COSTOS DE PRESTACION'!F6</f>
        <v>0</v>
      </c>
      <c r="F5" s="220">
        <f>'FLUJO  COSTOS DE PRESTACION'!G6</f>
        <v>0</v>
      </c>
      <c r="G5" s="220">
        <f>'FLUJO  COSTOS DE PRESTACION'!H6</f>
        <v>0</v>
      </c>
      <c r="H5" s="220">
        <f>'FLUJO  COSTOS DE PRESTACION'!I6</f>
        <v>0</v>
      </c>
      <c r="I5" s="220">
        <f>'FLUJO  COSTOS DE PRESTACION'!J6</f>
        <v>0</v>
      </c>
      <c r="J5" s="220">
        <f>'FLUJO  COSTOS DE PRESTACION'!K6</f>
        <v>0</v>
      </c>
      <c r="K5" s="220">
        <f>'FLUJO  COSTOS DE PRESTACION'!L6</f>
        <v>0</v>
      </c>
      <c r="L5" s="220">
        <f>'FLUJO  COSTOS DE PRESTACION'!M6</f>
        <v>0</v>
      </c>
    </row>
    <row r="6" spans="1:12" s="70" customFormat="1" ht="18" outlineLevel="1">
      <c r="A6" s="220" t="str">
        <f>'FLUJO  COSTOS DE PRESTACION'!B7</f>
        <v>MATERIA PRIMA</v>
      </c>
      <c r="B6" s="220">
        <f>'FLUJO  COSTOS DE PRESTACION'!C7</f>
        <v>0</v>
      </c>
      <c r="C6" s="220">
        <f>'FLUJO  COSTOS DE PRESTACION'!D7</f>
        <v>16935</v>
      </c>
      <c r="D6" s="220">
        <f>'FLUJO  COSTOS DE PRESTACION'!E7</f>
        <v>17273.7</v>
      </c>
      <c r="E6" s="220">
        <f>'FLUJO  COSTOS DE PRESTACION'!F7</f>
        <v>17619.174000000003</v>
      </c>
      <c r="F6" s="220">
        <f>'FLUJO  COSTOS DE PRESTACION'!G7</f>
        <v>17971.557480000003</v>
      </c>
      <c r="G6" s="220">
        <f>'FLUJO  COSTOS DE PRESTACION'!H7</f>
        <v>18330.988629600004</v>
      </c>
      <c r="H6" s="220">
        <f>'FLUJO  COSTOS DE PRESTACION'!I7</f>
        <v>18697.608402192003</v>
      </c>
      <c r="I6" s="220">
        <f>'FLUJO  COSTOS DE PRESTACION'!J7</f>
        <v>19071.560570235844</v>
      </c>
      <c r="J6" s="220">
        <f>'FLUJO  COSTOS DE PRESTACION'!K7</f>
        <v>19452.99178164056</v>
      </c>
      <c r="K6" s="220">
        <f>'FLUJO  COSTOS DE PRESTACION'!L7</f>
        <v>19842.051617273373</v>
      </c>
      <c r="L6" s="220">
        <f>'FLUJO  COSTOS DE PRESTACION'!M7</f>
        <v>20238.89264961884</v>
      </c>
    </row>
    <row r="7" spans="1:12" s="70" customFormat="1" ht="18" outlineLevel="1">
      <c r="A7" s="220" t="str">
        <f>'FLUJO  COSTOS DE PRESTACION'!B8</f>
        <v>MATERIALES DIRECTOS</v>
      </c>
      <c r="B7" s="220">
        <f>'FLUJO  COSTOS DE PRESTACION'!C8</f>
        <v>0</v>
      </c>
      <c r="C7" s="220">
        <f>'FLUJO  COSTOS DE PRESTACION'!D8</f>
        <v>3000</v>
      </c>
      <c r="D7" s="220">
        <f>'FLUJO  COSTOS DE PRESTACION'!E8</f>
        <v>3060</v>
      </c>
      <c r="E7" s="220">
        <f>'FLUJO  COSTOS DE PRESTACION'!F8</f>
        <v>3121.2000000000003</v>
      </c>
      <c r="F7" s="220">
        <f>'FLUJO  COSTOS DE PRESTACION'!G8</f>
        <v>3183.6240000000003</v>
      </c>
      <c r="G7" s="220">
        <f>'FLUJO  COSTOS DE PRESTACION'!H8</f>
        <v>3247.2964800000004</v>
      </c>
      <c r="H7" s="220">
        <f>'FLUJO  COSTOS DE PRESTACION'!I8</f>
        <v>3312.2424096000004</v>
      </c>
      <c r="I7" s="220">
        <f>'FLUJO  COSTOS DE PRESTACION'!J8</f>
        <v>3378.4872577920005</v>
      </c>
      <c r="J7" s="220">
        <f>'FLUJO  COSTOS DE PRESTACION'!K8</f>
        <v>3446.0570029478404</v>
      </c>
      <c r="K7" s="220">
        <f>'FLUJO  COSTOS DE PRESTACION'!L8</f>
        <v>3514.9781430067974</v>
      </c>
      <c r="L7" s="220">
        <f>'FLUJO  COSTOS DE PRESTACION'!M8</f>
        <v>3585.2777058669335</v>
      </c>
    </row>
    <row r="8" spans="1:12" s="70" customFormat="1" ht="18" outlineLevel="1">
      <c r="A8" s="220" t="str">
        <f>'FLUJO  COSTOS DE PRESTACION'!B9</f>
        <v>MANO DE OBRA</v>
      </c>
      <c r="B8" s="220">
        <f>'FLUJO  COSTOS DE PRESTACION'!C9</f>
        <v>0</v>
      </c>
      <c r="C8" s="220">
        <f>'FLUJO  COSTOS DE PRESTACION'!D9</f>
        <v>48950.64</v>
      </c>
      <c r="D8" s="220">
        <f>'FLUJO  COSTOS DE PRESTACION'!E9</f>
        <v>49929.6528</v>
      </c>
      <c r="E8" s="220">
        <f>'FLUJO  COSTOS DE PRESTACION'!F9</f>
        <v>50928.245856</v>
      </c>
      <c r="F8" s="220">
        <f>'FLUJO  COSTOS DE PRESTACION'!G9</f>
        <v>51946.81077312</v>
      </c>
      <c r="G8" s="220">
        <f>'FLUJO  COSTOS DE PRESTACION'!H9</f>
        <v>52985.7469885824</v>
      </c>
      <c r="H8" s="220">
        <f>'FLUJO  COSTOS DE PRESTACION'!I9</f>
        <v>54045.46192835405</v>
      </c>
      <c r="I8" s="220">
        <f>'FLUJO  COSTOS DE PRESTACION'!J9</f>
        <v>55126.37116692113</v>
      </c>
      <c r="J8" s="220">
        <f>'FLUJO  COSTOS DE PRESTACION'!K9</f>
        <v>56228.89859025956</v>
      </c>
      <c r="K8" s="220">
        <f>'FLUJO  COSTOS DE PRESTACION'!L9</f>
        <v>57353.47656206475</v>
      </c>
      <c r="L8" s="220">
        <f>'FLUJO  COSTOS DE PRESTACION'!M9</f>
        <v>58500.546093306046</v>
      </c>
    </row>
    <row r="9" spans="1:12" s="70" customFormat="1" ht="18" outlineLevel="1">
      <c r="A9" s="220" t="str">
        <f>'FLUJO  COSTOS DE PRESTACION'!B11</f>
        <v>OTROS MATERIALES DIRECTOS</v>
      </c>
      <c r="B9" s="220">
        <f>'FLUJO  COSTOS DE PRESTACION'!C11</f>
        <v>0</v>
      </c>
      <c r="C9" s="220">
        <f>'FLUJO  COSTOS DE PRESTACION'!D11</f>
        <v>5148</v>
      </c>
      <c r="D9" s="220">
        <f>'FLUJO  COSTOS DE PRESTACION'!E11</f>
        <v>5250.96</v>
      </c>
      <c r="E9" s="220">
        <f>'FLUJO  COSTOS DE PRESTACION'!F11</f>
        <v>5355.9792</v>
      </c>
      <c r="F9" s="220">
        <f>'FLUJO  COSTOS DE PRESTACION'!G11</f>
        <v>5463.098784</v>
      </c>
      <c r="G9" s="220">
        <f>'FLUJO  COSTOS DE PRESTACION'!H11</f>
        <v>5572.36075968</v>
      </c>
      <c r="H9" s="220">
        <f>'FLUJO  COSTOS DE PRESTACION'!I11</f>
        <v>5683.8079748736</v>
      </c>
      <c r="I9" s="220">
        <f>'FLUJO  COSTOS DE PRESTACION'!J11</f>
        <v>5797.484134371072</v>
      </c>
      <c r="J9" s="220">
        <f>'FLUJO  COSTOS DE PRESTACION'!K11</f>
        <v>5913.433817058494</v>
      </c>
      <c r="K9" s="220">
        <f>'FLUJO  COSTOS DE PRESTACION'!L11</f>
        <v>6031.7024933996645</v>
      </c>
      <c r="L9" s="220">
        <f>'FLUJO  COSTOS DE PRESTACION'!M11</f>
        <v>6152.336543267658</v>
      </c>
    </row>
    <row r="10" spans="1:12" s="70" customFormat="1" ht="18" outlineLevel="1">
      <c r="A10" s="222" t="str">
        <f>'FLUJO  COSTOS DE PRESTACION'!B12</f>
        <v>COSTOS INDIRECTOS DE PREST.</v>
      </c>
      <c r="B10" s="220">
        <f>'FLUJO  COSTOS DE PRESTACION'!C12</f>
        <v>0</v>
      </c>
      <c r="C10" s="220">
        <f>'FLUJO  COSTOS DE PRESTACION'!D12</f>
        <v>0</v>
      </c>
      <c r="D10" s="220">
        <f>'FLUJO  COSTOS DE PRESTACION'!E12</f>
        <v>0</v>
      </c>
      <c r="E10" s="220">
        <f>'FLUJO  COSTOS DE PRESTACION'!F12</f>
        <v>0</v>
      </c>
      <c r="F10" s="220">
        <f>'FLUJO  COSTOS DE PRESTACION'!G12</f>
        <v>0</v>
      </c>
      <c r="G10" s="220">
        <f>'FLUJO  COSTOS DE PRESTACION'!H12</f>
        <v>0</v>
      </c>
      <c r="H10" s="220">
        <f>'FLUJO  COSTOS DE PRESTACION'!I12</f>
        <v>0</v>
      </c>
      <c r="I10" s="220">
        <f>'FLUJO  COSTOS DE PRESTACION'!J12</f>
        <v>0</v>
      </c>
      <c r="J10" s="220">
        <f>'FLUJO  COSTOS DE PRESTACION'!K12</f>
        <v>0</v>
      </c>
      <c r="K10" s="220">
        <f>'FLUJO  COSTOS DE PRESTACION'!L12</f>
        <v>0</v>
      </c>
      <c r="L10" s="220">
        <f>'FLUJO  COSTOS DE PRESTACION'!M12</f>
        <v>0</v>
      </c>
    </row>
    <row r="11" spans="1:12" s="70" customFormat="1" ht="18" outlineLevel="1">
      <c r="A11" s="220" t="str">
        <f>'FLUJO  COSTOS DE PRESTACION'!B13</f>
        <v>MATERIALES INDIRECTOS</v>
      </c>
      <c r="B11" s="220">
        <f>'FLUJO  COSTOS DE PRESTACION'!C13</f>
        <v>0</v>
      </c>
      <c r="C11" s="220">
        <f>'FLUJO  COSTOS DE PRESTACION'!D13</f>
        <v>9417</v>
      </c>
      <c r="D11" s="220">
        <f>'FLUJO  COSTOS DE PRESTACION'!E13</f>
        <v>9605.34</v>
      </c>
      <c r="E11" s="220">
        <f>'FLUJO  COSTOS DE PRESTACION'!F13</f>
        <v>9797.4468</v>
      </c>
      <c r="F11" s="220">
        <f>'FLUJO  COSTOS DE PRESTACION'!G13</f>
        <v>9993.395736</v>
      </c>
      <c r="G11" s="220">
        <f>'FLUJO  COSTOS DE PRESTACION'!H13</f>
        <v>10193.26365072</v>
      </c>
      <c r="H11" s="220">
        <f>'FLUJO  COSTOS DE PRESTACION'!I13</f>
        <v>10397.1289237344</v>
      </c>
      <c r="I11" s="220">
        <f>'FLUJO  COSTOS DE PRESTACION'!J13</f>
        <v>10605.07150220909</v>
      </c>
      <c r="J11" s="220">
        <f>'FLUJO  COSTOS DE PRESTACION'!K13</f>
        <v>10817.172932253272</v>
      </c>
      <c r="K11" s="220">
        <f>'FLUJO  COSTOS DE PRESTACION'!L13</f>
        <v>11033.516390898338</v>
      </c>
      <c r="L11" s="220">
        <f>'FLUJO  COSTOS DE PRESTACION'!M13</f>
        <v>11254.186718716304</v>
      </c>
    </row>
    <row r="12" spans="1:12" s="70" customFormat="1" ht="18" outlineLevel="1">
      <c r="A12" s="220" t="str">
        <f>'FLUJO  COSTOS DE PRESTACION'!B14</f>
        <v>MANO DE OBRA INDIRECTA</v>
      </c>
      <c r="B12" s="220">
        <f>'FLUJO  COSTOS DE PRESTACION'!C14</f>
        <v>0</v>
      </c>
      <c r="C12" s="220">
        <f>'FLUJO  COSTOS DE PRESTACION'!D14</f>
        <v>16185.899999999998</v>
      </c>
      <c r="D12" s="220">
        <f>'FLUJO  COSTOS DE PRESTACION'!E14</f>
        <v>16509.618</v>
      </c>
      <c r="E12" s="220">
        <f>'FLUJO  COSTOS DE PRESTACION'!F14</f>
        <v>16839.81036</v>
      </c>
      <c r="F12" s="220">
        <f>'FLUJO  COSTOS DE PRESTACION'!G14</f>
        <v>17176.6065672</v>
      </c>
      <c r="G12" s="220">
        <f>'FLUJO  COSTOS DE PRESTACION'!H14</f>
        <v>17520.138698544</v>
      </c>
      <c r="H12" s="220">
        <f>'FLUJO  COSTOS DE PRESTACION'!I14</f>
        <v>17870.54147251488</v>
      </c>
      <c r="I12" s="220">
        <f>'FLUJO  COSTOS DE PRESTACION'!J14</f>
        <v>18227.95230196518</v>
      </c>
      <c r="J12" s="220">
        <f>'FLUJO  COSTOS DE PRESTACION'!K14</f>
        <v>18592.511348004482</v>
      </c>
      <c r="K12" s="220">
        <f>'FLUJO  COSTOS DE PRESTACION'!L14</f>
        <v>18964.361574964572</v>
      </c>
      <c r="L12" s="220">
        <f>'FLUJO  COSTOS DE PRESTACION'!M14</f>
        <v>19343.648806463865</v>
      </c>
    </row>
    <row r="13" spans="1:12" s="70" customFormat="1" ht="18" outlineLevel="1">
      <c r="A13" s="222" t="str">
        <f>'FLUJO  COSTOS DE PRESTACION'!B15</f>
        <v>OTROS GASTOS INDIRECTOS</v>
      </c>
      <c r="B13" s="220">
        <f>'FLUJO  COSTOS DE PRESTACION'!C15</f>
        <v>0</v>
      </c>
      <c r="C13" s="220">
        <f>'FLUJO  COSTOS DE PRESTACION'!D15</f>
        <v>0</v>
      </c>
      <c r="D13" s="220">
        <f>'FLUJO  COSTOS DE PRESTACION'!E15</f>
        <v>0</v>
      </c>
      <c r="E13" s="220">
        <f>'FLUJO  COSTOS DE PRESTACION'!F15</f>
        <v>0</v>
      </c>
      <c r="F13" s="220">
        <f>'FLUJO  COSTOS DE PRESTACION'!G15</f>
        <v>0</v>
      </c>
      <c r="G13" s="220">
        <f>'FLUJO  COSTOS DE PRESTACION'!H15</f>
        <v>0</v>
      </c>
      <c r="H13" s="220">
        <f>'FLUJO  COSTOS DE PRESTACION'!I15</f>
        <v>0</v>
      </c>
      <c r="I13" s="220">
        <f>'FLUJO  COSTOS DE PRESTACION'!J15</f>
        <v>0</v>
      </c>
      <c r="J13" s="220">
        <f>'FLUJO  COSTOS DE PRESTACION'!K15</f>
        <v>0</v>
      </c>
      <c r="K13" s="220">
        <f>'FLUJO  COSTOS DE PRESTACION'!L15</f>
        <v>0</v>
      </c>
      <c r="L13" s="220">
        <f>'FLUJO  COSTOS DE PRESTACION'!M15</f>
        <v>0</v>
      </c>
    </row>
    <row r="14" spans="1:12" s="70" customFormat="1" ht="18" outlineLevel="1">
      <c r="A14" s="220" t="str">
        <f>'FLUJO  COSTOS DE PRESTACION'!B16</f>
        <v>DEPRECIACION INSTALACIONES</v>
      </c>
      <c r="B14" s="220">
        <f>'FLUJO  COSTOS DE PRESTACION'!C16</f>
        <v>0</v>
      </c>
      <c r="C14" s="220">
        <f>'FLUJO  COSTOS DE PRESTACION'!D16</f>
        <v>53804.376000000004</v>
      </c>
      <c r="D14" s="220">
        <f>'FLUJO  COSTOS DE PRESTACION'!E16</f>
        <v>53804.376000000004</v>
      </c>
      <c r="E14" s="220">
        <f>'FLUJO  COSTOS DE PRESTACION'!F16</f>
        <v>53804.376000000004</v>
      </c>
      <c r="F14" s="220">
        <f>'FLUJO  COSTOS DE PRESTACION'!G16</f>
        <v>53804.376000000004</v>
      </c>
      <c r="G14" s="220">
        <f>'FLUJO  COSTOS DE PRESTACION'!H16</f>
        <v>53804.376000000004</v>
      </c>
      <c r="H14" s="220">
        <f>'FLUJO  COSTOS DE PRESTACION'!I16</f>
        <v>53804.376000000004</v>
      </c>
      <c r="I14" s="220">
        <f>'FLUJO  COSTOS DE PRESTACION'!J16</f>
        <v>53804.376000000004</v>
      </c>
      <c r="J14" s="220">
        <f>'FLUJO  COSTOS DE PRESTACION'!K16</f>
        <v>53804.376000000004</v>
      </c>
      <c r="K14" s="220">
        <f>'FLUJO  COSTOS DE PRESTACION'!L16</f>
        <v>53804.376000000004</v>
      </c>
      <c r="L14" s="220">
        <f>'FLUJO  COSTOS DE PRESTACION'!M16</f>
        <v>53804.376000000004</v>
      </c>
    </row>
    <row r="15" spans="1:12" s="70" customFormat="1" ht="18" outlineLevel="1">
      <c r="A15" s="220" t="str">
        <f>'FLUJO  COSTOS DE PRESTACION'!B17</f>
        <v>SERVICIOS </v>
      </c>
      <c r="B15" s="220">
        <f>'FLUJO  COSTOS DE PRESTACION'!C17</f>
        <v>0</v>
      </c>
      <c r="C15" s="220">
        <f>'FLUJO  COSTOS DE PRESTACION'!D17</f>
        <v>21742.440000000002</v>
      </c>
      <c r="D15" s="220">
        <f>'FLUJO  COSTOS DE PRESTACION'!E17</f>
        <v>22177.288800000002</v>
      </c>
      <c r="E15" s="220">
        <f>'FLUJO  COSTOS DE PRESTACION'!F17</f>
        <v>22620.834576</v>
      </c>
      <c r="F15" s="220">
        <f>'FLUJO  COSTOS DE PRESTACION'!G17</f>
        <v>23073.25126752</v>
      </c>
      <c r="G15" s="220">
        <f>'FLUJO  COSTOS DE PRESTACION'!H17</f>
        <v>23534.716292870402</v>
      </c>
      <c r="H15" s="220">
        <f>'FLUJO  COSTOS DE PRESTACION'!I17</f>
        <v>24005.410618727812</v>
      </c>
      <c r="I15" s="220">
        <f>'FLUJO  COSTOS DE PRESTACION'!J17</f>
        <v>24485.51883110237</v>
      </c>
      <c r="J15" s="220">
        <f>'FLUJO  COSTOS DE PRESTACION'!K17</f>
        <v>24975.229207724416</v>
      </c>
      <c r="K15" s="220">
        <f>'FLUJO  COSTOS DE PRESTACION'!L17</f>
        <v>25474.733791878905</v>
      </c>
      <c r="L15" s="220">
        <f>'FLUJO  COSTOS DE PRESTACION'!M17</f>
        <v>25984.228467716483</v>
      </c>
    </row>
    <row r="16" spans="1:12" s="70" customFormat="1" ht="18" outlineLevel="1">
      <c r="A16" s="220" t="str">
        <f>'FLUJO  COSTOS DE PRESTACION'!B18</f>
        <v>MANTENIMIENTO</v>
      </c>
      <c r="B16" s="220">
        <f>'FLUJO  COSTOS DE PRESTACION'!C18</f>
        <v>0</v>
      </c>
      <c r="C16" s="220">
        <f>'FLUJO  COSTOS DE PRESTACION'!D18</f>
        <v>9649.998000000005</v>
      </c>
      <c r="D16" s="220">
        <f>'FLUJO  COSTOS DE PRESTACION'!E18</f>
        <v>9842.997960000006</v>
      </c>
      <c r="E16" s="220">
        <f>'FLUJO  COSTOS DE PRESTACION'!F18</f>
        <v>10039.857919200007</v>
      </c>
      <c r="F16" s="220">
        <f>'FLUJO  COSTOS DE PRESTACION'!G18</f>
        <v>10240.655077584008</v>
      </c>
      <c r="G16" s="220">
        <f>'FLUJO  COSTOS DE PRESTACION'!H18</f>
        <v>10445.468179135689</v>
      </c>
      <c r="H16" s="220">
        <f>'FLUJO  COSTOS DE PRESTACION'!I18</f>
        <v>10654.377542718403</v>
      </c>
      <c r="I16" s="220">
        <f>'FLUJO  COSTOS DE PRESTACION'!J18</f>
        <v>10867.465093572771</v>
      </c>
      <c r="J16" s="220">
        <f>'FLUJO  COSTOS DE PRESTACION'!K18</f>
        <v>11084.814395444228</v>
      </c>
      <c r="K16" s="220">
        <f>'FLUJO  COSTOS DE PRESTACION'!L18</f>
        <v>11306.510683353112</v>
      </c>
      <c r="L16" s="220">
        <f>'FLUJO  COSTOS DE PRESTACION'!M18</f>
        <v>11532.640897020174</v>
      </c>
    </row>
    <row r="17" spans="1:12" s="70" customFormat="1" ht="18" outlineLevel="1">
      <c r="A17" s="220" t="str">
        <f>'FLUJO  COSTOS DE PRESTACION'!B19</f>
        <v>IMPUESTOS</v>
      </c>
      <c r="B17" s="220">
        <f>'FLUJO  COSTOS DE PRESTACION'!C19</f>
        <v>0</v>
      </c>
      <c r="C17" s="220">
        <f>'FLUJO  COSTOS DE PRESTACION'!D19</f>
        <v>1320</v>
      </c>
      <c r="D17" s="220">
        <f>'FLUJO  COSTOS DE PRESTACION'!E19</f>
        <v>1346.4</v>
      </c>
      <c r="E17" s="220">
        <f>'FLUJO  COSTOS DE PRESTACION'!F19</f>
        <v>1373.3280000000002</v>
      </c>
      <c r="F17" s="220">
        <f>'FLUJO  COSTOS DE PRESTACION'!G19</f>
        <v>1400.7945600000003</v>
      </c>
      <c r="G17" s="220">
        <f>'FLUJO  COSTOS DE PRESTACION'!H19</f>
        <v>1428.8104512000002</v>
      </c>
      <c r="H17" s="220">
        <f>'FLUJO  COSTOS DE PRESTACION'!I19</f>
        <v>1457.3866602240003</v>
      </c>
      <c r="I17" s="220">
        <f>'FLUJO  COSTOS DE PRESTACION'!J19</f>
        <v>1486.5343934284804</v>
      </c>
      <c r="J17" s="220">
        <f>'FLUJO  COSTOS DE PRESTACION'!K19</f>
        <v>1516.26508129705</v>
      </c>
      <c r="K17" s="220">
        <f>'FLUJO  COSTOS DE PRESTACION'!L19</f>
        <v>1546.590382922991</v>
      </c>
      <c r="L17" s="220">
        <f>'FLUJO  COSTOS DE PRESTACION'!M19</f>
        <v>1577.5221905814508</v>
      </c>
    </row>
    <row r="18" spans="1:12" s="70" customFormat="1" ht="18" outlineLevel="1">
      <c r="A18" s="220" t="str">
        <f>'FLUJO  COSTOS DE PRESTACION'!B20</f>
        <v>AMORTIZACION DE DIFERIDOS</v>
      </c>
      <c r="B18" s="220">
        <f>'FLUJO  COSTOS DE PRESTACION'!C20</f>
        <v>0</v>
      </c>
      <c r="C18" s="220">
        <f>'FLUJO  COSTOS DE PRESTACION'!D20</f>
        <v>9930.275</v>
      </c>
      <c r="D18" s="220">
        <f>'FLUJO  COSTOS DE PRESTACION'!E20</f>
        <v>9930.275</v>
      </c>
      <c r="E18" s="220">
        <f>'FLUJO  COSTOS DE PRESTACION'!F20</f>
        <v>9930.275</v>
      </c>
      <c r="F18" s="220">
        <f>'FLUJO  COSTOS DE PRESTACION'!G20</f>
        <v>9930.275</v>
      </c>
      <c r="G18" s="220">
        <f>'FLUJO  COSTOS DE PRESTACION'!H20</f>
        <v>9930.275</v>
      </c>
      <c r="H18" s="220">
        <f>'FLUJO  COSTOS DE PRESTACION'!I20</f>
        <v>9930.275</v>
      </c>
      <c r="I18" s="220">
        <f>'FLUJO  COSTOS DE PRESTACION'!J20</f>
        <v>0</v>
      </c>
      <c r="J18" s="220">
        <f>'FLUJO  COSTOS DE PRESTACION'!K20</f>
        <v>0</v>
      </c>
      <c r="K18" s="220">
        <f>'FLUJO  COSTOS DE PRESTACION'!L20</f>
        <v>0</v>
      </c>
      <c r="L18" s="220">
        <f>'FLUJO  COSTOS DE PRESTACION'!M20</f>
        <v>0</v>
      </c>
    </row>
    <row r="19" spans="1:12" s="70" customFormat="1" ht="18" outlineLevel="1" collapsed="1">
      <c r="A19" s="221" t="str">
        <f>'FLUJO  COSTOS DE PRESTACION'!B21</f>
        <v>GASTOS ADMINISTRATIVOS</v>
      </c>
      <c r="B19" s="450">
        <f>'FLUJO  COSTOS DE PRESTACION'!C21</f>
        <v>0</v>
      </c>
      <c r="C19" s="451">
        <f aca="true" t="shared" si="1" ref="C19:L19">SUM(C20:C24)</f>
        <v>60084.8</v>
      </c>
      <c r="D19" s="451">
        <f t="shared" si="1"/>
        <v>61266.596000000005</v>
      </c>
      <c r="E19" s="451">
        <f t="shared" si="1"/>
        <v>64280.175800000005</v>
      </c>
      <c r="F19" s="451">
        <f t="shared" si="1"/>
        <v>67444.43459</v>
      </c>
      <c r="G19" s="451">
        <f t="shared" si="1"/>
        <v>70766.9063195</v>
      </c>
      <c r="H19" s="451">
        <f t="shared" si="1"/>
        <v>74255.50163547501</v>
      </c>
      <c r="I19" s="451">
        <f t="shared" si="1"/>
        <v>77118.52671724877</v>
      </c>
      <c r="J19" s="451">
        <f t="shared" si="1"/>
        <v>80964.70305311121</v>
      </c>
      <c r="K19" s="451">
        <f t="shared" si="1"/>
        <v>85003.18820576678</v>
      </c>
      <c r="L19" s="451">
        <f t="shared" si="1"/>
        <v>89243.59761605512</v>
      </c>
    </row>
    <row r="20" spans="1:12" s="70" customFormat="1" ht="18" outlineLevel="1">
      <c r="A20" s="220" t="str">
        <f>'FLUJO  COSTOS DE PRESTACION'!B22</f>
        <v>SUELDOS</v>
      </c>
      <c r="B20" s="220">
        <f>'FLUJO  COSTOS DE PRESTACION'!C22</f>
        <v>0</v>
      </c>
      <c r="C20" s="220">
        <f>'FLUJO  COSTOS DE PRESTACION'!D22</f>
        <v>47329.8</v>
      </c>
      <c r="D20" s="220">
        <f>'FLUJO  COSTOS DE PRESTACION'!E22</f>
        <v>48276.396</v>
      </c>
      <c r="E20" s="220">
        <f>'FLUJO  COSTOS DE PRESTACION'!F22</f>
        <v>50690.215800000005</v>
      </c>
      <c r="F20" s="220">
        <f>'FLUJO  COSTOS DE PRESTACION'!G22</f>
        <v>53224.726590000006</v>
      </c>
      <c r="G20" s="220">
        <f>'FLUJO  COSTOS DE PRESTACION'!H22</f>
        <v>55885.96291950001</v>
      </c>
      <c r="H20" s="220">
        <f>'FLUJO  COSTOS DE PRESTACION'!I22</f>
        <v>58680.26106547501</v>
      </c>
      <c r="I20" s="220">
        <f>'FLUJO  COSTOS DE PRESTACION'!J22</f>
        <v>61614.27411874876</v>
      </c>
      <c r="J20" s="220">
        <f>'FLUJO  COSTOS DE PRESTACION'!K22</f>
        <v>64694.987824686206</v>
      </c>
      <c r="K20" s="220">
        <f>'FLUJO  COSTOS DE PRESTACION'!L22</f>
        <v>67929.73721592053</v>
      </c>
      <c r="L20" s="220">
        <f>'FLUJO  COSTOS DE PRESTACION'!M22</f>
        <v>71326.22407671655</v>
      </c>
    </row>
    <row r="21" spans="1:12" s="70" customFormat="1" ht="18" outlineLevel="1">
      <c r="A21" s="220" t="str">
        <f>'FLUJO  COSTOS DE PRESTACION'!B24</f>
        <v>DEPRECIACION ADMINISTRATIVA</v>
      </c>
      <c r="B21" s="220">
        <f>'FLUJO  COSTOS DE PRESTACION'!C24</f>
        <v>0</v>
      </c>
      <c r="C21" s="220">
        <f>'FLUJO  COSTOS DE PRESTACION'!D24</f>
        <v>150</v>
      </c>
      <c r="D21" s="220">
        <f>'FLUJO  COSTOS DE PRESTACION'!E24</f>
        <v>150</v>
      </c>
      <c r="E21" s="220">
        <f>'FLUJO  COSTOS DE PRESTACION'!F24</f>
        <v>150</v>
      </c>
      <c r="F21" s="220">
        <f>'FLUJO  COSTOS DE PRESTACION'!G24</f>
        <v>150</v>
      </c>
      <c r="G21" s="220">
        <f>'FLUJO  COSTOS DE PRESTACION'!H24</f>
        <v>150</v>
      </c>
      <c r="H21" s="220">
        <f>'FLUJO  COSTOS DE PRESTACION'!I24</f>
        <v>150</v>
      </c>
      <c r="I21" s="220">
        <f>'FLUJO  COSTOS DE PRESTACION'!J24</f>
        <v>150</v>
      </c>
      <c r="J21" s="220">
        <f>'FLUJO  COSTOS DE PRESTACION'!K24</f>
        <v>150</v>
      </c>
      <c r="K21" s="220">
        <f>'FLUJO  COSTOS DE PRESTACION'!L24</f>
        <v>150</v>
      </c>
      <c r="L21" s="220">
        <f>'FLUJO  COSTOS DE PRESTACION'!M24</f>
        <v>150</v>
      </c>
    </row>
    <row r="22" spans="1:12" s="70" customFormat="1" ht="18" outlineLevel="1">
      <c r="A22" s="220" t="str">
        <f>'FLUJO  COSTOS DE PRESTACION'!B25</f>
        <v>AMORTIZACION DE DIFERIDOS</v>
      </c>
      <c r="B22" s="220">
        <f>'FLUJO  COSTOS DE PRESTACION'!C25</f>
        <v>0</v>
      </c>
      <c r="C22" s="220">
        <f>'FLUJO  COSTOS DE PRESTACION'!D25</f>
        <v>799.9999999999999</v>
      </c>
      <c r="D22" s="220">
        <f>'FLUJO  COSTOS DE PRESTACION'!E25</f>
        <v>799.9999999999999</v>
      </c>
      <c r="E22" s="220">
        <f>'FLUJO  COSTOS DE PRESTACION'!F25</f>
        <v>799.9999999999999</v>
      </c>
      <c r="F22" s="220">
        <f>'FLUJO  COSTOS DE PRESTACION'!G25</f>
        <v>799.9999999999999</v>
      </c>
      <c r="G22" s="220">
        <f>'FLUJO  COSTOS DE PRESTACION'!H25</f>
        <v>799.9999999999999</v>
      </c>
      <c r="H22" s="220">
        <f>'FLUJO  COSTOS DE PRESTACION'!I25</f>
        <v>799.9999999999999</v>
      </c>
      <c r="I22" s="220">
        <f>'FLUJO  COSTOS DE PRESTACION'!J25</f>
        <v>0</v>
      </c>
      <c r="J22" s="220">
        <f>'FLUJO  COSTOS DE PRESTACION'!K25</f>
        <v>0</v>
      </c>
      <c r="K22" s="220">
        <f>'FLUJO  COSTOS DE PRESTACION'!L25</f>
        <v>0</v>
      </c>
      <c r="L22" s="220">
        <f>'FLUJO  COSTOS DE PRESTACION'!M25</f>
        <v>0</v>
      </c>
    </row>
    <row r="23" spans="1:12" s="70" customFormat="1" ht="18" outlineLevel="1">
      <c r="A23" s="220" t="str">
        <f>'FLUJO  COSTOS DE PRESTACION'!B26</f>
        <v>SEGUROS</v>
      </c>
      <c r="B23" s="220">
        <f>'FLUJO  COSTOS DE PRESTACION'!C26</f>
        <v>0</v>
      </c>
      <c r="C23" s="220">
        <f>'FLUJO  COSTOS DE PRESTACION'!D26</f>
        <v>45</v>
      </c>
      <c r="D23" s="220">
        <f>'FLUJO  COSTOS DE PRESTACION'!E26</f>
        <v>45</v>
      </c>
      <c r="E23" s="220">
        <f>'FLUJO  COSTOS DE PRESTACION'!F26</f>
        <v>45</v>
      </c>
      <c r="F23" s="220">
        <f>'FLUJO  COSTOS DE PRESTACION'!G26</f>
        <v>45</v>
      </c>
      <c r="G23" s="220">
        <f>'FLUJO  COSTOS DE PRESTACION'!H26</f>
        <v>45</v>
      </c>
      <c r="H23" s="220">
        <f>'FLUJO  COSTOS DE PRESTACION'!I26</f>
        <v>45</v>
      </c>
      <c r="I23" s="220">
        <f>'FLUJO  COSTOS DE PRESTACION'!J26</f>
        <v>45</v>
      </c>
      <c r="J23" s="220">
        <f>'FLUJO  COSTOS DE PRESTACION'!K26</f>
        <v>45</v>
      </c>
      <c r="K23" s="220">
        <f>'FLUJO  COSTOS DE PRESTACION'!L26</f>
        <v>45</v>
      </c>
      <c r="L23" s="220">
        <f>'FLUJO  COSTOS DE PRESTACION'!M26</f>
        <v>45</v>
      </c>
    </row>
    <row r="24" spans="1:12" s="70" customFormat="1" ht="18" outlineLevel="1">
      <c r="A24" s="220" t="str">
        <f>'FLUJO  COSTOS DE PRESTACION'!B28</f>
        <v>OTROS</v>
      </c>
      <c r="B24" s="220">
        <f>'FLUJO  COSTOS DE PRESTACION'!C28</f>
        <v>0</v>
      </c>
      <c r="C24" s="220">
        <f>'FLUJO  COSTOS DE PRESTACION'!D28</f>
        <v>11760</v>
      </c>
      <c r="D24" s="220">
        <f>'FLUJO  COSTOS DE PRESTACION'!E28</f>
        <v>11995.2</v>
      </c>
      <c r="E24" s="220">
        <f>'FLUJO  COSTOS DE PRESTACION'!F28</f>
        <v>12594.960000000001</v>
      </c>
      <c r="F24" s="220">
        <f>'FLUJO  COSTOS DE PRESTACION'!G28</f>
        <v>13224.708000000002</v>
      </c>
      <c r="G24" s="220">
        <f>'FLUJO  COSTOS DE PRESTACION'!H28</f>
        <v>13885.943400000004</v>
      </c>
      <c r="H24" s="220">
        <f>'FLUJO  COSTOS DE PRESTACION'!I28</f>
        <v>14580.240570000005</v>
      </c>
      <c r="I24" s="220">
        <f>'FLUJO  COSTOS DE PRESTACION'!J28</f>
        <v>15309.252598500007</v>
      </c>
      <c r="J24" s="220">
        <f>'FLUJO  COSTOS DE PRESTACION'!K28</f>
        <v>16074.715228425008</v>
      </c>
      <c r="K24" s="220">
        <f>'FLUJO  COSTOS DE PRESTACION'!L28</f>
        <v>16878.45098984626</v>
      </c>
      <c r="L24" s="220">
        <f>'FLUJO  COSTOS DE PRESTACION'!M28</f>
        <v>17722.373539338572</v>
      </c>
    </row>
    <row r="25" spans="1:12" s="70" customFormat="1" ht="18" outlineLevel="1" collapsed="1">
      <c r="A25" s="221" t="str">
        <f>'FLUJO  COSTOS DE PRESTACION'!B29</f>
        <v>GASTOS DE  VENTAS</v>
      </c>
      <c r="B25" s="450">
        <f>'FLUJO  COSTOS DE PRESTACION'!C29</f>
        <v>0</v>
      </c>
      <c r="C25" s="451">
        <f aca="true" t="shared" si="2" ref="C25:L25">+C26</f>
        <v>133482</v>
      </c>
      <c r="D25" s="451">
        <f t="shared" si="2"/>
        <v>136151.64</v>
      </c>
      <c r="E25" s="451">
        <f t="shared" si="2"/>
        <v>142959.222</v>
      </c>
      <c r="F25" s="451">
        <f t="shared" si="2"/>
        <v>150107.18310000002</v>
      </c>
      <c r="G25" s="451">
        <f t="shared" si="2"/>
        <v>157612.54225500004</v>
      </c>
      <c r="H25" s="451">
        <f t="shared" si="2"/>
        <v>165493.16936775006</v>
      </c>
      <c r="I25" s="451">
        <f t="shared" si="2"/>
        <v>173767.82783613756</v>
      </c>
      <c r="J25" s="451">
        <f t="shared" si="2"/>
        <v>182456.21922794444</v>
      </c>
      <c r="K25" s="451">
        <f t="shared" si="2"/>
        <v>191579.03018934166</v>
      </c>
      <c r="L25" s="451">
        <f t="shared" si="2"/>
        <v>201157.98169880876</v>
      </c>
    </row>
    <row r="26" spans="1:12" s="70" customFormat="1" ht="18" outlineLevel="1">
      <c r="A26" s="220" t="str">
        <f>'FLUJO  COSTOS DE PRESTACION'!B30</f>
        <v>GASTOS DE COMERCIALIZACION</v>
      </c>
      <c r="B26" s="220">
        <f>'FLUJO  COSTOS DE PRESTACION'!C30</f>
        <v>0</v>
      </c>
      <c r="C26" s="220">
        <f>'FLUJO  COSTOS DE PRESTACION'!D30</f>
        <v>133482</v>
      </c>
      <c r="D26" s="220">
        <f>'FLUJO  COSTOS DE PRESTACION'!E30</f>
        <v>136151.64</v>
      </c>
      <c r="E26" s="220">
        <f>'FLUJO  COSTOS DE PRESTACION'!F30</f>
        <v>142959.222</v>
      </c>
      <c r="F26" s="220">
        <f>'FLUJO  COSTOS DE PRESTACION'!G30</f>
        <v>150107.18310000002</v>
      </c>
      <c r="G26" s="220">
        <f>'FLUJO  COSTOS DE PRESTACION'!H30</f>
        <v>157612.54225500004</v>
      </c>
      <c r="H26" s="220">
        <f>'FLUJO  COSTOS DE PRESTACION'!I30</f>
        <v>165493.16936775006</v>
      </c>
      <c r="I26" s="220">
        <f>'FLUJO  COSTOS DE PRESTACION'!J30</f>
        <v>173767.82783613756</v>
      </c>
      <c r="J26" s="220">
        <f>'FLUJO  COSTOS DE PRESTACION'!K30</f>
        <v>182456.21922794444</v>
      </c>
      <c r="K26" s="220">
        <f>'FLUJO  COSTOS DE PRESTACION'!L30</f>
        <v>191579.03018934166</v>
      </c>
      <c r="L26" s="220">
        <f>'FLUJO  COSTOS DE PRESTACION'!M30</f>
        <v>201157.98169880876</v>
      </c>
    </row>
    <row r="27" spans="1:12" s="70" customFormat="1" ht="18" outlineLevel="1">
      <c r="A27" s="220">
        <f>'FLUJO  COSTOS DE PRESTACION'!B31</f>
        <v>0</v>
      </c>
      <c r="B27" s="220">
        <f>'FLUJO  COSTOS DE PRESTACION'!C31</f>
        <v>0</v>
      </c>
      <c r="C27" s="220">
        <f>'FLUJO  COSTOS DE PRESTACION'!D31</f>
        <v>0</v>
      </c>
      <c r="D27" s="220">
        <f>'FLUJO  COSTOS DE PRESTACION'!E31</f>
        <v>0</v>
      </c>
      <c r="E27" s="220">
        <f>'FLUJO  COSTOS DE PRESTACION'!F31</f>
        <v>0</v>
      </c>
      <c r="F27" s="220">
        <f>'FLUJO  COSTOS DE PRESTACION'!G31</f>
        <v>0</v>
      </c>
      <c r="G27" s="220">
        <f>'FLUJO  COSTOS DE PRESTACION'!H31</f>
        <v>0</v>
      </c>
      <c r="H27" s="220">
        <f>'FLUJO  COSTOS DE PRESTACION'!I31</f>
        <v>0</v>
      </c>
      <c r="I27" s="220">
        <f>'FLUJO  COSTOS DE PRESTACION'!J31</f>
        <v>0</v>
      </c>
      <c r="J27" s="220">
        <f>'FLUJO  COSTOS DE PRESTACION'!K31</f>
        <v>0</v>
      </c>
      <c r="K27" s="220">
        <f>'FLUJO  COSTOS DE PRESTACION'!L31</f>
        <v>0</v>
      </c>
      <c r="L27" s="220">
        <f>'FLUJO  COSTOS DE PRESTACION'!M31</f>
        <v>0</v>
      </c>
    </row>
    <row r="28" spans="1:12" s="70" customFormat="1" ht="18">
      <c r="A28" s="221" t="str">
        <f>'FLUJO  COSTOS DE PRESTACION'!B32</f>
        <v>GASTOS FINANCIEROS</v>
      </c>
      <c r="B28" s="450">
        <f>'FLUJO  COSTOS DE PRESTACION'!C32</f>
        <v>0</v>
      </c>
      <c r="C28" s="451">
        <f aca="true" t="shared" si="3" ref="C28:L28">+C29</f>
        <v>40370.01187680348</v>
      </c>
      <c r="D28" s="451">
        <f t="shared" si="3"/>
        <v>40370.01187680348</v>
      </c>
      <c r="E28" s="451">
        <f t="shared" si="3"/>
        <v>38477.66757007832</v>
      </c>
      <c r="F28" s="451">
        <f t="shared" si="3"/>
        <v>33431.41608547789</v>
      </c>
      <c r="G28" s="451">
        <f t="shared" si="3"/>
        <v>28385.164600877462</v>
      </c>
      <c r="H28" s="451">
        <f t="shared" si="3"/>
        <v>23338.913116277028</v>
      </c>
      <c r="I28" s="451">
        <f t="shared" si="3"/>
        <v>18292.661631676598</v>
      </c>
      <c r="J28" s="451">
        <f t="shared" si="3"/>
        <v>13246.410147076167</v>
      </c>
      <c r="K28" s="451">
        <f t="shared" si="3"/>
        <v>8200.158662475733</v>
      </c>
      <c r="L28" s="451">
        <f t="shared" si="3"/>
        <v>3153.907177875297</v>
      </c>
    </row>
    <row r="29" spans="1:12" s="70" customFormat="1" ht="18">
      <c r="A29" s="220">
        <f>'FLUJO  COSTOS DE PRESTACION'!B33</f>
        <v>0</v>
      </c>
      <c r="B29" s="220">
        <f>'FLUJO  COSTOS DE PRESTACION'!C33</f>
        <v>0</v>
      </c>
      <c r="C29" s="220">
        <f>'FLUJO  COSTOS DE PRESTACION'!D33</f>
        <v>40370.01187680348</v>
      </c>
      <c r="D29" s="220">
        <f>'FLUJO  COSTOS DE PRESTACION'!E33</f>
        <v>40370.01187680348</v>
      </c>
      <c r="E29" s="220">
        <f>'FLUJO  COSTOS DE PRESTACION'!F33</f>
        <v>38477.66757007832</v>
      </c>
      <c r="F29" s="220">
        <f>'FLUJO  COSTOS DE PRESTACION'!G33</f>
        <v>33431.41608547789</v>
      </c>
      <c r="G29" s="220">
        <f>'FLUJO  COSTOS DE PRESTACION'!H33</f>
        <v>28385.164600877462</v>
      </c>
      <c r="H29" s="220">
        <f>'FLUJO  COSTOS DE PRESTACION'!I33</f>
        <v>23338.913116277028</v>
      </c>
      <c r="I29" s="220">
        <f>'FLUJO  COSTOS DE PRESTACION'!J33</f>
        <v>18292.661631676598</v>
      </c>
      <c r="J29" s="220">
        <f>'FLUJO  COSTOS DE PRESTACION'!K33</f>
        <v>13246.410147076167</v>
      </c>
      <c r="K29" s="220">
        <f>'FLUJO  COSTOS DE PRESTACION'!L33</f>
        <v>8200.158662475733</v>
      </c>
      <c r="L29" s="220">
        <f>'FLUJO  COSTOS DE PRESTACION'!M33</f>
        <v>3153.907177875297</v>
      </c>
    </row>
    <row r="30" spans="1:12" s="70" customFormat="1" ht="18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</row>
    <row r="31" spans="1:12" s="70" customFormat="1" ht="18">
      <c r="A31" s="221" t="str">
        <f>'FLUJO  COSTOS DE PRESTACION'!B36</f>
        <v>RESUMEN DE COSTOS Y GASTOS</v>
      </c>
      <c r="B31" s="223">
        <f>'FLUJO  COSTOS DE PRESTACION'!C36</f>
        <v>0</v>
      </c>
      <c r="C31" s="219">
        <f aca="true" t="shared" si="4" ref="C31:L31">+C4+C19+C25+C28</f>
        <v>430020.4408768035</v>
      </c>
      <c r="D31" s="219">
        <f t="shared" si="4"/>
        <v>436518.85643680353</v>
      </c>
      <c r="E31" s="219">
        <f t="shared" si="4"/>
        <v>447147.5930812784</v>
      </c>
      <c r="F31" s="219">
        <f t="shared" si="4"/>
        <v>455167.47902090196</v>
      </c>
      <c r="G31" s="219">
        <f t="shared" si="4"/>
        <v>463758.05430570996</v>
      </c>
      <c r="H31" s="219">
        <f t="shared" si="4"/>
        <v>472946.20105244126</v>
      </c>
      <c r="I31" s="219">
        <f t="shared" si="4"/>
        <v>472029.8374366609</v>
      </c>
      <c r="J31" s="219">
        <f t="shared" si="4"/>
        <v>482499.0825847618</v>
      </c>
      <c r="K31" s="219">
        <f t="shared" si="4"/>
        <v>493654.67469734675</v>
      </c>
      <c r="L31" s="219">
        <f t="shared" si="4"/>
        <v>505529.14256529696</v>
      </c>
    </row>
  </sheetData>
  <sheetProtection/>
  <mergeCells count="1">
    <mergeCell ref="A1:L1"/>
  </mergeCells>
  <printOptions/>
  <pageMargins left="0.79" right="0.79" top="0.98" bottom="0.9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T52"/>
  <sheetViews>
    <sheetView showGridLines="0" showZeros="0" zoomScale="75" zoomScaleNormal="75" zoomScalePageLayoutView="0" workbookViewId="0" topLeftCell="G6">
      <selection activeCell="H7" sqref="H7:T11"/>
    </sheetView>
  </sheetViews>
  <sheetFormatPr defaultColWidth="11.421875" defaultRowHeight="12.75"/>
  <cols>
    <col min="1" max="2" width="11.421875" style="295" customWidth="1"/>
    <col min="3" max="3" width="33.421875" style="295" customWidth="1"/>
    <col min="4" max="4" width="11.421875" style="295" customWidth="1"/>
    <col min="5" max="5" width="14.421875" style="295" bestFit="1" customWidth="1"/>
    <col min="6" max="7" width="11.421875" style="295" customWidth="1"/>
    <col min="8" max="8" width="21.8515625" style="295" bestFit="1" customWidth="1"/>
    <col min="9" max="9" width="11.00390625" style="295" hidden="1" customWidth="1"/>
    <col min="10" max="14" width="11.421875" style="295" hidden="1" customWidth="1"/>
    <col min="15" max="18" width="11.421875" style="295" customWidth="1"/>
    <col min="19" max="19" width="14.28125" style="295" bestFit="1" customWidth="1"/>
    <col min="20" max="20" width="13.421875" style="295" bestFit="1" customWidth="1"/>
    <col min="21" max="16384" width="11.421875" style="295" customWidth="1"/>
  </cols>
  <sheetData>
    <row r="1" spans="1:6" ht="12.75">
      <c r="A1" s="865" t="s">
        <v>190</v>
      </c>
      <c r="B1" s="865"/>
      <c r="C1" s="865"/>
      <c r="D1" s="865"/>
      <c r="E1" s="865"/>
      <c r="F1" s="72"/>
    </row>
    <row r="2" spans="1:6" ht="12.75">
      <c r="A2" s="224" t="s">
        <v>191</v>
      </c>
      <c r="B2" s="225"/>
      <c r="C2" s="226"/>
      <c r="D2" s="227" t="s">
        <v>105</v>
      </c>
      <c r="E2" s="228">
        <v>60</v>
      </c>
      <c r="F2" s="72"/>
    </row>
    <row r="3" spans="1:6" ht="12.75">
      <c r="A3" s="72"/>
      <c r="B3" s="72"/>
      <c r="C3" s="72"/>
      <c r="D3" s="72"/>
      <c r="E3" s="866" t="s">
        <v>192</v>
      </c>
      <c r="F3" s="72"/>
    </row>
    <row r="4" spans="1:6" ht="12.75">
      <c r="A4" s="127" t="s">
        <v>193</v>
      </c>
      <c r="B4" s="127"/>
      <c r="C4" s="127"/>
      <c r="D4" s="72"/>
      <c r="E4" s="867"/>
      <c r="F4" s="72"/>
    </row>
    <row r="5" spans="1:6" ht="12.75">
      <c r="A5" s="72" t="s">
        <v>194</v>
      </c>
      <c r="B5" s="72"/>
      <c r="C5" s="72"/>
      <c r="D5" s="72"/>
      <c r="E5" s="73">
        <f>+'FLUJO  COSTOS DE PRESTACION'!D8</f>
        <v>3000</v>
      </c>
      <c r="F5" s="72"/>
    </row>
    <row r="6" spans="1:6" ht="12.75">
      <c r="A6" s="72" t="s">
        <v>195</v>
      </c>
      <c r="B6" s="72"/>
      <c r="C6" s="72"/>
      <c r="D6" s="72"/>
      <c r="E6" s="73">
        <f>+'FLUJO  COSTOS DE PRESTACION'!D13</f>
        <v>9417</v>
      </c>
      <c r="F6" s="72"/>
    </row>
    <row r="7" spans="1:20" ht="12.75">
      <c r="A7" s="72" t="s">
        <v>196</v>
      </c>
      <c r="B7" s="72"/>
      <c r="C7" s="72"/>
      <c r="D7" s="72"/>
      <c r="E7" s="73">
        <f>+'FLUJO  COSTOS DE PRESTACION'!D17</f>
        <v>21742.440000000002</v>
      </c>
      <c r="F7" s="72"/>
      <c r="H7" s="676"/>
      <c r="I7" s="676" t="s">
        <v>538</v>
      </c>
      <c r="J7" s="676" t="s">
        <v>539</v>
      </c>
      <c r="K7" s="676" t="s">
        <v>540</v>
      </c>
      <c r="L7" s="676" t="s">
        <v>541</v>
      </c>
      <c r="M7" s="676" t="s">
        <v>542</v>
      </c>
      <c r="N7" s="676" t="s">
        <v>543</v>
      </c>
      <c r="O7" s="676" t="s">
        <v>544</v>
      </c>
      <c r="P7" s="676" t="s">
        <v>545</v>
      </c>
      <c r="Q7" s="676" t="s">
        <v>546</v>
      </c>
      <c r="R7" s="676" t="s">
        <v>547</v>
      </c>
      <c r="S7" s="676" t="s">
        <v>548</v>
      </c>
      <c r="T7" s="676" t="s">
        <v>549</v>
      </c>
    </row>
    <row r="8" spans="1:20" ht="12.75">
      <c r="A8" s="72" t="s">
        <v>197</v>
      </c>
      <c r="B8" s="72"/>
      <c r="C8" s="72"/>
      <c r="D8" s="72"/>
      <c r="E8" s="73">
        <f>'[1]antes de'!$K$37*6</f>
        <v>91523.45999999999</v>
      </c>
      <c r="F8" s="72"/>
      <c r="H8" s="818" t="s">
        <v>430</v>
      </c>
      <c r="I8" s="819">
        <f>INGRESOS!D49-INGRESOS!D48</f>
        <v>34560.35</v>
      </c>
      <c r="J8" s="819">
        <f>INGRESOS!E49-INGRESOS!E48</f>
        <v>29408.050000000003</v>
      </c>
      <c r="K8" s="819">
        <f>INGRESOS!F49-INGRESOS!F48</f>
        <v>34560.35</v>
      </c>
      <c r="L8" s="819">
        <f>INGRESOS!G49-INGRESOS!G48</f>
        <v>29408.050000000003</v>
      </c>
      <c r="M8" s="819">
        <f>INGRESOS!H49-INGRESOS!H48</f>
        <v>29408.050000000003</v>
      </c>
      <c r="N8" s="819">
        <f>INGRESOS!I49-INGRESOS!I48</f>
        <v>34560.35</v>
      </c>
      <c r="O8" s="819">
        <f>INGRESOS!J49-INGRESOS!J48</f>
        <v>39712.649999999994</v>
      </c>
      <c r="P8" s="819">
        <f>INGRESOS!K49-INGRESOS!K48</f>
        <v>42288.8</v>
      </c>
      <c r="Q8" s="819">
        <f>INGRESOS!L49-INGRESOS!L48</f>
        <v>31984.199999999997</v>
      </c>
      <c r="R8" s="819">
        <f>INGRESOS!M49-INGRESOS!M48</f>
        <v>29408.050000000003</v>
      </c>
      <c r="S8" s="819">
        <f>INGRESOS!N49-INGRESOS!N48</f>
        <v>26831.9</v>
      </c>
      <c r="T8" s="819">
        <f>INGRESOS!O49-INGRESOS!O48</f>
        <v>31984.199999999997</v>
      </c>
    </row>
    <row r="9" spans="1:20" ht="12.75">
      <c r="A9" s="72" t="s">
        <v>198</v>
      </c>
      <c r="B9" s="72"/>
      <c r="C9" s="72"/>
      <c r="D9" s="72"/>
      <c r="E9" s="73">
        <f>('[1]Sheet1'!$D$11-'[1]Sheet1'!$D$7-'[1]Sheet1'!$D$8)*12</f>
        <v>30000</v>
      </c>
      <c r="F9" s="72"/>
      <c r="H9" s="818" t="s">
        <v>550</v>
      </c>
      <c r="I9" s="820">
        <f>'FLUJO  COSTOS DE PRESTACION'!$D$36/12</f>
        <v>35835.03673973362</v>
      </c>
      <c r="J9" s="820">
        <f>'FLUJO  COSTOS DE PRESTACION'!$D$36/12</f>
        <v>35835.03673973362</v>
      </c>
      <c r="K9" s="820">
        <f>'FLUJO  COSTOS DE PRESTACION'!$D$36/12</f>
        <v>35835.03673973362</v>
      </c>
      <c r="L9" s="820">
        <f>'FLUJO  COSTOS DE PRESTACION'!$D$36/12</f>
        <v>35835.03673973362</v>
      </c>
      <c r="M9" s="820">
        <f>'FLUJO  COSTOS DE PRESTACION'!$D$36/12</f>
        <v>35835.03673973362</v>
      </c>
      <c r="N9" s="820">
        <f>'FLUJO  COSTOS DE PRESTACION'!$D$36/12</f>
        <v>35835.03673973362</v>
      </c>
      <c r="O9" s="820">
        <f>'FLUJO  COSTOS DE PRESTACION'!$D$36/12</f>
        <v>35835.03673973362</v>
      </c>
      <c r="P9" s="820">
        <f>'FLUJO  COSTOS DE PRESTACION'!$D$36/12</f>
        <v>35835.03673973362</v>
      </c>
      <c r="Q9" s="820">
        <f>'FLUJO  COSTOS DE PRESTACION'!$D$36/12</f>
        <v>35835.03673973362</v>
      </c>
      <c r="R9" s="820">
        <f>'FLUJO  COSTOS DE PRESTACION'!$D$36/12</f>
        <v>35835.03673973362</v>
      </c>
      <c r="S9" s="820">
        <f>'FLUJO  COSTOS DE PRESTACION'!$D$36/12</f>
        <v>35835.03673973362</v>
      </c>
      <c r="T9" s="820">
        <f>'FLUJO  COSTOS DE PRESTACION'!$D$36/12</f>
        <v>35835.03673973362</v>
      </c>
    </row>
    <row r="10" spans="1:20" ht="12.75">
      <c r="A10" s="72" t="s">
        <v>199</v>
      </c>
      <c r="B10" s="72"/>
      <c r="C10" s="72"/>
      <c r="D10" s="72"/>
      <c r="E10" s="73">
        <f>+'FLUJO  COSTOS DE PRESTACION'!D18</f>
        <v>9649.998000000005</v>
      </c>
      <c r="F10" s="72"/>
      <c r="H10" s="818" t="s">
        <v>551</v>
      </c>
      <c r="I10" s="819">
        <f>I8-I9</f>
        <v>-1274.6867397336246</v>
      </c>
      <c r="J10" s="819">
        <f aca="true" t="shared" si="0" ref="J10:T10">J8-J9</f>
        <v>-6426.98673973362</v>
      </c>
      <c r="K10" s="819">
        <f t="shared" si="0"/>
        <v>-1274.6867397336246</v>
      </c>
      <c r="L10" s="819">
        <f t="shared" si="0"/>
        <v>-6426.98673973362</v>
      </c>
      <c r="M10" s="819">
        <f t="shared" si="0"/>
        <v>-6426.98673973362</v>
      </c>
      <c r="N10" s="819">
        <f t="shared" si="0"/>
        <v>-1274.6867397336246</v>
      </c>
      <c r="O10" s="819">
        <f t="shared" si="0"/>
        <v>3877.613260266371</v>
      </c>
      <c r="P10" s="819">
        <f t="shared" si="0"/>
        <v>6453.76326026638</v>
      </c>
      <c r="Q10" s="819">
        <f t="shared" si="0"/>
        <v>-3850.836739733626</v>
      </c>
      <c r="R10" s="819">
        <f t="shared" si="0"/>
        <v>-6426.98673973362</v>
      </c>
      <c r="S10" s="819">
        <f t="shared" si="0"/>
        <v>-9003.136739733622</v>
      </c>
      <c r="T10" s="819">
        <f t="shared" si="0"/>
        <v>-3850.836739733626</v>
      </c>
    </row>
    <row r="11" spans="1:20" ht="13.5" thickBot="1">
      <c r="A11" s="127" t="s">
        <v>200</v>
      </c>
      <c r="B11" s="127"/>
      <c r="C11" s="72"/>
      <c r="D11" s="72"/>
      <c r="E11" s="229">
        <f>SUM(E5:E10)</f>
        <v>165332.898</v>
      </c>
      <c r="F11" s="72"/>
      <c r="H11" s="676" t="s">
        <v>560</v>
      </c>
      <c r="I11" s="819">
        <f>+I10</f>
        <v>-1274.6867397336246</v>
      </c>
      <c r="J11" s="819">
        <f>+I10+J10</f>
        <v>-7701.673479467245</v>
      </c>
      <c r="K11" s="819">
        <f aca="true" t="shared" si="1" ref="K11:T11">+J10+K10</f>
        <v>-7701.673479467245</v>
      </c>
      <c r="L11" s="819">
        <f t="shared" si="1"/>
        <v>-7701.673479467245</v>
      </c>
      <c r="M11" s="819">
        <f t="shared" si="1"/>
        <v>-12853.97347946724</v>
      </c>
      <c r="N11" s="819">
        <f t="shared" si="1"/>
        <v>-7701.673479467245</v>
      </c>
      <c r="O11" s="819">
        <f t="shared" si="1"/>
        <v>2602.9265205327465</v>
      </c>
      <c r="P11" s="819">
        <f t="shared" si="1"/>
        <v>10331.37652053275</v>
      </c>
      <c r="Q11" s="819">
        <f t="shared" si="1"/>
        <v>2602.926520532754</v>
      </c>
      <c r="R11" s="819">
        <f t="shared" si="1"/>
        <v>-10277.823479467246</v>
      </c>
      <c r="S11" s="821">
        <f t="shared" si="1"/>
        <v>-15430.123479467242</v>
      </c>
      <c r="T11" s="819">
        <f t="shared" si="1"/>
        <v>-12853.973479467248</v>
      </c>
    </row>
    <row r="12" spans="1:6" ht="13.5" thickTop="1">
      <c r="A12" s="72" t="s">
        <v>201</v>
      </c>
      <c r="B12" s="72"/>
      <c r="C12" s="72"/>
      <c r="D12" s="72"/>
      <c r="E12" s="73">
        <f>+E11/360</f>
        <v>459.25804999999997</v>
      </c>
      <c r="F12" s="72"/>
    </row>
    <row r="13" spans="1:6" ht="12.75">
      <c r="A13" s="72" t="s">
        <v>202</v>
      </c>
      <c r="B13" s="72"/>
      <c r="C13" s="72"/>
      <c r="D13" s="72"/>
      <c r="E13" s="73">
        <f>+E12*E2</f>
        <v>27555.482999999997</v>
      </c>
      <c r="F13" s="72"/>
    </row>
    <row r="14" spans="1:6" ht="12.75">
      <c r="A14" s="72" t="s">
        <v>203</v>
      </c>
      <c r="B14" s="72"/>
      <c r="C14" s="72"/>
      <c r="D14" s="72"/>
      <c r="E14" s="73">
        <f>+'FLUJO  COSTOS DE PRESTACION'!D7*3/12</f>
        <v>4233.75</v>
      </c>
      <c r="F14" s="72"/>
    </row>
    <row r="15" spans="1:6" ht="13.5" thickBot="1">
      <c r="A15" s="127" t="s">
        <v>204</v>
      </c>
      <c r="B15" s="127"/>
      <c r="C15" s="127"/>
      <c r="D15" s="72"/>
      <c r="E15" s="229">
        <f>+E14+E13</f>
        <v>31789.232999999997</v>
      </c>
      <c r="F15" s="72"/>
    </row>
    <row r="16" spans="1:6" ht="13.5" thickTop="1">
      <c r="A16" s="72"/>
      <c r="B16" s="72"/>
      <c r="C16" s="72"/>
      <c r="D16" s="72"/>
      <c r="E16" s="73"/>
      <c r="F16" s="72"/>
    </row>
    <row r="17" spans="1:6" ht="12.75">
      <c r="A17" s="127" t="s">
        <v>205</v>
      </c>
      <c r="B17" s="127"/>
      <c r="C17" s="127"/>
      <c r="D17" s="127"/>
      <c r="E17" s="73"/>
      <c r="F17" s="72"/>
    </row>
    <row r="18" spans="1:6" ht="12.75">
      <c r="A18" s="72" t="s">
        <v>206</v>
      </c>
      <c r="B18" s="72"/>
      <c r="C18" s="72"/>
      <c r="D18" s="72"/>
      <c r="E18" s="73">
        <f>+'FLUJO  COSTOS DE PRESTACION'!D22+'FLUJO  COSTOS DE PRESTACION'!D26+'FLUJO  COSTOS DE PRESTACION'!D28</f>
        <v>59134.8</v>
      </c>
      <c r="F18" s="72"/>
    </row>
    <row r="19" spans="1:6" ht="12.75">
      <c r="A19" s="72" t="s">
        <v>207</v>
      </c>
      <c r="B19" s="72"/>
      <c r="C19" s="72"/>
      <c r="D19" s="72"/>
      <c r="E19" s="73">
        <f>+'FLUJO  COSTOS DE PRESTACION'!D30</f>
        <v>133482</v>
      </c>
      <c r="F19" s="72"/>
    </row>
    <row r="20" spans="1:6" ht="12.75">
      <c r="A20" s="72" t="s">
        <v>534</v>
      </c>
      <c r="B20" s="72"/>
      <c r="C20" s="72"/>
      <c r="D20" s="72"/>
      <c r="E20" s="73">
        <f>+'PUBLICIDAD ANTES-POST'!F24</f>
        <v>8178</v>
      </c>
      <c r="F20" s="72"/>
    </row>
    <row r="21" spans="1:6" ht="13.5" thickBot="1">
      <c r="A21" s="127" t="s">
        <v>200</v>
      </c>
      <c r="B21" s="127"/>
      <c r="C21" s="72"/>
      <c r="D21" s="72"/>
      <c r="E21" s="229">
        <f>+E19+E18+E20</f>
        <v>200794.8</v>
      </c>
      <c r="F21" s="72"/>
    </row>
    <row r="22" spans="1:6" ht="13.5" thickTop="1">
      <c r="A22" s="72" t="s">
        <v>201</v>
      </c>
      <c r="B22" s="72"/>
      <c r="C22" s="72"/>
      <c r="D22" s="72"/>
      <c r="E22" s="73">
        <f>+E21/360</f>
        <v>557.7633333333333</v>
      </c>
      <c r="F22" s="72"/>
    </row>
    <row r="23" spans="1:6" ht="12.75">
      <c r="A23" s="127" t="s">
        <v>208</v>
      </c>
      <c r="B23" s="127"/>
      <c r="C23" s="127"/>
      <c r="D23" s="72"/>
      <c r="E23" s="74">
        <f>+E22*E2</f>
        <v>33465.8</v>
      </c>
      <c r="F23" s="72"/>
    </row>
    <row r="24" spans="1:6" ht="12.75">
      <c r="A24" s="72"/>
      <c r="B24" s="72"/>
      <c r="C24" s="72"/>
      <c r="D24" s="72"/>
      <c r="E24" s="73"/>
      <c r="F24" s="72"/>
    </row>
    <row r="25" spans="1:6" ht="13.5" thickBot="1">
      <c r="A25" s="127" t="s">
        <v>209</v>
      </c>
      <c r="B25" s="127"/>
      <c r="C25" s="127"/>
      <c r="D25" s="72"/>
      <c r="E25" s="229">
        <f>+E23+E15</f>
        <v>65255.032999999996</v>
      </c>
      <c r="F25" s="72"/>
    </row>
    <row r="26" spans="1:6" ht="13.5" thickTop="1">
      <c r="A26" s="72"/>
      <c r="B26" s="72"/>
      <c r="C26" s="72"/>
      <c r="D26" s="72"/>
      <c r="E26" s="73"/>
      <c r="F26" s="72"/>
    </row>
    <row r="27" spans="1:6" ht="12.75">
      <c r="A27" s="72"/>
      <c r="B27" s="72"/>
      <c r="C27" s="72"/>
      <c r="D27" s="72"/>
      <c r="E27" s="73"/>
      <c r="F27" s="72"/>
    </row>
    <row r="28" spans="1:6" ht="12.75">
      <c r="A28" s="865" t="s">
        <v>210</v>
      </c>
      <c r="B28" s="865"/>
      <c r="C28" s="865"/>
      <c r="D28" s="865"/>
      <c r="E28" s="865"/>
      <c r="F28" s="72"/>
    </row>
    <row r="29" spans="1:5" ht="12.75">
      <c r="A29" s="72"/>
      <c r="B29" s="72"/>
      <c r="C29" s="72"/>
      <c r="D29" s="72"/>
      <c r="E29" s="72"/>
    </row>
    <row r="30" spans="1:5" ht="12.75">
      <c r="A30" s="72"/>
      <c r="B30" s="72"/>
      <c r="C30" s="72"/>
      <c r="D30" s="72"/>
      <c r="E30" s="866" t="s">
        <v>192</v>
      </c>
    </row>
    <row r="31" spans="1:5" ht="12.75">
      <c r="A31" s="127" t="s">
        <v>211</v>
      </c>
      <c r="B31" s="127"/>
      <c r="C31" s="72"/>
      <c r="D31" s="72"/>
      <c r="E31" s="868"/>
    </row>
    <row r="32" spans="1:5" ht="12.75">
      <c r="A32" s="72" t="s">
        <v>194</v>
      </c>
      <c r="B32" s="72"/>
      <c r="C32" s="72"/>
      <c r="D32" s="72"/>
      <c r="E32" s="73">
        <f>+E5</f>
        <v>3000</v>
      </c>
    </row>
    <row r="33" spans="1:5" ht="12.75">
      <c r="A33" s="72" t="s">
        <v>195</v>
      </c>
      <c r="B33" s="72"/>
      <c r="C33" s="72"/>
      <c r="D33" s="72"/>
      <c r="E33" s="73">
        <f>+E6</f>
        <v>9417</v>
      </c>
    </row>
    <row r="34" spans="1:5" ht="12.75">
      <c r="A34" s="72" t="s">
        <v>196</v>
      </c>
      <c r="B34" s="72"/>
      <c r="C34" s="72"/>
      <c r="D34" s="72"/>
      <c r="E34" s="73">
        <f>+E7</f>
        <v>21742.440000000002</v>
      </c>
    </row>
    <row r="35" spans="1:5" ht="12.75">
      <c r="A35" s="72" t="s">
        <v>197</v>
      </c>
      <c r="B35" s="72"/>
      <c r="C35" s="72"/>
      <c r="D35" s="72"/>
      <c r="E35" s="73">
        <f>+E8</f>
        <v>91523.45999999999</v>
      </c>
    </row>
    <row r="36" spans="1:5" ht="12.75">
      <c r="A36" s="72" t="s">
        <v>185</v>
      </c>
      <c r="B36" s="72"/>
      <c r="C36" s="72"/>
      <c r="D36" s="72"/>
      <c r="E36" s="73">
        <f>+'FLUJO  COSTOS DE PRESTACION'!D39</f>
        <v>0</v>
      </c>
    </row>
    <row r="37" spans="1:5" ht="12.75">
      <c r="A37" s="72" t="s">
        <v>212</v>
      </c>
      <c r="B37" s="72"/>
      <c r="C37" s="72"/>
      <c r="D37" s="72"/>
      <c r="E37" s="73">
        <f>+'FLUJO  COSTOS DE PRESTACION'!D43+'FLUJO  COSTOS DE PRESTACION'!D44</f>
        <v>0</v>
      </c>
    </row>
    <row r="38" spans="1:5" ht="12.75">
      <c r="A38" s="97" t="s">
        <v>213</v>
      </c>
      <c r="B38" s="97"/>
      <c r="C38" s="77"/>
      <c r="D38" s="77"/>
      <c r="E38" s="78">
        <f>SUM(E32:E37)</f>
        <v>125682.9</v>
      </c>
    </row>
    <row r="39" spans="1:5" ht="12.75">
      <c r="A39" s="127"/>
      <c r="B39" s="72"/>
      <c r="C39" s="72"/>
      <c r="D39" s="72"/>
      <c r="E39" s="74"/>
    </row>
    <row r="40" spans="1:5" ht="12.75">
      <c r="A40" s="127" t="s">
        <v>214</v>
      </c>
      <c r="B40" s="72"/>
      <c r="C40" s="72"/>
      <c r="D40" s="72"/>
      <c r="E40" s="73"/>
    </row>
    <row r="41" spans="1:5" ht="12.75">
      <c r="A41" s="72" t="s">
        <v>198</v>
      </c>
      <c r="B41" s="72"/>
      <c r="C41" s="72"/>
      <c r="D41" s="72"/>
      <c r="E41" s="73">
        <f>+E9</f>
        <v>30000</v>
      </c>
    </row>
    <row r="42" spans="1:5" ht="12.75">
      <c r="A42" s="72" t="s">
        <v>215</v>
      </c>
      <c r="B42" s="72"/>
      <c r="C42" s="72"/>
      <c r="D42" s="72"/>
      <c r="E42" s="73">
        <f>+E10</f>
        <v>9649.998000000005</v>
      </c>
    </row>
    <row r="43" spans="1:5" ht="12.75">
      <c r="A43" s="72" t="s">
        <v>216</v>
      </c>
      <c r="B43" s="72"/>
      <c r="C43" s="72"/>
      <c r="D43" s="72"/>
      <c r="E43" s="73">
        <f>+'FLUJO  COSTOS DE PRESTACION'!D16+'FLUJO  COSTOS DE PRESTACION'!D24</f>
        <v>53954.376000000004</v>
      </c>
    </row>
    <row r="44" spans="1:5" ht="12.75">
      <c r="A44" s="72" t="s">
        <v>217</v>
      </c>
      <c r="B44" s="72"/>
      <c r="C44" s="72"/>
      <c r="D44" s="72"/>
      <c r="E44" s="73">
        <f>+'FLUJO  COSTOS DE PRESTACION'!D20+'FLUJO  COSTOS DE PRESTACION'!D25</f>
        <v>10730.275</v>
      </c>
    </row>
    <row r="45" spans="1:5" ht="12.75">
      <c r="A45" s="72" t="s">
        <v>218</v>
      </c>
      <c r="B45" s="72"/>
      <c r="C45" s="72"/>
      <c r="D45" s="72"/>
      <c r="E45" s="73" t="e">
        <f>+#REF!</f>
        <v>#REF!</v>
      </c>
    </row>
    <row r="46" spans="1:5" ht="12.75">
      <c r="A46" s="72" t="s">
        <v>219</v>
      </c>
      <c r="B46" s="72"/>
      <c r="C46" s="72"/>
      <c r="D46" s="72"/>
      <c r="E46" s="73">
        <f>+E18</f>
        <v>59134.8</v>
      </c>
    </row>
    <row r="47" spans="1:5" ht="12.75">
      <c r="A47" s="72" t="s">
        <v>220</v>
      </c>
      <c r="B47" s="72"/>
      <c r="C47" s="72"/>
      <c r="D47" s="72"/>
      <c r="E47" s="73">
        <f>+E19</f>
        <v>133482</v>
      </c>
    </row>
    <row r="48" spans="1:5" ht="12.75">
      <c r="A48" s="97" t="s">
        <v>221</v>
      </c>
      <c r="B48" s="97"/>
      <c r="C48" s="77"/>
      <c r="D48" s="77"/>
      <c r="E48" s="78" t="e">
        <f>SUM(E41:E47)</f>
        <v>#REF!</v>
      </c>
    </row>
    <row r="49" spans="1:5" ht="12.75">
      <c r="A49" s="72"/>
      <c r="B49" s="72"/>
      <c r="C49" s="72"/>
      <c r="D49" s="72"/>
      <c r="E49" s="73"/>
    </row>
    <row r="50" spans="1:5" ht="12.75">
      <c r="A50" s="127"/>
      <c r="B50" s="72"/>
      <c r="C50" s="72"/>
      <c r="D50" s="72"/>
      <c r="E50" s="74"/>
    </row>
    <row r="51" spans="1:5" ht="12.75">
      <c r="A51" s="72"/>
      <c r="B51" s="72"/>
      <c r="C51" s="72"/>
      <c r="D51" s="72"/>
      <c r="E51" s="73"/>
    </row>
    <row r="52" spans="1:5" ht="12.75">
      <c r="A52" s="127"/>
      <c r="B52" s="72"/>
      <c r="C52" s="72"/>
      <c r="D52" s="72"/>
      <c r="E52" s="74"/>
    </row>
  </sheetData>
  <sheetProtection/>
  <mergeCells count="4">
    <mergeCell ref="A1:E1"/>
    <mergeCell ref="E3:E4"/>
    <mergeCell ref="A28:E28"/>
    <mergeCell ref="E30:E31"/>
  </mergeCells>
  <printOptions/>
  <pageMargins left="0.79" right="0.79" top="0.98" bottom="0.9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O42"/>
  <sheetViews>
    <sheetView showGridLines="0" showZeros="0" zoomScale="80" zoomScaleNormal="80" zoomScalePageLayoutView="0" workbookViewId="0" topLeftCell="A2">
      <selection activeCell="B35" sqref="B35:M36"/>
    </sheetView>
  </sheetViews>
  <sheetFormatPr defaultColWidth="11.421875" defaultRowHeight="12.75"/>
  <cols>
    <col min="1" max="1" width="8.7109375" style="0" customWidth="1"/>
    <col min="2" max="2" width="37.8515625" style="0" bestFit="1" customWidth="1"/>
    <col min="3" max="3" width="15.7109375" style="0" hidden="1" customWidth="1"/>
    <col min="4" max="4" width="11.8515625" style="0" customWidth="1"/>
    <col min="5" max="5" width="12.140625" style="0" customWidth="1"/>
    <col min="6" max="6" width="11.57421875" style="0" customWidth="1"/>
    <col min="7" max="7" width="11.140625" style="0" customWidth="1"/>
    <col min="8" max="8" width="12.28125" style="0" customWidth="1"/>
    <col min="9" max="9" width="11.00390625" style="0" customWidth="1"/>
    <col min="10" max="12" width="10.8515625" style="0" customWidth="1"/>
    <col min="13" max="13" width="11.00390625" style="0" customWidth="1"/>
  </cols>
  <sheetData>
    <row r="1" spans="2:13" s="73" customFormat="1" ht="22.5">
      <c r="B1" s="869" t="s">
        <v>223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</row>
    <row r="2" s="73" customFormat="1" ht="12.75">
      <c r="B2" s="79"/>
    </row>
    <row r="3" spans="2:13" s="73" customFormat="1" ht="18">
      <c r="B3" s="789" t="s">
        <v>345</v>
      </c>
      <c r="C3" s="790" t="s">
        <v>106</v>
      </c>
      <c r="D3" s="791">
        <v>2011</v>
      </c>
      <c r="E3" s="791">
        <v>2012</v>
      </c>
      <c r="F3" s="791">
        <v>2013</v>
      </c>
      <c r="G3" s="791">
        <v>2014</v>
      </c>
      <c r="H3" s="791">
        <v>2015</v>
      </c>
      <c r="I3" s="791">
        <v>2016</v>
      </c>
      <c r="J3" s="791">
        <v>2017</v>
      </c>
      <c r="K3" s="791">
        <v>2018</v>
      </c>
      <c r="L3" s="791">
        <v>2019</v>
      </c>
      <c r="M3" s="791">
        <v>2020</v>
      </c>
    </row>
    <row r="4" spans="2:13" s="73" customFormat="1" ht="12.75">
      <c r="B4" s="792"/>
      <c r="C4" s="793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2:13" s="69" customFormat="1" ht="17.25" customHeight="1">
      <c r="B5" s="795" t="s">
        <v>225</v>
      </c>
      <c r="C5" s="795">
        <f>SUM(C6:C20)</f>
        <v>0</v>
      </c>
      <c r="D5" s="795">
        <f>SUM(D6:D20)</f>
        <v>196083.629</v>
      </c>
      <c r="E5" s="795">
        <f aca="true" t="shared" si="0" ref="E5:M5">SUM(E6:E20)</f>
        <v>198730.60856000002</v>
      </c>
      <c r="F5" s="795">
        <f t="shared" si="0"/>
        <v>201430.52771120003</v>
      </c>
      <c r="G5" s="795">
        <f t="shared" si="0"/>
        <v>204184.44524542402</v>
      </c>
      <c r="H5" s="795">
        <f t="shared" si="0"/>
        <v>206993.4411303325</v>
      </c>
      <c r="I5" s="795">
        <f t="shared" si="0"/>
        <v>209858.61693293919</v>
      </c>
      <c r="J5" s="795">
        <f t="shared" si="0"/>
        <v>202850.82125159795</v>
      </c>
      <c r="K5" s="795">
        <f t="shared" si="0"/>
        <v>205831.75015662995</v>
      </c>
      <c r="L5" s="795">
        <f t="shared" si="0"/>
        <v>208872.29763976252</v>
      </c>
      <c r="M5" s="795">
        <f t="shared" si="0"/>
        <v>211973.65607255776</v>
      </c>
    </row>
    <row r="6" spans="2:13" s="73" customFormat="1" ht="12.75">
      <c r="B6" s="320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2:13" s="73" customFormat="1" ht="12.75">
      <c r="B7" s="214" t="s">
        <v>227</v>
      </c>
      <c r="C7" s="216"/>
      <c r="D7" s="321">
        <f>+'COSTOS DE PRESTACION'!E6*12</f>
        <v>16935</v>
      </c>
      <c r="E7" s="321">
        <f>+D7*1.02</f>
        <v>17273.7</v>
      </c>
      <c r="F7" s="321">
        <f>+E7*1.02</f>
        <v>17619.174000000003</v>
      </c>
      <c r="G7" s="321">
        <f aca="true" t="shared" si="1" ref="E7:I8">+F7*1.02</f>
        <v>17971.557480000003</v>
      </c>
      <c r="H7" s="321">
        <f t="shared" si="1"/>
        <v>18330.988629600004</v>
      </c>
      <c r="I7" s="321">
        <f t="shared" si="1"/>
        <v>18697.608402192003</v>
      </c>
      <c r="J7" s="321">
        <f aca="true" t="shared" si="2" ref="J7:J15">+I7*1.02</f>
        <v>19071.560570235844</v>
      </c>
      <c r="K7" s="321">
        <f aca="true" t="shared" si="3" ref="K7:K15">+J7*1.02</f>
        <v>19452.99178164056</v>
      </c>
      <c r="L7" s="321">
        <f aca="true" t="shared" si="4" ref="L7:L15">+K7*1.02</f>
        <v>19842.051617273373</v>
      </c>
      <c r="M7" s="321">
        <f aca="true" t="shared" si="5" ref="M7:M15">+L7*1.02</f>
        <v>20238.89264961884</v>
      </c>
    </row>
    <row r="8" spans="2:13" s="73" customFormat="1" ht="12.75">
      <c r="B8" s="214" t="s">
        <v>228</v>
      </c>
      <c r="C8" s="216"/>
      <c r="D8" s="321">
        <f>+'COSTOS DE PRESTACION'!E8*12</f>
        <v>3000</v>
      </c>
      <c r="E8" s="321">
        <f t="shared" si="1"/>
        <v>3060</v>
      </c>
      <c r="F8" s="321">
        <f t="shared" si="1"/>
        <v>3121.2000000000003</v>
      </c>
      <c r="G8" s="321">
        <f t="shared" si="1"/>
        <v>3183.6240000000003</v>
      </c>
      <c r="H8" s="321">
        <f t="shared" si="1"/>
        <v>3247.2964800000004</v>
      </c>
      <c r="I8" s="321">
        <f t="shared" si="1"/>
        <v>3312.2424096000004</v>
      </c>
      <c r="J8" s="321">
        <f t="shared" si="2"/>
        <v>3378.4872577920005</v>
      </c>
      <c r="K8" s="321">
        <f t="shared" si="3"/>
        <v>3446.0570029478404</v>
      </c>
      <c r="L8" s="321">
        <f t="shared" si="4"/>
        <v>3514.9781430067974</v>
      </c>
      <c r="M8" s="321">
        <f t="shared" si="5"/>
        <v>3585.2777058669335</v>
      </c>
    </row>
    <row r="9" spans="2:13" s="73" customFormat="1" ht="12.75">
      <c r="B9" s="214" t="s">
        <v>229</v>
      </c>
      <c r="C9" s="216"/>
      <c r="D9" s="321">
        <f>+'COSTOS DE PRESTACION'!E21*12</f>
        <v>48950.64</v>
      </c>
      <c r="E9" s="321">
        <f>+D9*1.02</f>
        <v>49929.6528</v>
      </c>
      <c r="F9" s="321">
        <f>+E9*1.02</f>
        <v>50928.245856</v>
      </c>
      <c r="G9" s="321">
        <f>+F9*1.02</f>
        <v>51946.81077312</v>
      </c>
      <c r="H9" s="321">
        <f>+G9*1.02</f>
        <v>52985.7469885824</v>
      </c>
      <c r="I9" s="321">
        <f>+H9*1.02</f>
        <v>54045.46192835405</v>
      </c>
      <c r="J9" s="321">
        <f t="shared" si="2"/>
        <v>55126.37116692113</v>
      </c>
      <c r="K9" s="321">
        <f t="shared" si="3"/>
        <v>56228.89859025956</v>
      </c>
      <c r="L9" s="321">
        <f t="shared" si="4"/>
        <v>57353.47656206475</v>
      </c>
      <c r="M9" s="321">
        <f t="shared" si="5"/>
        <v>58500.546093306046</v>
      </c>
    </row>
    <row r="10" spans="2:13" s="73" customFormat="1" ht="12.75">
      <c r="B10" s="214" t="s">
        <v>230</v>
      </c>
      <c r="C10" s="216"/>
      <c r="D10" s="321"/>
      <c r="E10" s="321">
        <f aca="true" t="shared" si="6" ref="E10:I15">+D10*1.02</f>
        <v>0</v>
      </c>
      <c r="F10" s="321">
        <f t="shared" si="6"/>
        <v>0</v>
      </c>
      <c r="G10" s="321">
        <f t="shared" si="6"/>
        <v>0</v>
      </c>
      <c r="H10" s="321">
        <f t="shared" si="6"/>
        <v>0</v>
      </c>
      <c r="I10" s="321">
        <f t="shared" si="6"/>
        <v>0</v>
      </c>
      <c r="J10" s="321">
        <f t="shared" si="2"/>
        <v>0</v>
      </c>
      <c r="K10" s="321">
        <f t="shared" si="3"/>
        <v>0</v>
      </c>
      <c r="L10" s="321">
        <f t="shared" si="4"/>
        <v>0</v>
      </c>
      <c r="M10" s="321">
        <f t="shared" si="5"/>
        <v>0</v>
      </c>
    </row>
    <row r="11" spans="2:13" s="73" customFormat="1" ht="12.75">
      <c r="B11" s="214" t="s">
        <v>231</v>
      </c>
      <c r="C11" s="216"/>
      <c r="D11" s="321">
        <f>+'COSTOS DE PRESTACION'!E23*12</f>
        <v>5148</v>
      </c>
      <c r="E11" s="321">
        <f t="shared" si="6"/>
        <v>5250.96</v>
      </c>
      <c r="F11" s="321">
        <f t="shared" si="6"/>
        <v>5355.9792</v>
      </c>
      <c r="G11" s="321">
        <f t="shared" si="6"/>
        <v>5463.098784</v>
      </c>
      <c r="H11" s="321">
        <f t="shared" si="6"/>
        <v>5572.36075968</v>
      </c>
      <c r="I11" s="321">
        <f t="shared" si="6"/>
        <v>5683.8079748736</v>
      </c>
      <c r="J11" s="321">
        <f t="shared" si="2"/>
        <v>5797.484134371072</v>
      </c>
      <c r="K11" s="321">
        <f t="shared" si="3"/>
        <v>5913.433817058494</v>
      </c>
      <c r="L11" s="321">
        <f t="shared" si="4"/>
        <v>6031.7024933996645</v>
      </c>
      <c r="M11" s="321">
        <f t="shared" si="5"/>
        <v>6152.336543267658</v>
      </c>
    </row>
    <row r="12" spans="2:13" s="73" customFormat="1" ht="12.75">
      <c r="B12" s="320" t="s">
        <v>362</v>
      </c>
      <c r="C12" s="216"/>
      <c r="D12" s="216"/>
      <c r="E12" s="216">
        <f t="shared" si="6"/>
        <v>0</v>
      </c>
      <c r="F12" s="216">
        <f t="shared" si="6"/>
        <v>0</v>
      </c>
      <c r="G12" s="216">
        <f t="shared" si="6"/>
        <v>0</v>
      </c>
      <c r="H12" s="216">
        <f t="shared" si="6"/>
        <v>0</v>
      </c>
      <c r="I12" s="216">
        <f t="shared" si="6"/>
        <v>0</v>
      </c>
      <c r="J12" s="216">
        <f t="shared" si="2"/>
        <v>0</v>
      </c>
      <c r="K12" s="216">
        <f t="shared" si="3"/>
        <v>0</v>
      </c>
      <c r="L12" s="216">
        <f t="shared" si="4"/>
        <v>0</v>
      </c>
      <c r="M12" s="216">
        <f t="shared" si="5"/>
        <v>0</v>
      </c>
    </row>
    <row r="13" spans="2:13" s="73" customFormat="1" ht="12.75">
      <c r="B13" s="214" t="s">
        <v>232</v>
      </c>
      <c r="C13" s="216"/>
      <c r="D13" s="321">
        <f>+'COSTOS DE PRESTACION'!E35*12</f>
        <v>9417</v>
      </c>
      <c r="E13" s="321">
        <f t="shared" si="6"/>
        <v>9605.34</v>
      </c>
      <c r="F13" s="321">
        <f t="shared" si="6"/>
        <v>9797.4468</v>
      </c>
      <c r="G13" s="321">
        <f t="shared" si="6"/>
        <v>9993.395736</v>
      </c>
      <c r="H13" s="321">
        <f t="shared" si="6"/>
        <v>10193.26365072</v>
      </c>
      <c r="I13" s="321">
        <f t="shared" si="6"/>
        <v>10397.1289237344</v>
      </c>
      <c r="J13" s="321">
        <f t="shared" si="2"/>
        <v>10605.07150220909</v>
      </c>
      <c r="K13" s="321">
        <f t="shared" si="3"/>
        <v>10817.172932253272</v>
      </c>
      <c r="L13" s="321">
        <f t="shared" si="4"/>
        <v>11033.516390898338</v>
      </c>
      <c r="M13" s="321">
        <f t="shared" si="5"/>
        <v>11254.186718716304</v>
      </c>
    </row>
    <row r="14" spans="2:13" s="73" customFormat="1" ht="12.75">
      <c r="B14" s="214" t="s">
        <v>233</v>
      </c>
      <c r="C14" s="216"/>
      <c r="D14" s="321">
        <f>+'COSTOS DE PRESTACION'!E40*12</f>
        <v>16185.899999999998</v>
      </c>
      <c r="E14" s="321">
        <f t="shared" si="6"/>
        <v>16509.618</v>
      </c>
      <c r="F14" s="321">
        <f t="shared" si="6"/>
        <v>16839.81036</v>
      </c>
      <c r="G14" s="321">
        <f t="shared" si="6"/>
        <v>17176.6065672</v>
      </c>
      <c r="H14" s="321">
        <f t="shared" si="6"/>
        <v>17520.138698544</v>
      </c>
      <c r="I14" s="321">
        <f t="shared" si="6"/>
        <v>17870.54147251488</v>
      </c>
      <c r="J14" s="321">
        <f t="shared" si="2"/>
        <v>18227.95230196518</v>
      </c>
      <c r="K14" s="321">
        <f t="shared" si="3"/>
        <v>18592.511348004482</v>
      </c>
      <c r="L14" s="321">
        <f t="shared" si="4"/>
        <v>18964.361574964572</v>
      </c>
      <c r="M14" s="321">
        <f t="shared" si="5"/>
        <v>19343.648806463865</v>
      </c>
    </row>
    <row r="15" spans="2:13" s="73" customFormat="1" ht="12.75">
      <c r="B15" s="320" t="s">
        <v>234</v>
      </c>
      <c r="C15" s="216"/>
      <c r="D15" s="216"/>
      <c r="E15" s="216">
        <f t="shared" si="6"/>
        <v>0</v>
      </c>
      <c r="F15" s="216">
        <f t="shared" si="6"/>
        <v>0</v>
      </c>
      <c r="G15" s="216">
        <f t="shared" si="6"/>
        <v>0</v>
      </c>
      <c r="H15" s="216">
        <f t="shared" si="6"/>
        <v>0</v>
      </c>
      <c r="I15" s="216">
        <f t="shared" si="6"/>
        <v>0</v>
      </c>
      <c r="J15" s="216">
        <f t="shared" si="2"/>
        <v>0</v>
      </c>
      <c r="K15" s="216">
        <f t="shared" si="3"/>
        <v>0</v>
      </c>
      <c r="L15" s="216">
        <f t="shared" si="4"/>
        <v>0</v>
      </c>
      <c r="M15" s="216">
        <f t="shared" si="5"/>
        <v>0</v>
      </c>
    </row>
    <row r="16" spans="2:13" s="73" customFormat="1" ht="12.75">
      <c r="B16" s="214" t="s">
        <v>240</v>
      </c>
      <c r="C16" s="216"/>
      <c r="D16" s="321">
        <f>+'COSTOS DE PRESTACION'!E49*12</f>
        <v>53804.376000000004</v>
      </c>
      <c r="E16" s="321">
        <f>+D16</f>
        <v>53804.376000000004</v>
      </c>
      <c r="F16" s="321">
        <f>+E16</f>
        <v>53804.376000000004</v>
      </c>
      <c r="G16" s="321">
        <f>+F16</f>
        <v>53804.376000000004</v>
      </c>
      <c r="H16" s="321">
        <f aca="true" t="shared" si="7" ref="H16:M16">+G16</f>
        <v>53804.376000000004</v>
      </c>
      <c r="I16" s="321">
        <f t="shared" si="7"/>
        <v>53804.376000000004</v>
      </c>
      <c r="J16" s="321">
        <f t="shared" si="7"/>
        <v>53804.376000000004</v>
      </c>
      <c r="K16" s="321">
        <f t="shared" si="7"/>
        <v>53804.376000000004</v>
      </c>
      <c r="L16" s="321">
        <f t="shared" si="7"/>
        <v>53804.376000000004</v>
      </c>
      <c r="M16" s="321">
        <f t="shared" si="7"/>
        <v>53804.376000000004</v>
      </c>
    </row>
    <row r="17" spans="2:13" s="73" customFormat="1" ht="12.75">
      <c r="B17" s="214" t="s">
        <v>241</v>
      </c>
      <c r="C17" s="216"/>
      <c r="D17" s="321">
        <f>+'COSTOS DE PRESTACION'!E55*12</f>
        <v>21742.440000000002</v>
      </c>
      <c r="E17" s="321">
        <f aca="true" t="shared" si="8" ref="E17:I19">+D17*1.02</f>
        <v>22177.288800000002</v>
      </c>
      <c r="F17" s="321">
        <f t="shared" si="8"/>
        <v>22620.834576</v>
      </c>
      <c r="G17" s="321">
        <f t="shared" si="8"/>
        <v>23073.25126752</v>
      </c>
      <c r="H17" s="321">
        <f t="shared" si="8"/>
        <v>23534.716292870402</v>
      </c>
      <c r="I17" s="321">
        <f t="shared" si="8"/>
        <v>24005.410618727812</v>
      </c>
      <c r="J17" s="321">
        <f aca="true" t="shared" si="9" ref="J17:M19">+I17*1.02</f>
        <v>24485.51883110237</v>
      </c>
      <c r="K17" s="321">
        <f t="shared" si="9"/>
        <v>24975.229207724416</v>
      </c>
      <c r="L17" s="321">
        <f t="shared" si="9"/>
        <v>25474.733791878905</v>
      </c>
      <c r="M17" s="321">
        <f t="shared" si="9"/>
        <v>25984.228467716483</v>
      </c>
    </row>
    <row r="18" spans="2:13" s="73" customFormat="1" ht="12.75">
      <c r="B18" s="214" t="s">
        <v>235</v>
      </c>
      <c r="C18" s="216"/>
      <c r="D18" s="321">
        <f>+'COSTOS DE PRESTACION'!E60*12</f>
        <v>9649.998000000005</v>
      </c>
      <c r="E18" s="321">
        <f t="shared" si="8"/>
        <v>9842.997960000006</v>
      </c>
      <c r="F18" s="321">
        <f t="shared" si="8"/>
        <v>10039.857919200007</v>
      </c>
      <c r="G18" s="321">
        <f t="shared" si="8"/>
        <v>10240.655077584008</v>
      </c>
      <c r="H18" s="321">
        <f t="shared" si="8"/>
        <v>10445.468179135689</v>
      </c>
      <c r="I18" s="321">
        <f t="shared" si="8"/>
        <v>10654.377542718403</v>
      </c>
      <c r="J18" s="321">
        <f t="shared" si="9"/>
        <v>10867.465093572771</v>
      </c>
      <c r="K18" s="321">
        <f t="shared" si="9"/>
        <v>11084.814395444228</v>
      </c>
      <c r="L18" s="321">
        <f t="shared" si="9"/>
        <v>11306.510683353112</v>
      </c>
      <c r="M18" s="321">
        <f t="shared" si="9"/>
        <v>11532.640897020174</v>
      </c>
    </row>
    <row r="19" spans="2:13" s="73" customFormat="1" ht="12.75">
      <c r="B19" s="214" t="s">
        <v>236</v>
      </c>
      <c r="C19" s="216"/>
      <c r="D19" s="321">
        <f>+'COSTOS DE PRESTACION'!E65*12</f>
        <v>1320</v>
      </c>
      <c r="E19" s="321">
        <f t="shared" si="8"/>
        <v>1346.4</v>
      </c>
      <c r="F19" s="321">
        <f t="shared" si="8"/>
        <v>1373.3280000000002</v>
      </c>
      <c r="G19" s="321">
        <f t="shared" si="8"/>
        <v>1400.7945600000003</v>
      </c>
      <c r="H19" s="321">
        <f t="shared" si="8"/>
        <v>1428.8104512000002</v>
      </c>
      <c r="I19" s="321">
        <f t="shared" si="8"/>
        <v>1457.3866602240003</v>
      </c>
      <c r="J19" s="321">
        <f t="shared" si="9"/>
        <v>1486.5343934284804</v>
      </c>
      <c r="K19" s="321">
        <f t="shared" si="9"/>
        <v>1516.26508129705</v>
      </c>
      <c r="L19" s="321">
        <f t="shared" si="9"/>
        <v>1546.590382922991</v>
      </c>
      <c r="M19" s="321">
        <f t="shared" si="9"/>
        <v>1577.5221905814508</v>
      </c>
    </row>
    <row r="20" spans="2:13" s="73" customFormat="1" ht="12.75">
      <c r="B20" s="214" t="s">
        <v>237</v>
      </c>
      <c r="C20" s="216"/>
      <c r="D20" s="658">
        <f>+'COSTOS DE PRESTACION'!E72*12</f>
        <v>9930.275</v>
      </c>
      <c r="E20" s="658">
        <f>+D20</f>
        <v>9930.275</v>
      </c>
      <c r="F20" s="658">
        <f>+E20</f>
        <v>9930.275</v>
      </c>
      <c r="G20" s="658">
        <f>+F20</f>
        <v>9930.275</v>
      </c>
      <c r="H20" s="658">
        <f>+G20</f>
        <v>9930.275</v>
      </c>
      <c r="I20" s="658">
        <f>H20</f>
        <v>9930.275</v>
      </c>
      <c r="J20" s="658"/>
      <c r="K20" s="658"/>
      <c r="L20" s="658"/>
      <c r="M20" s="658"/>
    </row>
    <row r="21" spans="2:13" s="69" customFormat="1" ht="15" customHeight="1" thickBot="1">
      <c r="B21" s="787" t="s">
        <v>242</v>
      </c>
      <c r="C21" s="787">
        <f aca="true" t="shared" si="10" ref="C21:I21">SUM(C22:C28)</f>
        <v>0</v>
      </c>
      <c r="D21" s="787">
        <f>SUM(D22:D28)</f>
        <v>60084.8</v>
      </c>
      <c r="E21" s="787">
        <f t="shared" si="10"/>
        <v>61266.596000000005</v>
      </c>
      <c r="F21" s="787">
        <f t="shared" si="10"/>
        <v>64280.175800000005</v>
      </c>
      <c r="G21" s="787">
        <f t="shared" si="10"/>
        <v>67444.43459</v>
      </c>
      <c r="H21" s="787">
        <f t="shared" si="10"/>
        <v>70766.9063195</v>
      </c>
      <c r="I21" s="787">
        <f t="shared" si="10"/>
        <v>74255.50163547501</v>
      </c>
      <c r="J21" s="787">
        <f>SUM(J22:J28)</f>
        <v>77118.52671724877</v>
      </c>
      <c r="K21" s="787">
        <f>SUM(K22:K28)</f>
        <v>80964.70305311121</v>
      </c>
      <c r="L21" s="787">
        <f>SUM(L22:L28)</f>
        <v>85003.18820576678</v>
      </c>
      <c r="M21" s="787">
        <f>SUM(M22:M28)</f>
        <v>89243.59761605512</v>
      </c>
    </row>
    <row r="22" spans="2:13" s="71" customFormat="1" ht="15">
      <c r="B22" s="214" t="s">
        <v>243</v>
      </c>
      <c r="C22" s="216"/>
      <c r="D22" s="218">
        <f>+'COSTOS DE PRESTACION'!E83*12</f>
        <v>47329.8</v>
      </c>
      <c r="E22" s="218">
        <f>+D22*1.02</f>
        <v>48276.396</v>
      </c>
      <c r="F22" s="218">
        <f aca="true" t="shared" si="11" ref="F22:I23">+E22*1.05</f>
        <v>50690.215800000005</v>
      </c>
      <c r="G22" s="218">
        <f t="shared" si="11"/>
        <v>53224.726590000006</v>
      </c>
      <c r="H22" s="218">
        <f t="shared" si="11"/>
        <v>55885.96291950001</v>
      </c>
      <c r="I22" s="218">
        <f t="shared" si="11"/>
        <v>58680.26106547501</v>
      </c>
      <c r="J22" s="218">
        <f aca="true" t="shared" si="12" ref="J22:M23">+I22*1.05</f>
        <v>61614.27411874876</v>
      </c>
      <c r="K22" s="218">
        <f t="shared" si="12"/>
        <v>64694.987824686206</v>
      </c>
      <c r="L22" s="218">
        <f t="shared" si="12"/>
        <v>67929.73721592053</v>
      </c>
      <c r="M22" s="218">
        <f t="shared" si="12"/>
        <v>71326.22407671655</v>
      </c>
    </row>
    <row r="23" spans="2:13" s="71" customFormat="1" ht="15">
      <c r="B23" s="214" t="s">
        <v>230</v>
      </c>
      <c r="C23" s="216"/>
      <c r="D23" s="215">
        <f>+C23*1.05</f>
        <v>0</v>
      </c>
      <c r="E23" s="215">
        <f>+D23*1.02</f>
        <v>0</v>
      </c>
      <c r="F23" s="215">
        <f t="shared" si="11"/>
        <v>0</v>
      </c>
      <c r="G23" s="215">
        <f t="shared" si="11"/>
        <v>0</v>
      </c>
      <c r="H23" s="215">
        <f t="shared" si="11"/>
        <v>0</v>
      </c>
      <c r="I23" s="215">
        <f t="shared" si="11"/>
        <v>0</v>
      </c>
      <c r="J23" s="215">
        <f t="shared" si="12"/>
        <v>0</v>
      </c>
      <c r="K23" s="215">
        <f t="shared" si="12"/>
        <v>0</v>
      </c>
      <c r="L23" s="215">
        <f t="shared" si="12"/>
        <v>0</v>
      </c>
      <c r="M23" s="215">
        <f t="shared" si="12"/>
        <v>0</v>
      </c>
    </row>
    <row r="24" spans="2:13" s="71" customFormat="1" ht="15">
      <c r="B24" s="214" t="s">
        <v>244</v>
      </c>
      <c r="C24" s="216"/>
      <c r="D24" s="215">
        <f>+'COSTOS DE PRESTACION'!E86*12</f>
        <v>150</v>
      </c>
      <c r="E24" s="215">
        <f aca="true" t="shared" si="13" ref="E24:M24">+D24</f>
        <v>150</v>
      </c>
      <c r="F24" s="215">
        <f t="shared" si="13"/>
        <v>150</v>
      </c>
      <c r="G24" s="215">
        <f t="shared" si="13"/>
        <v>150</v>
      </c>
      <c r="H24" s="215">
        <f t="shared" si="13"/>
        <v>150</v>
      </c>
      <c r="I24" s="215">
        <f t="shared" si="13"/>
        <v>150</v>
      </c>
      <c r="J24" s="215">
        <f t="shared" si="13"/>
        <v>150</v>
      </c>
      <c r="K24" s="215">
        <f t="shared" si="13"/>
        <v>150</v>
      </c>
      <c r="L24" s="215">
        <f t="shared" si="13"/>
        <v>150</v>
      </c>
      <c r="M24" s="215">
        <f t="shared" si="13"/>
        <v>150</v>
      </c>
    </row>
    <row r="25" spans="2:13" s="71" customFormat="1" ht="15">
      <c r="B25" s="214" t="s">
        <v>237</v>
      </c>
      <c r="C25" s="216"/>
      <c r="D25" s="215">
        <f>+'COSTOS DE PRESTACION'!E91*12</f>
        <v>799.9999999999999</v>
      </c>
      <c r="E25" s="215">
        <f aca="true" t="shared" si="14" ref="E25:H26">+D25</f>
        <v>799.9999999999999</v>
      </c>
      <c r="F25" s="215">
        <f t="shared" si="14"/>
        <v>799.9999999999999</v>
      </c>
      <c r="G25" s="215">
        <f t="shared" si="14"/>
        <v>799.9999999999999</v>
      </c>
      <c r="H25" s="215">
        <f t="shared" si="14"/>
        <v>799.9999999999999</v>
      </c>
      <c r="I25" s="215">
        <f>+H25</f>
        <v>799.9999999999999</v>
      </c>
      <c r="J25" s="215"/>
      <c r="K25" s="215"/>
      <c r="L25" s="215"/>
      <c r="M25" s="215"/>
    </row>
    <row r="26" spans="2:13" s="71" customFormat="1" ht="15">
      <c r="B26" s="214" t="s">
        <v>245</v>
      </c>
      <c r="C26" s="216"/>
      <c r="D26" s="215">
        <f>+'COSTOS DE PRESTACION'!E94*12</f>
        <v>45</v>
      </c>
      <c r="E26" s="215">
        <f t="shared" si="14"/>
        <v>45</v>
      </c>
      <c r="F26" s="215">
        <f t="shared" si="14"/>
        <v>45</v>
      </c>
      <c r="G26" s="215">
        <f t="shared" si="14"/>
        <v>45</v>
      </c>
      <c r="H26" s="215">
        <f t="shared" si="14"/>
        <v>45</v>
      </c>
      <c r="I26" s="215">
        <f>+H26</f>
        <v>45</v>
      </c>
      <c r="J26" s="215">
        <f>+I26</f>
        <v>45</v>
      </c>
      <c r="K26" s="215">
        <f>+J26</f>
        <v>45</v>
      </c>
      <c r="L26" s="215">
        <f>+K26</f>
        <v>45</v>
      </c>
      <c r="M26" s="215">
        <f>+L26</f>
        <v>45</v>
      </c>
    </row>
    <row r="27" spans="2:13" s="71" customFormat="1" ht="15">
      <c r="B27" s="216" t="s">
        <v>246</v>
      </c>
      <c r="C27" s="216"/>
      <c r="D27" s="216">
        <f>+'COSTOS DE PRESTACION'!E96</f>
        <v>0</v>
      </c>
      <c r="E27" s="216">
        <f>+D27*1.02</f>
        <v>0</v>
      </c>
      <c r="F27" s="216">
        <f aca="true" t="shared" si="15" ref="F27:I28">+E27*1.05</f>
        <v>0</v>
      </c>
      <c r="G27" s="216">
        <f t="shared" si="15"/>
        <v>0</v>
      </c>
      <c r="H27" s="216">
        <f t="shared" si="15"/>
        <v>0</v>
      </c>
      <c r="I27" s="216">
        <f t="shared" si="15"/>
        <v>0</v>
      </c>
      <c r="J27" s="216">
        <f aca="true" t="shared" si="16" ref="J27:M28">+I27*1.05</f>
        <v>0</v>
      </c>
      <c r="K27" s="216">
        <f t="shared" si="16"/>
        <v>0</v>
      </c>
      <c r="L27" s="216">
        <f t="shared" si="16"/>
        <v>0</v>
      </c>
      <c r="M27" s="216">
        <f t="shared" si="16"/>
        <v>0</v>
      </c>
    </row>
    <row r="28" spans="2:13" s="71" customFormat="1" ht="15">
      <c r="B28" s="214" t="s">
        <v>238</v>
      </c>
      <c r="C28" s="216"/>
      <c r="D28" s="659">
        <f>+'COSTOS DE PRESTACION'!E102*12</f>
        <v>11760</v>
      </c>
      <c r="E28" s="659">
        <f>+D28*1.02</f>
        <v>11995.2</v>
      </c>
      <c r="F28" s="659">
        <f t="shared" si="15"/>
        <v>12594.960000000001</v>
      </c>
      <c r="G28" s="659">
        <f t="shared" si="15"/>
        <v>13224.708000000002</v>
      </c>
      <c r="H28" s="659">
        <f t="shared" si="15"/>
        <v>13885.943400000004</v>
      </c>
      <c r="I28" s="659">
        <f t="shared" si="15"/>
        <v>14580.240570000005</v>
      </c>
      <c r="J28" s="659">
        <f t="shared" si="16"/>
        <v>15309.252598500007</v>
      </c>
      <c r="K28" s="659">
        <f t="shared" si="16"/>
        <v>16074.715228425008</v>
      </c>
      <c r="L28" s="659">
        <f t="shared" si="16"/>
        <v>16878.45098984626</v>
      </c>
      <c r="M28" s="659">
        <f t="shared" si="16"/>
        <v>17722.373539338572</v>
      </c>
    </row>
    <row r="29" spans="2:13" s="69" customFormat="1" ht="16.5" customHeight="1" thickBot="1">
      <c r="B29" s="788" t="s">
        <v>247</v>
      </c>
      <c r="C29" s="788">
        <f aca="true" t="shared" si="17" ref="C29:M29">SUM(C30:C30)</f>
        <v>0</v>
      </c>
      <c r="D29" s="788">
        <f t="shared" si="17"/>
        <v>133482</v>
      </c>
      <c r="E29" s="788">
        <f t="shared" si="17"/>
        <v>136151.64</v>
      </c>
      <c r="F29" s="788">
        <f t="shared" si="17"/>
        <v>142959.222</v>
      </c>
      <c r="G29" s="788">
        <f t="shared" si="17"/>
        <v>150107.18310000002</v>
      </c>
      <c r="H29" s="788">
        <f t="shared" si="17"/>
        <v>157612.54225500004</v>
      </c>
      <c r="I29" s="788">
        <f t="shared" si="17"/>
        <v>165493.16936775006</v>
      </c>
      <c r="J29" s="788">
        <f t="shared" si="17"/>
        <v>173767.82783613756</v>
      </c>
      <c r="K29" s="788">
        <f t="shared" si="17"/>
        <v>182456.21922794444</v>
      </c>
      <c r="L29" s="788">
        <f t="shared" si="17"/>
        <v>191579.03018934166</v>
      </c>
      <c r="M29" s="788">
        <f t="shared" si="17"/>
        <v>201157.98169880876</v>
      </c>
    </row>
    <row r="30" spans="2:13" s="71" customFormat="1" ht="15">
      <c r="B30" s="216" t="s">
        <v>248</v>
      </c>
      <c r="C30" s="216"/>
      <c r="D30" s="218">
        <f>+'COSTOS DE PRESTACION'!E111*12</f>
        <v>133482</v>
      </c>
      <c r="E30" s="218">
        <f>+D30*1.02</f>
        <v>136151.64</v>
      </c>
      <c r="F30" s="218">
        <f aca="true" t="shared" si="18" ref="F30:M30">+E30*1.05</f>
        <v>142959.222</v>
      </c>
      <c r="G30" s="218">
        <f t="shared" si="18"/>
        <v>150107.18310000002</v>
      </c>
      <c r="H30" s="218">
        <f t="shared" si="18"/>
        <v>157612.54225500004</v>
      </c>
      <c r="I30" s="218">
        <f t="shared" si="18"/>
        <v>165493.16936775006</v>
      </c>
      <c r="J30" s="218">
        <f t="shared" si="18"/>
        <v>173767.82783613756</v>
      </c>
      <c r="K30" s="218">
        <f t="shared" si="18"/>
        <v>182456.21922794444</v>
      </c>
      <c r="L30" s="218">
        <f t="shared" si="18"/>
        <v>191579.03018934166</v>
      </c>
      <c r="M30" s="218">
        <f t="shared" si="18"/>
        <v>201157.98169880876</v>
      </c>
    </row>
    <row r="31" spans="2:13" ht="12.75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2:13" s="72" customFormat="1" ht="13.5" thickBot="1">
      <c r="B32" s="788" t="s">
        <v>249</v>
      </c>
      <c r="C32" s="788">
        <f aca="true" t="shared" si="19" ref="C32:I32">SUM(C33:C34)</f>
        <v>0</v>
      </c>
      <c r="D32" s="788">
        <f t="shared" si="19"/>
        <v>40370.01187680348</v>
      </c>
      <c r="E32" s="788">
        <f t="shared" si="19"/>
        <v>40370.01187680348</v>
      </c>
      <c r="F32" s="788">
        <f t="shared" si="19"/>
        <v>38477.66757007832</v>
      </c>
      <c r="G32" s="788">
        <f t="shared" si="19"/>
        <v>33431.41608547789</v>
      </c>
      <c r="H32" s="788">
        <f t="shared" si="19"/>
        <v>28385.164600877462</v>
      </c>
      <c r="I32" s="788">
        <f t="shared" si="19"/>
        <v>23338.913116277028</v>
      </c>
      <c r="J32" s="788">
        <f>SUM(J33:J34)</f>
        <v>18292.661631676598</v>
      </c>
      <c r="K32" s="788">
        <f>SUM(K33:K34)</f>
        <v>13246.410147076167</v>
      </c>
      <c r="L32" s="788">
        <f>SUM(L33:L34)</f>
        <v>8200.158662475733</v>
      </c>
      <c r="M32" s="788">
        <f>SUM(M33:M34)</f>
        <v>3153.907177875297</v>
      </c>
    </row>
    <row r="33" spans="2:15" s="72" customFormat="1" ht="12.75">
      <c r="B33" s="216"/>
      <c r="C33" s="216"/>
      <c r="D33" s="218">
        <f>'ESTADO DE PERDIDAS Y GANANCIAS'!C8</f>
        <v>40370.01187680348</v>
      </c>
      <c r="E33" s="218">
        <f>'ESTADO DE PERDIDAS Y GANANCIAS'!D8</f>
        <v>40370.01187680348</v>
      </c>
      <c r="F33" s="218">
        <f>'ESTADO DE PERDIDAS Y GANANCIAS'!E8</f>
        <v>38477.66757007832</v>
      </c>
      <c r="G33" s="218">
        <f>'ESTADO DE PERDIDAS Y GANANCIAS'!F8</f>
        <v>33431.41608547789</v>
      </c>
      <c r="H33" s="218">
        <f>'ESTADO DE PERDIDAS Y GANANCIAS'!G8</f>
        <v>28385.164600877462</v>
      </c>
      <c r="I33" s="218">
        <f>'ESTADO DE PERDIDAS Y GANANCIAS'!H8</f>
        <v>23338.913116277028</v>
      </c>
      <c r="J33" s="218">
        <f>'ESTADO DE PERDIDAS Y GANANCIAS'!I8</f>
        <v>18292.661631676598</v>
      </c>
      <c r="K33" s="218">
        <f>'ESTADO DE PERDIDAS Y GANANCIAS'!J8</f>
        <v>13246.410147076167</v>
      </c>
      <c r="L33" s="218">
        <f>'ESTADO DE PERDIDAS Y GANANCIAS'!K8</f>
        <v>8200.158662475733</v>
      </c>
      <c r="M33" s="218">
        <f>'ESTADO DE PERDIDAS Y GANANCIAS'!L8</f>
        <v>3153.907177875297</v>
      </c>
      <c r="N33" s="215"/>
      <c r="O33" s="215"/>
    </row>
    <row r="34" spans="2:13" s="72" customFormat="1" ht="12.75">
      <c r="B34" s="216"/>
      <c r="C34" s="216">
        <v>0</v>
      </c>
      <c r="D34" s="216">
        <f>+C34</f>
        <v>0</v>
      </c>
      <c r="E34" s="216">
        <f>+D34</f>
        <v>0</v>
      </c>
      <c r="F34" s="216">
        <f>+E34</f>
        <v>0</v>
      </c>
      <c r="G34" s="216">
        <f>+F34</f>
        <v>0</v>
      </c>
      <c r="H34" s="216"/>
      <c r="I34" s="216"/>
      <c r="J34" s="216"/>
      <c r="K34" s="216"/>
      <c r="L34" s="216"/>
      <c r="M34" s="216"/>
    </row>
    <row r="35" spans="2:13" s="72" customFormat="1" ht="18.75" customHeight="1">
      <c r="B35" s="795" t="s">
        <v>346</v>
      </c>
      <c r="C35" s="795"/>
      <c r="D35" s="795">
        <f aca="true" t="shared" si="20" ref="D35:M35">+D29+D21+D5</f>
        <v>389650.429</v>
      </c>
      <c r="E35" s="795">
        <f t="shared" si="20"/>
        <v>396148.84456000006</v>
      </c>
      <c r="F35" s="795">
        <f t="shared" si="20"/>
        <v>408669.92551120004</v>
      </c>
      <c r="G35" s="795">
        <f t="shared" si="20"/>
        <v>421736.06293542404</v>
      </c>
      <c r="H35" s="795">
        <f t="shared" si="20"/>
        <v>435372.8897048326</v>
      </c>
      <c r="I35" s="795">
        <f t="shared" si="20"/>
        <v>449607.2879361643</v>
      </c>
      <c r="J35" s="795">
        <f t="shared" si="20"/>
        <v>453737.1758049843</v>
      </c>
      <c r="K35" s="795">
        <f t="shared" si="20"/>
        <v>469252.6724376856</v>
      </c>
      <c r="L35" s="795">
        <f t="shared" si="20"/>
        <v>485454.516034871</v>
      </c>
      <c r="M35" s="795">
        <f t="shared" si="20"/>
        <v>502375.2353874217</v>
      </c>
    </row>
    <row r="36" spans="2:13" s="69" customFormat="1" ht="18">
      <c r="B36" s="795" t="s">
        <v>222</v>
      </c>
      <c r="C36" s="795"/>
      <c r="D36" s="795">
        <f aca="true" t="shared" si="21" ref="D36:M36">+D29+D21+D5+D32</f>
        <v>430020.4408768035</v>
      </c>
      <c r="E36" s="795">
        <f t="shared" si="21"/>
        <v>436518.85643680353</v>
      </c>
      <c r="F36" s="795">
        <f t="shared" si="21"/>
        <v>447147.5930812784</v>
      </c>
      <c r="G36" s="795">
        <f t="shared" si="21"/>
        <v>455167.47902090196</v>
      </c>
      <c r="H36" s="795">
        <f t="shared" si="21"/>
        <v>463758.05430571</v>
      </c>
      <c r="I36" s="795">
        <f t="shared" si="21"/>
        <v>472946.2010524413</v>
      </c>
      <c r="J36" s="795">
        <f t="shared" si="21"/>
        <v>472029.8374366609</v>
      </c>
      <c r="K36" s="795">
        <f t="shared" si="21"/>
        <v>482499.0825847618</v>
      </c>
      <c r="L36" s="795">
        <f t="shared" si="21"/>
        <v>493654.67469734675</v>
      </c>
      <c r="M36" s="795">
        <f t="shared" si="21"/>
        <v>505529.14256529696</v>
      </c>
    </row>
    <row r="37" spans="7:13" s="73" customFormat="1" ht="18">
      <c r="G37" s="80"/>
      <c r="H37" s="80"/>
      <c r="I37" s="80"/>
      <c r="J37" s="80"/>
      <c r="K37" s="80"/>
      <c r="L37" s="80"/>
      <c r="M37" s="80"/>
    </row>
    <row r="38" spans="7:13" s="73" customFormat="1" ht="18">
      <c r="G38" s="80"/>
      <c r="H38" s="80"/>
      <c r="I38" s="80"/>
      <c r="J38" s="80"/>
      <c r="K38" s="80"/>
      <c r="L38" s="80"/>
      <c r="M38" s="80"/>
    </row>
    <row r="39" spans="2:13" s="73" customFormat="1" ht="15">
      <c r="B39" s="82"/>
      <c r="C39" s="82"/>
      <c r="G39" s="81"/>
      <c r="H39" s="81"/>
      <c r="I39" s="81"/>
      <c r="J39" s="81"/>
      <c r="K39" s="81"/>
      <c r="L39" s="81"/>
      <c r="M39" s="81"/>
    </row>
    <row r="40" s="73" customFormat="1" ht="12.75">
      <c r="B40" s="83"/>
    </row>
    <row r="41" spans="2:13" s="73" customFormat="1" ht="15">
      <c r="B41" s="79"/>
      <c r="H41" s="84"/>
      <c r="I41" s="84"/>
      <c r="J41" s="84"/>
      <c r="K41" s="84"/>
      <c r="L41" s="84"/>
      <c r="M41" s="84"/>
    </row>
    <row r="42" spans="2:13" s="73" customFormat="1" ht="15">
      <c r="B42" s="79"/>
      <c r="C42" s="74"/>
      <c r="G42" s="84"/>
      <c r="H42" s="84"/>
      <c r="I42" s="84"/>
      <c r="J42" s="84"/>
      <c r="K42" s="84"/>
      <c r="L42" s="84"/>
      <c r="M42" s="84"/>
    </row>
  </sheetData>
  <sheetProtection/>
  <mergeCells count="1">
    <mergeCell ref="B1:M1"/>
  </mergeCells>
  <printOptions/>
  <pageMargins left="0.79" right="0.79" top="0.98" bottom="0.9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O41"/>
  <sheetViews>
    <sheetView showGridLines="0" showZeros="0" zoomScale="80" zoomScaleNormal="80" zoomScalePageLayoutView="0" workbookViewId="0" topLeftCell="A2">
      <selection activeCell="B3" sqref="B3:M35"/>
    </sheetView>
  </sheetViews>
  <sheetFormatPr defaultColWidth="11.421875" defaultRowHeight="12.75"/>
  <cols>
    <col min="1" max="1" width="8.7109375" style="0" customWidth="1"/>
    <col min="2" max="2" width="37.8515625" style="0" bestFit="1" customWidth="1"/>
    <col min="3" max="3" width="15.7109375" style="0" hidden="1" customWidth="1"/>
    <col min="4" max="4" width="11.8515625" style="0" customWidth="1"/>
    <col min="5" max="5" width="12.140625" style="0" customWidth="1"/>
    <col min="6" max="6" width="11.57421875" style="0" customWidth="1"/>
    <col min="7" max="7" width="11.140625" style="0" customWidth="1"/>
    <col min="8" max="8" width="12.28125" style="0" customWidth="1"/>
    <col min="9" max="9" width="11.00390625" style="0" customWidth="1"/>
    <col min="10" max="12" width="10.8515625" style="0" customWidth="1"/>
    <col min="13" max="13" width="11.00390625" style="0" customWidth="1"/>
  </cols>
  <sheetData>
    <row r="1" spans="2:13" s="73" customFormat="1" ht="22.5">
      <c r="B1" s="869" t="s">
        <v>223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</row>
    <row r="2" s="73" customFormat="1" ht="12.75">
      <c r="B2" s="79"/>
    </row>
    <row r="3" spans="2:13" s="73" customFormat="1" ht="18">
      <c r="B3" s="796" t="s">
        <v>345</v>
      </c>
      <c r="C3" s="797" t="s">
        <v>106</v>
      </c>
      <c r="D3" s="798">
        <v>2011</v>
      </c>
      <c r="E3" s="798">
        <v>2012</v>
      </c>
      <c r="F3" s="798">
        <v>2013</v>
      </c>
      <c r="G3" s="798">
        <v>2014</v>
      </c>
      <c r="H3" s="798">
        <v>2015</v>
      </c>
      <c r="I3" s="798">
        <v>2016</v>
      </c>
      <c r="J3" s="798">
        <v>2017</v>
      </c>
      <c r="K3" s="798">
        <v>2018</v>
      </c>
      <c r="L3" s="798">
        <v>2019</v>
      </c>
      <c r="M3" s="798">
        <v>2020</v>
      </c>
    </row>
    <row r="4" spans="2:13" s="73" customFormat="1" ht="12.75">
      <c r="B4" s="800"/>
      <c r="C4" s="801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2:13" s="69" customFormat="1" ht="17.25" customHeight="1">
      <c r="B5" s="799" t="s">
        <v>225</v>
      </c>
      <c r="C5" s="799">
        <f>SUM(C6:C19)</f>
        <v>0</v>
      </c>
      <c r="D5" s="799">
        <f>SUM(D6:D19)</f>
        <v>179148.629</v>
      </c>
      <c r="E5" s="799">
        <f aca="true" t="shared" si="0" ref="E5:M5">SUM(E6:E19)</f>
        <v>181456.90856</v>
      </c>
      <c r="F5" s="799">
        <f t="shared" si="0"/>
        <v>183811.3537112</v>
      </c>
      <c r="G5" s="799">
        <f t="shared" si="0"/>
        <v>186212.88776542404</v>
      </c>
      <c r="H5" s="799">
        <f t="shared" si="0"/>
        <v>188662.45250073253</v>
      </c>
      <c r="I5" s="799">
        <f t="shared" si="0"/>
        <v>191161.00853074717</v>
      </c>
      <c r="J5" s="799">
        <f t="shared" si="0"/>
        <v>183779.26068136212</v>
      </c>
      <c r="K5" s="799">
        <f t="shared" si="0"/>
        <v>186378.75837498938</v>
      </c>
      <c r="L5" s="799">
        <f t="shared" si="0"/>
        <v>189030.24602248913</v>
      </c>
      <c r="M5" s="799">
        <f t="shared" si="0"/>
        <v>191734.7634229389</v>
      </c>
    </row>
    <row r="6" spans="2:13" s="73" customFormat="1" ht="12.75">
      <c r="B6" s="320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2:13" s="73" customFormat="1" ht="12.75">
      <c r="B7" s="214" t="s">
        <v>228</v>
      </c>
      <c r="C7" s="216"/>
      <c r="D7" s="321">
        <f>+'COSTOS DE PRESTACION'!E8*12</f>
        <v>3000</v>
      </c>
      <c r="E7" s="321">
        <f aca="true" t="shared" si="1" ref="E7:M14">+D7*1.02</f>
        <v>3060</v>
      </c>
      <c r="F7" s="321">
        <f t="shared" si="1"/>
        <v>3121.2000000000003</v>
      </c>
      <c r="G7" s="321">
        <f t="shared" si="1"/>
        <v>3183.6240000000003</v>
      </c>
      <c r="H7" s="321">
        <f t="shared" si="1"/>
        <v>3247.2964800000004</v>
      </c>
      <c r="I7" s="321">
        <f t="shared" si="1"/>
        <v>3312.2424096000004</v>
      </c>
      <c r="J7" s="321">
        <f t="shared" si="1"/>
        <v>3378.4872577920005</v>
      </c>
      <c r="K7" s="321">
        <f t="shared" si="1"/>
        <v>3446.0570029478404</v>
      </c>
      <c r="L7" s="321">
        <f t="shared" si="1"/>
        <v>3514.9781430067974</v>
      </c>
      <c r="M7" s="321">
        <f t="shared" si="1"/>
        <v>3585.2777058669335</v>
      </c>
    </row>
    <row r="8" spans="2:13" s="73" customFormat="1" ht="12.75">
      <c r="B8" s="214" t="s">
        <v>229</v>
      </c>
      <c r="C8" s="216"/>
      <c r="D8" s="321">
        <f>+'COSTOS DE PRESTACION'!E21*12</f>
        <v>48950.64</v>
      </c>
      <c r="E8" s="321">
        <f>+D8*1.02</f>
        <v>49929.6528</v>
      </c>
      <c r="F8" s="321">
        <f>+E8*1.02</f>
        <v>50928.245856</v>
      </c>
      <c r="G8" s="321">
        <f>+F8*1.02</f>
        <v>51946.81077312</v>
      </c>
      <c r="H8" s="321">
        <f>+G8*1.02</f>
        <v>52985.7469885824</v>
      </c>
      <c r="I8" s="321">
        <f>+H8*1.02</f>
        <v>54045.46192835405</v>
      </c>
      <c r="J8" s="321">
        <f t="shared" si="1"/>
        <v>55126.37116692113</v>
      </c>
      <c r="K8" s="321">
        <f t="shared" si="1"/>
        <v>56228.89859025956</v>
      </c>
      <c r="L8" s="321">
        <f t="shared" si="1"/>
        <v>57353.47656206475</v>
      </c>
      <c r="M8" s="321">
        <f t="shared" si="1"/>
        <v>58500.546093306046</v>
      </c>
    </row>
    <row r="9" spans="2:13" s="73" customFormat="1" ht="12.75">
      <c r="B9" s="214" t="s">
        <v>230</v>
      </c>
      <c r="C9" s="216"/>
      <c r="D9" s="321"/>
      <c r="E9" s="321">
        <f aca="true" t="shared" si="2" ref="E9:I14">+D9*1.02</f>
        <v>0</v>
      </c>
      <c r="F9" s="321">
        <f t="shared" si="2"/>
        <v>0</v>
      </c>
      <c r="G9" s="321">
        <f t="shared" si="2"/>
        <v>0</v>
      </c>
      <c r="H9" s="321">
        <f t="shared" si="2"/>
        <v>0</v>
      </c>
      <c r="I9" s="321">
        <f t="shared" si="2"/>
        <v>0</v>
      </c>
      <c r="J9" s="321">
        <f t="shared" si="1"/>
        <v>0</v>
      </c>
      <c r="K9" s="321">
        <f t="shared" si="1"/>
        <v>0</v>
      </c>
      <c r="L9" s="321">
        <f t="shared" si="1"/>
        <v>0</v>
      </c>
      <c r="M9" s="321">
        <f t="shared" si="1"/>
        <v>0</v>
      </c>
    </row>
    <row r="10" spans="2:13" s="73" customFormat="1" ht="12.75">
      <c r="B10" s="214" t="s">
        <v>231</v>
      </c>
      <c r="C10" s="216"/>
      <c r="D10" s="321">
        <f>+'COSTOS DE PRESTACION'!E23*12</f>
        <v>5148</v>
      </c>
      <c r="E10" s="321">
        <f t="shared" si="2"/>
        <v>5250.96</v>
      </c>
      <c r="F10" s="321">
        <f t="shared" si="2"/>
        <v>5355.9792</v>
      </c>
      <c r="G10" s="321">
        <f t="shared" si="2"/>
        <v>5463.098784</v>
      </c>
      <c r="H10" s="321">
        <f t="shared" si="2"/>
        <v>5572.36075968</v>
      </c>
      <c r="I10" s="321">
        <f t="shared" si="2"/>
        <v>5683.8079748736</v>
      </c>
      <c r="J10" s="321">
        <f t="shared" si="1"/>
        <v>5797.484134371072</v>
      </c>
      <c r="K10" s="321">
        <f t="shared" si="1"/>
        <v>5913.433817058494</v>
      </c>
      <c r="L10" s="321">
        <f t="shared" si="1"/>
        <v>6031.7024933996645</v>
      </c>
      <c r="M10" s="321">
        <f t="shared" si="1"/>
        <v>6152.336543267658</v>
      </c>
    </row>
    <row r="11" spans="2:13" s="73" customFormat="1" ht="12.75">
      <c r="B11" s="320" t="s">
        <v>362</v>
      </c>
      <c r="C11" s="216"/>
      <c r="D11" s="216"/>
      <c r="E11" s="216">
        <f t="shared" si="2"/>
        <v>0</v>
      </c>
      <c r="F11" s="216">
        <f t="shared" si="2"/>
        <v>0</v>
      </c>
      <c r="G11" s="216">
        <f t="shared" si="2"/>
        <v>0</v>
      </c>
      <c r="H11" s="216">
        <f t="shared" si="2"/>
        <v>0</v>
      </c>
      <c r="I11" s="216">
        <f t="shared" si="2"/>
        <v>0</v>
      </c>
      <c r="J11" s="216">
        <f t="shared" si="1"/>
        <v>0</v>
      </c>
      <c r="K11" s="216">
        <f t="shared" si="1"/>
        <v>0</v>
      </c>
      <c r="L11" s="216">
        <f t="shared" si="1"/>
        <v>0</v>
      </c>
      <c r="M11" s="216">
        <f t="shared" si="1"/>
        <v>0</v>
      </c>
    </row>
    <row r="12" spans="2:13" s="73" customFormat="1" ht="12.75">
      <c r="B12" s="214" t="s">
        <v>232</v>
      </c>
      <c r="C12" s="216"/>
      <c r="D12" s="321">
        <f>+'COSTOS DE PRESTACION'!E35*12</f>
        <v>9417</v>
      </c>
      <c r="E12" s="321">
        <f t="shared" si="2"/>
        <v>9605.34</v>
      </c>
      <c r="F12" s="321">
        <f t="shared" si="2"/>
        <v>9797.4468</v>
      </c>
      <c r="G12" s="321">
        <f t="shared" si="2"/>
        <v>9993.395736</v>
      </c>
      <c r="H12" s="321">
        <f t="shared" si="2"/>
        <v>10193.26365072</v>
      </c>
      <c r="I12" s="321">
        <f t="shared" si="2"/>
        <v>10397.1289237344</v>
      </c>
      <c r="J12" s="321">
        <f t="shared" si="1"/>
        <v>10605.07150220909</v>
      </c>
      <c r="K12" s="321">
        <f t="shared" si="1"/>
        <v>10817.172932253272</v>
      </c>
      <c r="L12" s="321">
        <f t="shared" si="1"/>
        <v>11033.516390898338</v>
      </c>
      <c r="M12" s="321">
        <f t="shared" si="1"/>
        <v>11254.186718716304</v>
      </c>
    </row>
    <row r="13" spans="2:13" s="73" customFormat="1" ht="12.75">
      <c r="B13" s="214" t="s">
        <v>233</v>
      </c>
      <c r="C13" s="216"/>
      <c r="D13" s="321">
        <f>+'COSTOS DE PRESTACION'!E40*12</f>
        <v>16185.899999999998</v>
      </c>
      <c r="E13" s="321">
        <f t="shared" si="2"/>
        <v>16509.618</v>
      </c>
      <c r="F13" s="321">
        <f t="shared" si="2"/>
        <v>16839.81036</v>
      </c>
      <c r="G13" s="321">
        <f t="shared" si="2"/>
        <v>17176.6065672</v>
      </c>
      <c r="H13" s="321">
        <f t="shared" si="2"/>
        <v>17520.138698544</v>
      </c>
      <c r="I13" s="321">
        <f t="shared" si="2"/>
        <v>17870.54147251488</v>
      </c>
      <c r="J13" s="321">
        <f t="shared" si="1"/>
        <v>18227.95230196518</v>
      </c>
      <c r="K13" s="321">
        <f t="shared" si="1"/>
        <v>18592.511348004482</v>
      </c>
      <c r="L13" s="321">
        <f t="shared" si="1"/>
        <v>18964.361574964572</v>
      </c>
      <c r="M13" s="321">
        <f t="shared" si="1"/>
        <v>19343.648806463865</v>
      </c>
    </row>
    <row r="14" spans="2:13" s="73" customFormat="1" ht="12.75">
      <c r="B14" s="320" t="s">
        <v>234</v>
      </c>
      <c r="C14" s="216"/>
      <c r="D14" s="216"/>
      <c r="E14" s="216">
        <f t="shared" si="2"/>
        <v>0</v>
      </c>
      <c r="F14" s="216">
        <f t="shared" si="2"/>
        <v>0</v>
      </c>
      <c r="G14" s="216">
        <f t="shared" si="2"/>
        <v>0</v>
      </c>
      <c r="H14" s="216">
        <f t="shared" si="2"/>
        <v>0</v>
      </c>
      <c r="I14" s="216">
        <f t="shared" si="2"/>
        <v>0</v>
      </c>
      <c r="J14" s="216">
        <f t="shared" si="1"/>
        <v>0</v>
      </c>
      <c r="K14" s="216">
        <f t="shared" si="1"/>
        <v>0</v>
      </c>
      <c r="L14" s="216">
        <f t="shared" si="1"/>
        <v>0</v>
      </c>
      <c r="M14" s="216">
        <f t="shared" si="1"/>
        <v>0</v>
      </c>
    </row>
    <row r="15" spans="2:13" s="73" customFormat="1" ht="12.75">
      <c r="B15" s="214" t="s">
        <v>240</v>
      </c>
      <c r="C15" s="216"/>
      <c r="D15" s="321">
        <f>+'COSTOS DE PRESTACION'!E49*12</f>
        <v>53804.376000000004</v>
      </c>
      <c r="E15" s="321">
        <f>+D15</f>
        <v>53804.376000000004</v>
      </c>
      <c r="F15" s="321">
        <f>+E15</f>
        <v>53804.376000000004</v>
      </c>
      <c r="G15" s="321">
        <f>+F15</f>
        <v>53804.376000000004</v>
      </c>
      <c r="H15" s="321">
        <f aca="true" t="shared" si="3" ref="H15:M15">+G15</f>
        <v>53804.376000000004</v>
      </c>
      <c r="I15" s="321">
        <f t="shared" si="3"/>
        <v>53804.376000000004</v>
      </c>
      <c r="J15" s="321">
        <f t="shared" si="3"/>
        <v>53804.376000000004</v>
      </c>
      <c r="K15" s="321">
        <f t="shared" si="3"/>
        <v>53804.376000000004</v>
      </c>
      <c r="L15" s="321">
        <f t="shared" si="3"/>
        <v>53804.376000000004</v>
      </c>
      <c r="M15" s="321">
        <f t="shared" si="3"/>
        <v>53804.376000000004</v>
      </c>
    </row>
    <row r="16" spans="2:13" s="73" customFormat="1" ht="12.75">
      <c r="B16" s="214" t="s">
        <v>241</v>
      </c>
      <c r="C16" s="216"/>
      <c r="D16" s="321">
        <f>+'COSTOS DE PRESTACION'!E55*12</f>
        <v>21742.440000000002</v>
      </c>
      <c r="E16" s="321">
        <f aca="true" t="shared" si="4" ref="E16:M18">+D16*1.02</f>
        <v>22177.288800000002</v>
      </c>
      <c r="F16" s="321">
        <f t="shared" si="4"/>
        <v>22620.834576</v>
      </c>
      <c r="G16" s="321">
        <f t="shared" si="4"/>
        <v>23073.25126752</v>
      </c>
      <c r="H16" s="321">
        <f t="shared" si="4"/>
        <v>23534.716292870402</v>
      </c>
      <c r="I16" s="321">
        <f t="shared" si="4"/>
        <v>24005.410618727812</v>
      </c>
      <c r="J16" s="321">
        <f t="shared" si="4"/>
        <v>24485.51883110237</v>
      </c>
      <c r="K16" s="321">
        <f t="shared" si="4"/>
        <v>24975.229207724416</v>
      </c>
      <c r="L16" s="321">
        <f t="shared" si="4"/>
        <v>25474.733791878905</v>
      </c>
      <c r="M16" s="321">
        <f t="shared" si="4"/>
        <v>25984.228467716483</v>
      </c>
    </row>
    <row r="17" spans="2:13" s="73" customFormat="1" ht="12.75">
      <c r="B17" s="214" t="s">
        <v>235</v>
      </c>
      <c r="C17" s="216"/>
      <c r="D17" s="321">
        <f>+'COSTOS DE PRESTACION'!E60*12</f>
        <v>9649.998000000005</v>
      </c>
      <c r="E17" s="321">
        <f t="shared" si="4"/>
        <v>9842.997960000006</v>
      </c>
      <c r="F17" s="321">
        <f t="shared" si="4"/>
        <v>10039.857919200007</v>
      </c>
      <c r="G17" s="321">
        <f t="shared" si="4"/>
        <v>10240.655077584008</v>
      </c>
      <c r="H17" s="321">
        <f t="shared" si="4"/>
        <v>10445.468179135689</v>
      </c>
      <c r="I17" s="321">
        <f t="shared" si="4"/>
        <v>10654.377542718403</v>
      </c>
      <c r="J17" s="321">
        <f t="shared" si="4"/>
        <v>10867.465093572771</v>
      </c>
      <c r="K17" s="321">
        <f t="shared" si="4"/>
        <v>11084.814395444228</v>
      </c>
      <c r="L17" s="321">
        <f t="shared" si="4"/>
        <v>11306.510683353112</v>
      </c>
      <c r="M17" s="321">
        <f t="shared" si="4"/>
        <v>11532.640897020174</v>
      </c>
    </row>
    <row r="18" spans="2:13" s="73" customFormat="1" ht="12.75">
      <c r="B18" s="214" t="s">
        <v>236</v>
      </c>
      <c r="C18" s="216"/>
      <c r="D18" s="321">
        <f>+'COSTOS DE PRESTACION'!E65*12</f>
        <v>1320</v>
      </c>
      <c r="E18" s="321">
        <f t="shared" si="4"/>
        <v>1346.4</v>
      </c>
      <c r="F18" s="321">
        <f t="shared" si="4"/>
        <v>1373.3280000000002</v>
      </c>
      <c r="G18" s="321">
        <f t="shared" si="4"/>
        <v>1400.7945600000003</v>
      </c>
      <c r="H18" s="321">
        <f t="shared" si="4"/>
        <v>1428.8104512000002</v>
      </c>
      <c r="I18" s="321">
        <f t="shared" si="4"/>
        <v>1457.3866602240003</v>
      </c>
      <c r="J18" s="321">
        <f t="shared" si="4"/>
        <v>1486.5343934284804</v>
      </c>
      <c r="K18" s="321">
        <f t="shared" si="4"/>
        <v>1516.26508129705</v>
      </c>
      <c r="L18" s="321">
        <f t="shared" si="4"/>
        <v>1546.590382922991</v>
      </c>
      <c r="M18" s="321">
        <f t="shared" si="4"/>
        <v>1577.5221905814508</v>
      </c>
    </row>
    <row r="19" spans="2:13" s="73" customFormat="1" ht="12.75">
      <c r="B19" s="214" t="s">
        <v>237</v>
      </c>
      <c r="C19" s="216"/>
      <c r="D19" s="658">
        <f>+'COSTOS DE PRESTACION'!E72*12</f>
        <v>9930.275</v>
      </c>
      <c r="E19" s="658">
        <f>+D19</f>
        <v>9930.275</v>
      </c>
      <c r="F19" s="658">
        <f>+E19</f>
        <v>9930.275</v>
      </c>
      <c r="G19" s="658">
        <f>+F19</f>
        <v>9930.275</v>
      </c>
      <c r="H19" s="658">
        <f>+G19</f>
        <v>9930.275</v>
      </c>
      <c r="I19" s="658">
        <f>H19</f>
        <v>9930.275</v>
      </c>
      <c r="J19" s="658"/>
      <c r="K19" s="658"/>
      <c r="L19" s="658"/>
      <c r="M19" s="658"/>
    </row>
    <row r="20" spans="2:13" s="69" customFormat="1" ht="15" customHeight="1" thickBot="1">
      <c r="B20" s="787" t="s">
        <v>242</v>
      </c>
      <c r="C20" s="787">
        <f aca="true" t="shared" si="5" ref="C20:I20">SUM(C21:C27)</f>
        <v>0</v>
      </c>
      <c r="D20" s="787">
        <f>SUM(D21:D27)</f>
        <v>60084.8</v>
      </c>
      <c r="E20" s="787">
        <f t="shared" si="5"/>
        <v>61266.596000000005</v>
      </c>
      <c r="F20" s="787">
        <f t="shared" si="5"/>
        <v>64280.175800000005</v>
      </c>
      <c r="G20" s="787">
        <f t="shared" si="5"/>
        <v>67444.43459</v>
      </c>
      <c r="H20" s="787">
        <f t="shared" si="5"/>
        <v>70766.9063195</v>
      </c>
      <c r="I20" s="787">
        <f t="shared" si="5"/>
        <v>74255.50163547501</v>
      </c>
      <c r="J20" s="787">
        <f>SUM(J21:J27)</f>
        <v>77118.52671724877</v>
      </c>
      <c r="K20" s="787">
        <f>SUM(K21:K27)</f>
        <v>80964.70305311121</v>
      </c>
      <c r="L20" s="787">
        <f>SUM(L21:L27)</f>
        <v>85003.18820576678</v>
      </c>
      <c r="M20" s="787">
        <f>SUM(M21:M27)</f>
        <v>89243.59761605512</v>
      </c>
    </row>
    <row r="21" spans="2:13" s="71" customFormat="1" ht="15">
      <c r="B21" s="214" t="s">
        <v>243</v>
      </c>
      <c r="C21" s="216"/>
      <c r="D21" s="218">
        <f>+'COSTOS DE PRESTACION'!E83*12</f>
        <v>47329.8</v>
      </c>
      <c r="E21" s="218">
        <f>+D21*1.02</f>
        <v>48276.396</v>
      </c>
      <c r="F21" s="218">
        <f aca="true" t="shared" si="6" ref="F21:M22">+E21*1.05</f>
        <v>50690.215800000005</v>
      </c>
      <c r="G21" s="218">
        <f t="shared" si="6"/>
        <v>53224.726590000006</v>
      </c>
      <c r="H21" s="218">
        <f t="shared" si="6"/>
        <v>55885.96291950001</v>
      </c>
      <c r="I21" s="218">
        <f t="shared" si="6"/>
        <v>58680.26106547501</v>
      </c>
      <c r="J21" s="218">
        <f t="shared" si="6"/>
        <v>61614.27411874876</v>
      </c>
      <c r="K21" s="218">
        <f t="shared" si="6"/>
        <v>64694.987824686206</v>
      </c>
      <c r="L21" s="218">
        <f t="shared" si="6"/>
        <v>67929.73721592053</v>
      </c>
      <c r="M21" s="218">
        <f t="shared" si="6"/>
        <v>71326.22407671655</v>
      </c>
    </row>
    <row r="22" spans="2:13" s="71" customFormat="1" ht="15">
      <c r="B22" s="214" t="s">
        <v>230</v>
      </c>
      <c r="C22" s="216"/>
      <c r="D22" s="215">
        <f>+C22*1.05</f>
        <v>0</v>
      </c>
      <c r="E22" s="215">
        <f>+D22*1.02</f>
        <v>0</v>
      </c>
      <c r="F22" s="215">
        <f t="shared" si="6"/>
        <v>0</v>
      </c>
      <c r="G22" s="215">
        <f t="shared" si="6"/>
        <v>0</v>
      </c>
      <c r="H22" s="215">
        <f t="shared" si="6"/>
        <v>0</v>
      </c>
      <c r="I22" s="215">
        <f t="shared" si="6"/>
        <v>0</v>
      </c>
      <c r="J22" s="215">
        <f t="shared" si="6"/>
        <v>0</v>
      </c>
      <c r="K22" s="215">
        <f t="shared" si="6"/>
        <v>0</v>
      </c>
      <c r="L22" s="215">
        <f t="shared" si="6"/>
        <v>0</v>
      </c>
      <c r="M22" s="215">
        <f t="shared" si="6"/>
        <v>0</v>
      </c>
    </row>
    <row r="23" spans="2:13" s="71" customFormat="1" ht="15">
      <c r="B23" s="214" t="s">
        <v>244</v>
      </c>
      <c r="C23" s="216"/>
      <c r="D23" s="215">
        <f>+'COSTOS DE PRESTACION'!E86*12</f>
        <v>150</v>
      </c>
      <c r="E23" s="215">
        <f aca="true" t="shared" si="7" ref="E23:M25">+D23</f>
        <v>150</v>
      </c>
      <c r="F23" s="215">
        <f t="shared" si="7"/>
        <v>150</v>
      </c>
      <c r="G23" s="215">
        <f t="shared" si="7"/>
        <v>150</v>
      </c>
      <c r="H23" s="215">
        <f t="shared" si="7"/>
        <v>150</v>
      </c>
      <c r="I23" s="215">
        <f t="shared" si="7"/>
        <v>150</v>
      </c>
      <c r="J23" s="215">
        <f t="shared" si="7"/>
        <v>150</v>
      </c>
      <c r="K23" s="215">
        <f t="shared" si="7"/>
        <v>150</v>
      </c>
      <c r="L23" s="215">
        <f t="shared" si="7"/>
        <v>150</v>
      </c>
      <c r="M23" s="215">
        <f t="shared" si="7"/>
        <v>150</v>
      </c>
    </row>
    <row r="24" spans="2:13" s="71" customFormat="1" ht="15">
      <c r="B24" s="214" t="s">
        <v>237</v>
      </c>
      <c r="C24" s="216"/>
      <c r="D24" s="215">
        <f>+'COSTOS DE PRESTACION'!E91*12</f>
        <v>799.9999999999999</v>
      </c>
      <c r="E24" s="215">
        <f t="shared" si="7"/>
        <v>799.9999999999999</v>
      </c>
      <c r="F24" s="215">
        <f t="shared" si="7"/>
        <v>799.9999999999999</v>
      </c>
      <c r="G24" s="215">
        <f t="shared" si="7"/>
        <v>799.9999999999999</v>
      </c>
      <c r="H24" s="215">
        <f t="shared" si="7"/>
        <v>799.9999999999999</v>
      </c>
      <c r="I24" s="215">
        <f>+H24</f>
        <v>799.9999999999999</v>
      </c>
      <c r="J24" s="215"/>
      <c r="K24" s="215"/>
      <c r="L24" s="215"/>
      <c r="M24" s="215"/>
    </row>
    <row r="25" spans="2:13" s="71" customFormat="1" ht="15">
      <c r="B25" s="214" t="s">
        <v>245</v>
      </c>
      <c r="C25" s="216"/>
      <c r="D25" s="215">
        <f>+'COSTOS DE PRESTACION'!E94*12</f>
        <v>45</v>
      </c>
      <c r="E25" s="215">
        <f t="shared" si="7"/>
        <v>45</v>
      </c>
      <c r="F25" s="215">
        <f t="shared" si="7"/>
        <v>45</v>
      </c>
      <c r="G25" s="215">
        <f t="shared" si="7"/>
        <v>45</v>
      </c>
      <c r="H25" s="215">
        <f t="shared" si="7"/>
        <v>45</v>
      </c>
      <c r="I25" s="215">
        <f>+H25</f>
        <v>45</v>
      </c>
      <c r="J25" s="215">
        <f>+I25</f>
        <v>45</v>
      </c>
      <c r="K25" s="215">
        <f>+J25</f>
        <v>45</v>
      </c>
      <c r="L25" s="215">
        <f>+K25</f>
        <v>45</v>
      </c>
      <c r="M25" s="215">
        <f>+L25</f>
        <v>45</v>
      </c>
    </row>
    <row r="26" spans="2:13" s="71" customFormat="1" ht="15">
      <c r="B26" s="216" t="s">
        <v>246</v>
      </c>
      <c r="C26" s="216"/>
      <c r="D26" s="216">
        <f>+'COSTOS DE PRESTACION'!E96</f>
        <v>0</v>
      </c>
      <c r="E26" s="216">
        <f>+D26*1.02</f>
        <v>0</v>
      </c>
      <c r="F26" s="216">
        <f aca="true" t="shared" si="8" ref="F26:M27">+E26*1.05</f>
        <v>0</v>
      </c>
      <c r="G26" s="216">
        <f t="shared" si="8"/>
        <v>0</v>
      </c>
      <c r="H26" s="216">
        <f t="shared" si="8"/>
        <v>0</v>
      </c>
      <c r="I26" s="216">
        <f t="shared" si="8"/>
        <v>0</v>
      </c>
      <c r="J26" s="216">
        <f t="shared" si="8"/>
        <v>0</v>
      </c>
      <c r="K26" s="216">
        <f t="shared" si="8"/>
        <v>0</v>
      </c>
      <c r="L26" s="216">
        <f t="shared" si="8"/>
        <v>0</v>
      </c>
      <c r="M26" s="216">
        <f t="shared" si="8"/>
        <v>0</v>
      </c>
    </row>
    <row r="27" spans="2:13" s="71" customFormat="1" ht="15">
      <c r="B27" s="214" t="s">
        <v>238</v>
      </c>
      <c r="C27" s="216"/>
      <c r="D27" s="659">
        <f>+'COSTOS DE PRESTACION'!E102*12</f>
        <v>11760</v>
      </c>
      <c r="E27" s="659">
        <f>+D27*1.02</f>
        <v>11995.2</v>
      </c>
      <c r="F27" s="659">
        <f t="shared" si="8"/>
        <v>12594.960000000001</v>
      </c>
      <c r="G27" s="659">
        <f t="shared" si="8"/>
        <v>13224.708000000002</v>
      </c>
      <c r="H27" s="659">
        <f t="shared" si="8"/>
        <v>13885.943400000004</v>
      </c>
      <c r="I27" s="659">
        <f t="shared" si="8"/>
        <v>14580.240570000005</v>
      </c>
      <c r="J27" s="659">
        <f t="shared" si="8"/>
        <v>15309.252598500007</v>
      </c>
      <c r="K27" s="659">
        <f t="shared" si="8"/>
        <v>16074.715228425008</v>
      </c>
      <c r="L27" s="659">
        <f t="shared" si="8"/>
        <v>16878.45098984626</v>
      </c>
      <c r="M27" s="659">
        <f t="shared" si="8"/>
        <v>17722.373539338572</v>
      </c>
    </row>
    <row r="28" spans="2:13" s="69" customFormat="1" ht="16.5" customHeight="1" thickBot="1">
      <c r="B28" s="788" t="s">
        <v>247</v>
      </c>
      <c r="C28" s="788">
        <f aca="true" t="shared" si="9" ref="C28:M28">SUM(C29:C29)</f>
        <v>0</v>
      </c>
      <c r="D28" s="788">
        <f t="shared" si="9"/>
        <v>133482</v>
      </c>
      <c r="E28" s="788">
        <f t="shared" si="9"/>
        <v>136151.64</v>
      </c>
      <c r="F28" s="788">
        <f t="shared" si="9"/>
        <v>142959.222</v>
      </c>
      <c r="G28" s="788">
        <f t="shared" si="9"/>
        <v>150107.18310000002</v>
      </c>
      <c r="H28" s="788">
        <f t="shared" si="9"/>
        <v>157612.54225500004</v>
      </c>
      <c r="I28" s="788">
        <f t="shared" si="9"/>
        <v>165493.16936775006</v>
      </c>
      <c r="J28" s="788">
        <f t="shared" si="9"/>
        <v>173767.82783613756</v>
      </c>
      <c r="K28" s="788">
        <f t="shared" si="9"/>
        <v>182456.21922794444</v>
      </c>
      <c r="L28" s="788">
        <f t="shared" si="9"/>
        <v>191579.03018934166</v>
      </c>
      <c r="M28" s="788">
        <f t="shared" si="9"/>
        <v>201157.98169880876</v>
      </c>
    </row>
    <row r="29" spans="2:13" s="71" customFormat="1" ht="15">
      <c r="B29" s="216" t="s">
        <v>248</v>
      </c>
      <c r="C29" s="216"/>
      <c r="D29" s="218">
        <f>+'COSTOS DE PRESTACION'!E111*12</f>
        <v>133482</v>
      </c>
      <c r="E29" s="218">
        <f>+D29*1.02</f>
        <v>136151.64</v>
      </c>
      <c r="F29" s="218">
        <f aca="true" t="shared" si="10" ref="F29:M29">+E29*1.05</f>
        <v>142959.222</v>
      </c>
      <c r="G29" s="218">
        <f t="shared" si="10"/>
        <v>150107.18310000002</v>
      </c>
      <c r="H29" s="218">
        <f t="shared" si="10"/>
        <v>157612.54225500004</v>
      </c>
      <c r="I29" s="218">
        <f t="shared" si="10"/>
        <v>165493.16936775006</v>
      </c>
      <c r="J29" s="218">
        <f t="shared" si="10"/>
        <v>173767.82783613756</v>
      </c>
      <c r="K29" s="218">
        <f t="shared" si="10"/>
        <v>182456.21922794444</v>
      </c>
      <c r="L29" s="218">
        <f t="shared" si="10"/>
        <v>191579.03018934166</v>
      </c>
      <c r="M29" s="218">
        <f t="shared" si="10"/>
        <v>201157.98169880876</v>
      </c>
    </row>
    <row r="30" spans="2:13" ht="12.75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2:13" s="72" customFormat="1" ht="13.5" thickBot="1">
      <c r="B31" s="788" t="s">
        <v>249</v>
      </c>
      <c r="C31" s="788">
        <f aca="true" t="shared" si="11" ref="C31:I31">SUM(C32:C33)</f>
        <v>0</v>
      </c>
      <c r="D31" s="788">
        <f t="shared" si="11"/>
        <v>40370.01187680348</v>
      </c>
      <c r="E31" s="788">
        <f t="shared" si="11"/>
        <v>40370.01187680348</v>
      </c>
      <c r="F31" s="788">
        <f t="shared" si="11"/>
        <v>38477.66757007832</v>
      </c>
      <c r="G31" s="788">
        <f t="shared" si="11"/>
        <v>33431.41608547789</v>
      </c>
      <c r="H31" s="788">
        <f t="shared" si="11"/>
        <v>28385.164600877462</v>
      </c>
      <c r="I31" s="788">
        <f t="shared" si="11"/>
        <v>23338.913116277028</v>
      </c>
      <c r="J31" s="788">
        <f>SUM(J32:J33)</f>
        <v>18292.661631676598</v>
      </c>
      <c r="K31" s="788">
        <f>SUM(K32:K33)</f>
        <v>13246.410147076167</v>
      </c>
      <c r="L31" s="788">
        <f>SUM(L32:L33)</f>
        <v>8200.158662475733</v>
      </c>
      <c r="M31" s="788">
        <f>SUM(M32:M33)</f>
        <v>3153.907177875297</v>
      </c>
    </row>
    <row r="32" spans="2:15" s="72" customFormat="1" ht="12.75">
      <c r="B32" s="216"/>
      <c r="C32" s="216"/>
      <c r="D32" s="218">
        <f>'ESTADO DE PERDIDAS Y GANANCIAS'!C8</f>
        <v>40370.01187680348</v>
      </c>
      <c r="E32" s="218">
        <f>'ESTADO DE PERDIDAS Y GANANCIAS'!D8</f>
        <v>40370.01187680348</v>
      </c>
      <c r="F32" s="218">
        <f>'ESTADO DE PERDIDAS Y GANANCIAS'!E8</f>
        <v>38477.66757007832</v>
      </c>
      <c r="G32" s="218">
        <f>'ESTADO DE PERDIDAS Y GANANCIAS'!F8</f>
        <v>33431.41608547789</v>
      </c>
      <c r="H32" s="218">
        <f>'ESTADO DE PERDIDAS Y GANANCIAS'!G8</f>
        <v>28385.164600877462</v>
      </c>
      <c r="I32" s="218">
        <f>'ESTADO DE PERDIDAS Y GANANCIAS'!H8</f>
        <v>23338.913116277028</v>
      </c>
      <c r="J32" s="218">
        <f>'ESTADO DE PERDIDAS Y GANANCIAS'!I8</f>
        <v>18292.661631676598</v>
      </c>
      <c r="K32" s="218">
        <f>'ESTADO DE PERDIDAS Y GANANCIAS'!J8</f>
        <v>13246.410147076167</v>
      </c>
      <c r="L32" s="218">
        <f>'ESTADO DE PERDIDAS Y GANANCIAS'!K8</f>
        <v>8200.158662475733</v>
      </c>
      <c r="M32" s="218">
        <f>'ESTADO DE PERDIDAS Y GANANCIAS'!L8</f>
        <v>3153.907177875297</v>
      </c>
      <c r="N32" s="215"/>
      <c r="O32" s="215"/>
    </row>
    <row r="33" spans="2:13" s="72" customFormat="1" ht="12.75">
      <c r="B33" s="216"/>
      <c r="C33" s="216">
        <v>0</v>
      </c>
      <c r="D33" s="216">
        <f>+C33</f>
        <v>0</v>
      </c>
      <c r="E33" s="216">
        <f>+D33</f>
        <v>0</v>
      </c>
      <c r="F33" s="216">
        <f>+E33</f>
        <v>0</v>
      </c>
      <c r="G33" s="216">
        <f>+F33</f>
        <v>0</v>
      </c>
      <c r="H33" s="216"/>
      <c r="I33" s="216"/>
      <c r="J33" s="216"/>
      <c r="K33" s="216"/>
      <c r="L33" s="216"/>
      <c r="M33" s="216"/>
    </row>
    <row r="34" spans="2:13" s="72" customFormat="1" ht="18.75" customHeight="1">
      <c r="B34" s="795" t="s">
        <v>346</v>
      </c>
      <c r="C34" s="795"/>
      <c r="D34" s="795">
        <f aca="true" t="shared" si="12" ref="D34:M34">+D28+D20+D5</f>
        <v>372715.429</v>
      </c>
      <c r="E34" s="795">
        <f t="shared" si="12"/>
        <v>378875.14456000004</v>
      </c>
      <c r="F34" s="795">
        <f t="shared" si="12"/>
        <v>391050.7515112</v>
      </c>
      <c r="G34" s="795">
        <f t="shared" si="12"/>
        <v>403764.5054554241</v>
      </c>
      <c r="H34" s="795">
        <f t="shared" si="12"/>
        <v>417041.90107523254</v>
      </c>
      <c r="I34" s="795">
        <f t="shared" si="12"/>
        <v>430909.6795339723</v>
      </c>
      <c r="J34" s="795">
        <f t="shared" si="12"/>
        <v>434665.61523474846</v>
      </c>
      <c r="K34" s="795">
        <f t="shared" si="12"/>
        <v>449799.68065604503</v>
      </c>
      <c r="L34" s="795">
        <f t="shared" si="12"/>
        <v>465612.4644175976</v>
      </c>
      <c r="M34" s="795">
        <f t="shared" si="12"/>
        <v>482136.34273780277</v>
      </c>
    </row>
    <row r="35" spans="2:13" s="69" customFormat="1" ht="18">
      <c r="B35" s="795" t="s">
        <v>222</v>
      </c>
      <c r="C35" s="795"/>
      <c r="D35" s="795">
        <f aca="true" t="shared" si="13" ref="D35:M35">+D28+D20+D5+D31</f>
        <v>413085.4408768035</v>
      </c>
      <c r="E35" s="795">
        <f t="shared" si="13"/>
        <v>419245.1564368035</v>
      </c>
      <c r="F35" s="795">
        <f t="shared" si="13"/>
        <v>429528.4190812783</v>
      </c>
      <c r="G35" s="795">
        <f t="shared" si="13"/>
        <v>437195.921540902</v>
      </c>
      <c r="H35" s="795">
        <f t="shared" si="13"/>
        <v>445427.06567611</v>
      </c>
      <c r="I35" s="795">
        <f t="shared" si="13"/>
        <v>454248.5926502493</v>
      </c>
      <c r="J35" s="795">
        <f t="shared" si="13"/>
        <v>452958.27686642506</v>
      </c>
      <c r="K35" s="795">
        <f t="shared" si="13"/>
        <v>463046.0908031212</v>
      </c>
      <c r="L35" s="795">
        <f t="shared" si="13"/>
        <v>473812.6230800734</v>
      </c>
      <c r="M35" s="795">
        <f t="shared" si="13"/>
        <v>485290.24991567805</v>
      </c>
    </row>
    <row r="36" spans="7:13" s="73" customFormat="1" ht="18">
      <c r="G36" s="80"/>
      <c r="H36" s="80"/>
      <c r="I36" s="80"/>
      <c r="J36" s="80"/>
      <c r="K36" s="80"/>
      <c r="L36" s="80"/>
      <c r="M36" s="80"/>
    </row>
    <row r="37" spans="7:13" s="73" customFormat="1" ht="18">
      <c r="G37" s="80"/>
      <c r="H37" s="80"/>
      <c r="I37" s="80"/>
      <c r="J37" s="80"/>
      <c r="K37" s="80"/>
      <c r="L37" s="80"/>
      <c r="M37" s="80"/>
    </row>
    <row r="38" spans="2:13" s="73" customFormat="1" ht="15">
      <c r="B38" s="82"/>
      <c r="C38" s="82"/>
      <c r="G38" s="81"/>
      <c r="H38" s="81"/>
      <c r="I38" s="81"/>
      <c r="J38" s="81"/>
      <c r="K38" s="81"/>
      <c r="L38" s="81"/>
      <c r="M38" s="81"/>
    </row>
    <row r="39" s="73" customFormat="1" ht="12.75">
      <c r="B39" s="83"/>
    </row>
    <row r="40" spans="2:13" s="73" customFormat="1" ht="15">
      <c r="B40" s="79"/>
      <c r="H40" s="84"/>
      <c r="I40" s="84"/>
      <c r="J40" s="84"/>
      <c r="K40" s="84"/>
      <c r="L40" s="84"/>
      <c r="M40" s="84"/>
    </row>
    <row r="41" spans="2:13" s="73" customFormat="1" ht="15">
      <c r="B41" s="79"/>
      <c r="C41" s="74"/>
      <c r="G41" s="84"/>
      <c r="H41" s="84"/>
      <c r="I41" s="84"/>
      <c r="J41" s="84"/>
      <c r="K41" s="84"/>
      <c r="L41" s="84"/>
      <c r="M41" s="84"/>
    </row>
  </sheetData>
  <sheetProtection/>
  <mergeCells count="1">
    <mergeCell ref="B1:M1"/>
  </mergeCells>
  <printOptions/>
  <pageMargins left="0.79" right="0.79" top="0.98" bottom="0.98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4:Y55"/>
  <sheetViews>
    <sheetView zoomScalePageLayoutView="0" workbookViewId="0" topLeftCell="B16">
      <selection activeCell="A39" sqref="A39:Y49"/>
    </sheetView>
  </sheetViews>
  <sheetFormatPr defaultColWidth="11.421875" defaultRowHeight="12.75" outlineLevelCol="1"/>
  <cols>
    <col min="1" max="1" width="20.00390625" style="412" customWidth="1"/>
    <col min="2" max="2" width="12.00390625" style="412" bestFit="1" customWidth="1"/>
    <col min="3" max="3" width="11.8515625" style="412" customWidth="1"/>
    <col min="4" max="15" width="11.421875" style="412" customWidth="1" outlineLevel="1"/>
    <col min="16" max="16" width="11.57421875" style="412" bestFit="1" customWidth="1"/>
    <col min="17" max="16384" width="11.421875" style="412" customWidth="1"/>
  </cols>
  <sheetData>
    <row r="4" ht="12.75">
      <c r="A4" s="411" t="s">
        <v>400</v>
      </c>
    </row>
    <row r="7" ht="12.75">
      <c r="A7" s="412" t="s">
        <v>401</v>
      </c>
    </row>
    <row r="9" spans="1:4" ht="12.75">
      <c r="A9" s="412" t="s">
        <v>402</v>
      </c>
      <c r="B9" s="413">
        <v>7690</v>
      </c>
      <c r="C9" s="411" t="s">
        <v>403</v>
      </c>
      <c r="D9" s="413">
        <v>9908</v>
      </c>
    </row>
    <row r="10" spans="1:4" ht="12.75">
      <c r="A10" s="412" t="s">
        <v>404</v>
      </c>
      <c r="B10" s="413">
        <v>8089</v>
      </c>
      <c r="C10" s="411" t="s">
        <v>405</v>
      </c>
      <c r="D10" s="413">
        <v>10423</v>
      </c>
    </row>
    <row r="11" spans="1:4" ht="12.75">
      <c r="A11" s="412" t="s">
        <v>406</v>
      </c>
      <c r="B11" s="413">
        <v>8510</v>
      </c>
      <c r="C11" s="411" t="s">
        <v>407</v>
      </c>
      <c r="D11" s="413">
        <v>10965</v>
      </c>
    </row>
    <row r="12" spans="1:4" ht="12.75">
      <c r="A12" s="412" t="s">
        <v>408</v>
      </c>
      <c r="B12" s="413">
        <v>8953</v>
      </c>
      <c r="C12" s="411" t="s">
        <v>409</v>
      </c>
      <c r="D12" s="413">
        <v>11535</v>
      </c>
    </row>
    <row r="13" spans="1:4" ht="12.75">
      <c r="A13" s="412" t="s">
        <v>410</v>
      </c>
      <c r="B13" s="413">
        <v>9418</v>
      </c>
      <c r="C13" s="411" t="s">
        <v>411</v>
      </c>
      <c r="D13" s="413">
        <v>12135</v>
      </c>
    </row>
    <row r="16" spans="1:13" ht="12.75">
      <c r="A16" s="683" t="s">
        <v>302</v>
      </c>
      <c r="B16" s="684" t="s">
        <v>412</v>
      </c>
      <c r="C16" s="685">
        <v>2011</v>
      </c>
      <c r="D16" s="685">
        <v>2012</v>
      </c>
      <c r="E16" s="685">
        <v>2013</v>
      </c>
      <c r="F16" s="685">
        <v>2014</v>
      </c>
      <c r="G16" s="685">
        <v>2015</v>
      </c>
      <c r="H16" s="685">
        <v>2016</v>
      </c>
      <c r="I16" s="685">
        <v>2017</v>
      </c>
      <c r="J16" s="685">
        <v>2018</v>
      </c>
      <c r="K16" s="685">
        <v>2019</v>
      </c>
      <c r="L16" s="685">
        <v>2020</v>
      </c>
      <c r="M16" s="410"/>
    </row>
    <row r="17" spans="1:12" ht="12.75">
      <c r="A17" s="686" t="s">
        <v>413</v>
      </c>
      <c r="B17" s="687">
        <v>0.09</v>
      </c>
      <c r="C17" s="688">
        <f>($B17*$B$9)</f>
        <v>692.1</v>
      </c>
      <c r="D17" s="688">
        <f>$B17*$B$10</f>
        <v>728.01</v>
      </c>
      <c r="E17" s="688">
        <f>$B17*$B$11</f>
        <v>765.9</v>
      </c>
      <c r="F17" s="688">
        <f>$B17*$B$12</f>
        <v>805.77</v>
      </c>
      <c r="G17" s="688">
        <f>$B17*$B$13</f>
        <v>847.62</v>
      </c>
      <c r="H17" s="688">
        <f>$B17*$D$9</f>
        <v>891.7199999999999</v>
      </c>
      <c r="I17" s="688">
        <f>$B17*$D$10</f>
        <v>938.0699999999999</v>
      </c>
      <c r="J17" s="688">
        <f>$B17*$D$11</f>
        <v>986.8499999999999</v>
      </c>
      <c r="K17" s="688">
        <f>$B17*$D$12</f>
        <v>1038.1499999999999</v>
      </c>
      <c r="L17" s="688">
        <f>$B17*$D$13</f>
        <v>1092.1499999999999</v>
      </c>
    </row>
    <row r="18" spans="1:12" ht="12.75">
      <c r="A18" s="686" t="s">
        <v>414</v>
      </c>
      <c r="B18" s="687">
        <v>0.07</v>
      </c>
      <c r="C18" s="688">
        <f aca="true" t="shared" si="0" ref="C18:C28">($B18*$B$9)</f>
        <v>538.3000000000001</v>
      </c>
      <c r="D18" s="688">
        <f aca="true" t="shared" si="1" ref="D18:D28">$B18*$B$10</f>
        <v>566.23</v>
      </c>
      <c r="E18" s="688">
        <f aca="true" t="shared" si="2" ref="E18:E28">$B18*$B$11</f>
        <v>595.7</v>
      </c>
      <c r="F18" s="688">
        <f aca="true" t="shared" si="3" ref="F18:F28">$B18*$B$12</f>
        <v>626.71</v>
      </c>
      <c r="G18" s="688">
        <f aca="true" t="shared" si="4" ref="G18:G28">$B18*$B$13</f>
        <v>659.2600000000001</v>
      </c>
      <c r="H18" s="688">
        <f aca="true" t="shared" si="5" ref="H18:H28">$B18*$D$9</f>
        <v>693.5600000000001</v>
      </c>
      <c r="I18" s="688">
        <f aca="true" t="shared" si="6" ref="I18:I28">$B18*$D$10</f>
        <v>729.61</v>
      </c>
      <c r="J18" s="688">
        <f aca="true" t="shared" si="7" ref="J18:J28">$B18*$D$11</f>
        <v>767.5500000000001</v>
      </c>
      <c r="K18" s="688">
        <f aca="true" t="shared" si="8" ref="K18:K28">$B18*$D$12</f>
        <v>807.45</v>
      </c>
      <c r="L18" s="688">
        <f aca="true" t="shared" si="9" ref="L18:L28">$B18*$D$13</f>
        <v>849.45</v>
      </c>
    </row>
    <row r="19" spans="1:12" ht="12.75">
      <c r="A19" s="686" t="s">
        <v>415</v>
      </c>
      <c r="B19" s="687">
        <v>0.09</v>
      </c>
      <c r="C19" s="688">
        <f t="shared" si="0"/>
        <v>692.1</v>
      </c>
      <c r="D19" s="688">
        <f t="shared" si="1"/>
        <v>728.01</v>
      </c>
      <c r="E19" s="688">
        <f t="shared" si="2"/>
        <v>765.9</v>
      </c>
      <c r="F19" s="688">
        <f t="shared" si="3"/>
        <v>805.77</v>
      </c>
      <c r="G19" s="688">
        <f t="shared" si="4"/>
        <v>847.62</v>
      </c>
      <c r="H19" s="688">
        <f t="shared" si="5"/>
        <v>891.7199999999999</v>
      </c>
      <c r="I19" s="688">
        <f t="shared" si="6"/>
        <v>938.0699999999999</v>
      </c>
      <c r="J19" s="688">
        <f t="shared" si="7"/>
        <v>986.8499999999999</v>
      </c>
      <c r="K19" s="688">
        <f t="shared" si="8"/>
        <v>1038.1499999999999</v>
      </c>
      <c r="L19" s="688">
        <f t="shared" si="9"/>
        <v>1092.1499999999999</v>
      </c>
    </row>
    <row r="20" spans="1:12" ht="12.75">
      <c r="A20" s="686" t="s">
        <v>416</v>
      </c>
      <c r="B20" s="687">
        <v>0.07</v>
      </c>
      <c r="C20" s="688">
        <f t="shared" si="0"/>
        <v>538.3000000000001</v>
      </c>
      <c r="D20" s="688">
        <f t="shared" si="1"/>
        <v>566.23</v>
      </c>
      <c r="E20" s="688">
        <f t="shared" si="2"/>
        <v>595.7</v>
      </c>
      <c r="F20" s="688">
        <f t="shared" si="3"/>
        <v>626.71</v>
      </c>
      <c r="G20" s="688">
        <f t="shared" si="4"/>
        <v>659.2600000000001</v>
      </c>
      <c r="H20" s="688">
        <f t="shared" si="5"/>
        <v>693.5600000000001</v>
      </c>
      <c r="I20" s="688">
        <f t="shared" si="6"/>
        <v>729.61</v>
      </c>
      <c r="J20" s="688">
        <f t="shared" si="7"/>
        <v>767.5500000000001</v>
      </c>
      <c r="K20" s="688">
        <f t="shared" si="8"/>
        <v>807.45</v>
      </c>
      <c r="L20" s="688">
        <f t="shared" si="9"/>
        <v>849.45</v>
      </c>
    </row>
    <row r="21" spans="1:12" ht="12.75">
      <c r="A21" s="686" t="s">
        <v>417</v>
      </c>
      <c r="B21" s="687">
        <v>0.07</v>
      </c>
      <c r="C21" s="688">
        <f t="shared" si="0"/>
        <v>538.3000000000001</v>
      </c>
      <c r="D21" s="688">
        <f t="shared" si="1"/>
        <v>566.23</v>
      </c>
      <c r="E21" s="688">
        <f t="shared" si="2"/>
        <v>595.7</v>
      </c>
      <c r="F21" s="688">
        <f t="shared" si="3"/>
        <v>626.71</v>
      </c>
      <c r="G21" s="688">
        <f t="shared" si="4"/>
        <v>659.2600000000001</v>
      </c>
      <c r="H21" s="688">
        <f t="shared" si="5"/>
        <v>693.5600000000001</v>
      </c>
      <c r="I21" s="688">
        <f t="shared" si="6"/>
        <v>729.61</v>
      </c>
      <c r="J21" s="688">
        <f t="shared" si="7"/>
        <v>767.5500000000001</v>
      </c>
      <c r="K21" s="688">
        <f t="shared" si="8"/>
        <v>807.45</v>
      </c>
      <c r="L21" s="688">
        <f t="shared" si="9"/>
        <v>849.45</v>
      </c>
    </row>
    <row r="22" spans="1:12" ht="12.75">
      <c r="A22" s="686" t="s">
        <v>418</v>
      </c>
      <c r="B22" s="687">
        <v>0.09</v>
      </c>
      <c r="C22" s="688">
        <f t="shared" si="0"/>
        <v>692.1</v>
      </c>
      <c r="D22" s="688">
        <f t="shared" si="1"/>
        <v>728.01</v>
      </c>
      <c r="E22" s="688">
        <f t="shared" si="2"/>
        <v>765.9</v>
      </c>
      <c r="F22" s="688">
        <f t="shared" si="3"/>
        <v>805.77</v>
      </c>
      <c r="G22" s="688">
        <f t="shared" si="4"/>
        <v>847.62</v>
      </c>
      <c r="H22" s="688">
        <f t="shared" si="5"/>
        <v>891.7199999999999</v>
      </c>
      <c r="I22" s="688">
        <f t="shared" si="6"/>
        <v>938.0699999999999</v>
      </c>
      <c r="J22" s="688">
        <f t="shared" si="7"/>
        <v>986.8499999999999</v>
      </c>
      <c r="K22" s="688">
        <f t="shared" si="8"/>
        <v>1038.1499999999999</v>
      </c>
      <c r="L22" s="688">
        <f t="shared" si="9"/>
        <v>1092.1499999999999</v>
      </c>
    </row>
    <row r="23" spans="1:12" ht="12.75">
      <c r="A23" s="686" t="s">
        <v>419</v>
      </c>
      <c r="B23" s="687">
        <v>0.11</v>
      </c>
      <c r="C23" s="688">
        <f t="shared" si="0"/>
        <v>845.9</v>
      </c>
      <c r="D23" s="688">
        <f t="shared" si="1"/>
        <v>889.79</v>
      </c>
      <c r="E23" s="688">
        <f t="shared" si="2"/>
        <v>936.1</v>
      </c>
      <c r="F23" s="688">
        <f t="shared" si="3"/>
        <v>984.83</v>
      </c>
      <c r="G23" s="688">
        <f t="shared" si="4"/>
        <v>1035.98</v>
      </c>
      <c r="H23" s="688">
        <f t="shared" si="5"/>
        <v>1089.88</v>
      </c>
      <c r="I23" s="688">
        <f t="shared" si="6"/>
        <v>1146.53</v>
      </c>
      <c r="J23" s="688">
        <f t="shared" si="7"/>
        <v>1206.15</v>
      </c>
      <c r="K23" s="688">
        <f t="shared" si="8"/>
        <v>1268.85</v>
      </c>
      <c r="L23" s="688">
        <f t="shared" si="9"/>
        <v>1334.85</v>
      </c>
    </row>
    <row r="24" spans="1:12" ht="12.75">
      <c r="A24" s="686" t="s">
        <v>420</v>
      </c>
      <c r="B24" s="687">
        <v>0.12</v>
      </c>
      <c r="C24" s="688">
        <f t="shared" si="0"/>
        <v>922.8</v>
      </c>
      <c r="D24" s="688">
        <f t="shared" si="1"/>
        <v>970.68</v>
      </c>
      <c r="E24" s="688">
        <f t="shared" si="2"/>
        <v>1021.1999999999999</v>
      </c>
      <c r="F24" s="688">
        <f t="shared" si="3"/>
        <v>1074.36</v>
      </c>
      <c r="G24" s="688">
        <f t="shared" si="4"/>
        <v>1130.1599999999999</v>
      </c>
      <c r="H24" s="688">
        <f t="shared" si="5"/>
        <v>1188.96</v>
      </c>
      <c r="I24" s="688">
        <f t="shared" si="6"/>
        <v>1250.76</v>
      </c>
      <c r="J24" s="688">
        <f t="shared" si="7"/>
        <v>1315.8</v>
      </c>
      <c r="K24" s="688">
        <f t="shared" si="8"/>
        <v>1384.2</v>
      </c>
      <c r="L24" s="688">
        <f t="shared" si="9"/>
        <v>1456.2</v>
      </c>
    </row>
    <row r="25" spans="1:12" ht="12.75">
      <c r="A25" s="686" t="s">
        <v>421</v>
      </c>
      <c r="B25" s="687">
        <v>0.08</v>
      </c>
      <c r="C25" s="688">
        <f t="shared" si="0"/>
        <v>615.2</v>
      </c>
      <c r="D25" s="688">
        <f t="shared" si="1"/>
        <v>647.12</v>
      </c>
      <c r="E25" s="688">
        <f t="shared" si="2"/>
        <v>680.8000000000001</v>
      </c>
      <c r="F25" s="688">
        <f t="shared" si="3"/>
        <v>716.24</v>
      </c>
      <c r="G25" s="688">
        <f t="shared" si="4"/>
        <v>753.44</v>
      </c>
      <c r="H25" s="688">
        <f t="shared" si="5"/>
        <v>792.64</v>
      </c>
      <c r="I25" s="688">
        <f t="shared" si="6"/>
        <v>833.84</v>
      </c>
      <c r="J25" s="688">
        <f t="shared" si="7"/>
        <v>877.2</v>
      </c>
      <c r="K25" s="688">
        <f t="shared" si="8"/>
        <v>922.8000000000001</v>
      </c>
      <c r="L25" s="688">
        <f t="shared" si="9"/>
        <v>970.8000000000001</v>
      </c>
    </row>
    <row r="26" spans="1:12" ht="12.75">
      <c r="A26" s="686" t="s">
        <v>422</v>
      </c>
      <c r="B26" s="687">
        <v>0.07</v>
      </c>
      <c r="C26" s="688">
        <f t="shared" si="0"/>
        <v>538.3000000000001</v>
      </c>
      <c r="D26" s="688">
        <f t="shared" si="1"/>
        <v>566.23</v>
      </c>
      <c r="E26" s="688">
        <f t="shared" si="2"/>
        <v>595.7</v>
      </c>
      <c r="F26" s="688">
        <f t="shared" si="3"/>
        <v>626.71</v>
      </c>
      <c r="G26" s="688">
        <f t="shared" si="4"/>
        <v>659.2600000000001</v>
      </c>
      <c r="H26" s="688">
        <f t="shared" si="5"/>
        <v>693.5600000000001</v>
      </c>
      <c r="I26" s="688">
        <f t="shared" si="6"/>
        <v>729.61</v>
      </c>
      <c r="J26" s="688">
        <f t="shared" si="7"/>
        <v>767.5500000000001</v>
      </c>
      <c r="K26" s="688">
        <f t="shared" si="8"/>
        <v>807.45</v>
      </c>
      <c r="L26" s="688">
        <f t="shared" si="9"/>
        <v>849.45</v>
      </c>
    </row>
    <row r="27" spans="1:12" ht="12.75">
      <c r="A27" s="686" t="s">
        <v>423</v>
      </c>
      <c r="B27" s="687">
        <v>0.06</v>
      </c>
      <c r="C27" s="688">
        <f t="shared" si="0"/>
        <v>461.4</v>
      </c>
      <c r="D27" s="688">
        <f t="shared" si="1"/>
        <v>485.34</v>
      </c>
      <c r="E27" s="688">
        <f t="shared" si="2"/>
        <v>510.59999999999997</v>
      </c>
      <c r="F27" s="688">
        <f t="shared" si="3"/>
        <v>537.18</v>
      </c>
      <c r="G27" s="688">
        <f t="shared" si="4"/>
        <v>565.0799999999999</v>
      </c>
      <c r="H27" s="688">
        <f t="shared" si="5"/>
        <v>594.48</v>
      </c>
      <c r="I27" s="688">
        <f t="shared" si="6"/>
        <v>625.38</v>
      </c>
      <c r="J27" s="688">
        <f t="shared" si="7"/>
        <v>657.9</v>
      </c>
      <c r="K27" s="688">
        <f t="shared" si="8"/>
        <v>692.1</v>
      </c>
      <c r="L27" s="688">
        <f t="shared" si="9"/>
        <v>728.1</v>
      </c>
    </row>
    <row r="28" spans="1:12" ht="12.75">
      <c r="A28" s="686" t="s">
        <v>424</v>
      </c>
      <c r="B28" s="687">
        <v>0.08</v>
      </c>
      <c r="C28" s="688">
        <f t="shared" si="0"/>
        <v>615.2</v>
      </c>
      <c r="D28" s="688">
        <f t="shared" si="1"/>
        <v>647.12</v>
      </c>
      <c r="E28" s="688">
        <f t="shared" si="2"/>
        <v>680.8000000000001</v>
      </c>
      <c r="F28" s="688">
        <f t="shared" si="3"/>
        <v>716.24</v>
      </c>
      <c r="G28" s="688">
        <f t="shared" si="4"/>
        <v>753.44</v>
      </c>
      <c r="H28" s="688">
        <f t="shared" si="5"/>
        <v>792.64</v>
      </c>
      <c r="I28" s="688">
        <f t="shared" si="6"/>
        <v>833.84</v>
      </c>
      <c r="J28" s="688">
        <f t="shared" si="7"/>
        <v>877.2</v>
      </c>
      <c r="K28" s="688">
        <f t="shared" si="8"/>
        <v>922.8000000000001</v>
      </c>
      <c r="L28" s="688">
        <f t="shared" si="9"/>
        <v>970.8000000000001</v>
      </c>
    </row>
    <row r="29" spans="1:12" ht="12.75">
      <c r="A29" s="683" t="s">
        <v>12</v>
      </c>
      <c r="B29" s="689">
        <f>SUM(B17:B28)</f>
        <v>0.9999999999999999</v>
      </c>
      <c r="C29" s="690">
        <f>SUM(C17:C28)</f>
        <v>7690</v>
      </c>
      <c r="D29" s="690">
        <f aca="true" t="shared" si="10" ref="D29:L29">SUM(D17:D28)</f>
        <v>8089.000000000001</v>
      </c>
      <c r="E29" s="690">
        <f t="shared" si="10"/>
        <v>8510</v>
      </c>
      <c r="F29" s="690">
        <f t="shared" si="10"/>
        <v>8953</v>
      </c>
      <c r="G29" s="690">
        <f t="shared" si="10"/>
        <v>9418.000000000002</v>
      </c>
      <c r="H29" s="690">
        <f t="shared" si="10"/>
        <v>9908</v>
      </c>
      <c r="I29" s="690">
        <f t="shared" si="10"/>
        <v>10423</v>
      </c>
      <c r="J29" s="690">
        <f t="shared" si="10"/>
        <v>10965</v>
      </c>
      <c r="K29" s="690">
        <f t="shared" si="10"/>
        <v>11535</v>
      </c>
      <c r="L29" s="690">
        <f t="shared" si="10"/>
        <v>12135</v>
      </c>
    </row>
    <row r="31" spans="1:2" ht="12.75">
      <c r="A31" s="683" t="s">
        <v>425</v>
      </c>
      <c r="B31" s="691">
        <v>150</v>
      </c>
    </row>
    <row r="32" spans="1:13" ht="12.75">
      <c r="A32" s="683" t="s">
        <v>426</v>
      </c>
      <c r="B32" s="692">
        <v>24</v>
      </c>
      <c r="C32" s="683">
        <v>2011</v>
      </c>
      <c r="D32" s="683">
        <v>2012</v>
      </c>
      <c r="E32" s="683">
        <v>2013</v>
      </c>
      <c r="F32" s="683">
        <v>2014</v>
      </c>
      <c r="G32" s="683">
        <v>2015</v>
      </c>
      <c r="H32" s="683">
        <v>2016</v>
      </c>
      <c r="I32" s="683">
        <v>2017</v>
      </c>
      <c r="J32" s="683">
        <v>2018</v>
      </c>
      <c r="K32" s="683">
        <v>2019</v>
      </c>
      <c r="L32" s="683">
        <v>2020</v>
      </c>
      <c r="M32" s="410"/>
    </row>
    <row r="33" spans="1:12" ht="12.75">
      <c r="A33" s="686" t="s">
        <v>427</v>
      </c>
      <c r="B33" s="693">
        <v>24</v>
      </c>
      <c r="C33" s="688">
        <f>$B$31*$B33/2</f>
        <v>1800</v>
      </c>
      <c r="D33" s="688">
        <f aca="true" t="shared" si="11" ref="D33:H34">$B$31*$B33</f>
        <v>3600</v>
      </c>
      <c r="E33" s="688">
        <f t="shared" si="11"/>
        <v>3600</v>
      </c>
      <c r="F33" s="688">
        <f t="shared" si="11"/>
        <v>3600</v>
      </c>
      <c r="G33" s="688">
        <f t="shared" si="11"/>
        <v>3600</v>
      </c>
      <c r="H33" s="688">
        <f t="shared" si="11"/>
        <v>3600</v>
      </c>
      <c r="I33" s="688">
        <f aca="true" t="shared" si="12" ref="I33:L34">$B$31*$B33</f>
        <v>3600</v>
      </c>
      <c r="J33" s="688">
        <f t="shared" si="12"/>
        <v>3600</v>
      </c>
      <c r="K33" s="688">
        <f t="shared" si="12"/>
        <v>3600</v>
      </c>
      <c r="L33" s="688">
        <f t="shared" si="12"/>
        <v>3600</v>
      </c>
    </row>
    <row r="34" spans="1:12" ht="12.75">
      <c r="A34" s="686" t="s">
        <v>428</v>
      </c>
      <c r="B34" s="693">
        <v>24</v>
      </c>
      <c r="C34" s="688">
        <f>$B$31*$B34/2</f>
        <v>1800</v>
      </c>
      <c r="D34" s="688">
        <f t="shared" si="11"/>
        <v>3600</v>
      </c>
      <c r="E34" s="688">
        <f t="shared" si="11"/>
        <v>3600</v>
      </c>
      <c r="F34" s="688">
        <f t="shared" si="11"/>
        <v>3600</v>
      </c>
      <c r="G34" s="688">
        <f t="shared" si="11"/>
        <v>3600</v>
      </c>
      <c r="H34" s="688">
        <f t="shared" si="11"/>
        <v>3600</v>
      </c>
      <c r="I34" s="688">
        <f t="shared" si="12"/>
        <v>3600</v>
      </c>
      <c r="J34" s="688">
        <f t="shared" si="12"/>
        <v>3600</v>
      </c>
      <c r="K34" s="688">
        <f t="shared" si="12"/>
        <v>3600</v>
      </c>
      <c r="L34" s="688">
        <f t="shared" si="12"/>
        <v>3600</v>
      </c>
    </row>
    <row r="35" spans="1:12" ht="12.75">
      <c r="A35" s="686" t="s">
        <v>488</v>
      </c>
      <c r="B35" s="693">
        <v>12</v>
      </c>
      <c r="C35" s="688">
        <f>$B$31*$B$35/2</f>
        <v>900</v>
      </c>
      <c r="D35" s="688">
        <f aca="true" t="shared" si="13" ref="D35:L35">$B$31*$B$35</f>
        <v>1800</v>
      </c>
      <c r="E35" s="688">
        <f t="shared" si="13"/>
        <v>1800</v>
      </c>
      <c r="F35" s="688">
        <f t="shared" si="13"/>
        <v>1800</v>
      </c>
      <c r="G35" s="688">
        <f t="shared" si="13"/>
        <v>1800</v>
      </c>
      <c r="H35" s="688">
        <f t="shared" si="13"/>
        <v>1800</v>
      </c>
      <c r="I35" s="688">
        <f t="shared" si="13"/>
        <v>1800</v>
      </c>
      <c r="J35" s="688">
        <f t="shared" si="13"/>
        <v>1800</v>
      </c>
      <c r="K35" s="688">
        <f t="shared" si="13"/>
        <v>1800</v>
      </c>
      <c r="L35" s="688">
        <f t="shared" si="13"/>
        <v>1800</v>
      </c>
    </row>
    <row r="36" spans="1:12" ht="12.75">
      <c r="A36" s="870" t="s">
        <v>429</v>
      </c>
      <c r="B36" s="870"/>
      <c r="C36" s="690">
        <f>SUM(C33:C34)</f>
        <v>3600</v>
      </c>
      <c r="D36" s="690">
        <f aca="true" t="shared" si="14" ref="D36:L36">SUM(D33:D34)</f>
        <v>7200</v>
      </c>
      <c r="E36" s="690">
        <f t="shared" si="14"/>
        <v>7200</v>
      </c>
      <c r="F36" s="690">
        <f t="shared" si="14"/>
        <v>7200</v>
      </c>
      <c r="G36" s="690">
        <f t="shared" si="14"/>
        <v>7200</v>
      </c>
      <c r="H36" s="690">
        <f t="shared" si="14"/>
        <v>7200</v>
      </c>
      <c r="I36" s="690">
        <f t="shared" si="14"/>
        <v>7200</v>
      </c>
      <c r="J36" s="690">
        <f t="shared" si="14"/>
        <v>7200</v>
      </c>
      <c r="K36" s="690">
        <f t="shared" si="14"/>
        <v>7200</v>
      </c>
      <c r="L36" s="690">
        <f t="shared" si="14"/>
        <v>7200</v>
      </c>
    </row>
    <row r="39" spans="1:25" ht="12.75">
      <c r="A39" s="694" t="s">
        <v>430</v>
      </c>
      <c r="B39" s="694" t="s">
        <v>250</v>
      </c>
      <c r="C39" s="694" t="s">
        <v>431</v>
      </c>
      <c r="D39" s="695">
        <v>40544</v>
      </c>
      <c r="E39" s="695">
        <v>40575</v>
      </c>
      <c r="F39" s="695">
        <v>40603</v>
      </c>
      <c r="G39" s="695">
        <v>40634</v>
      </c>
      <c r="H39" s="695">
        <v>40664</v>
      </c>
      <c r="I39" s="695">
        <v>40695</v>
      </c>
      <c r="J39" s="695">
        <v>40725</v>
      </c>
      <c r="K39" s="695">
        <v>40756</v>
      </c>
      <c r="L39" s="695">
        <v>40787</v>
      </c>
      <c r="M39" s="695">
        <v>40817</v>
      </c>
      <c r="N39" s="695">
        <v>40848</v>
      </c>
      <c r="O39" s="695">
        <v>40878</v>
      </c>
      <c r="P39" s="694">
        <v>2011</v>
      </c>
      <c r="Q39" s="694">
        <v>2012</v>
      </c>
      <c r="R39" s="694">
        <v>2013</v>
      </c>
      <c r="S39" s="694">
        <v>2014</v>
      </c>
      <c r="T39" s="694">
        <v>2015</v>
      </c>
      <c r="U39" s="694">
        <v>2016</v>
      </c>
      <c r="V39" s="694">
        <v>2017</v>
      </c>
      <c r="W39" s="694">
        <v>2018</v>
      </c>
      <c r="X39" s="694">
        <v>2019</v>
      </c>
      <c r="Y39" s="694">
        <v>2020</v>
      </c>
    </row>
    <row r="40" spans="1:25" ht="12.75">
      <c r="A40" s="686" t="s">
        <v>432</v>
      </c>
      <c r="B40" s="696">
        <v>25</v>
      </c>
      <c r="C40" s="697">
        <v>0.4</v>
      </c>
      <c r="D40" s="698">
        <f>$B40*$C40*$C$17</f>
        <v>6921</v>
      </c>
      <c r="E40" s="698">
        <f>$B40*$C40*$C$18</f>
        <v>5383.000000000001</v>
      </c>
      <c r="F40" s="698">
        <f>$B40*$C40*$C$19</f>
        <v>6921</v>
      </c>
      <c r="G40" s="698">
        <f>$B40*$C40*$C$20</f>
        <v>5383.000000000001</v>
      </c>
      <c r="H40" s="698">
        <f>$B40*$C40*$C$21</f>
        <v>5383.000000000001</v>
      </c>
      <c r="I40" s="698">
        <f>$B40*$C40*$C$22</f>
        <v>6921</v>
      </c>
      <c r="J40" s="698">
        <f>$B40*$C40*$C$23</f>
        <v>8459</v>
      </c>
      <c r="K40" s="698">
        <f>$B40*$C40*$C$24</f>
        <v>9228</v>
      </c>
      <c r="L40" s="698">
        <f>$B40*$C40*$C$25</f>
        <v>6152</v>
      </c>
      <c r="M40" s="698">
        <f>$B40*$C40*$C$26</f>
        <v>5383.000000000001</v>
      </c>
      <c r="N40" s="698">
        <f>$B40*$C40*$C$27</f>
        <v>4614</v>
      </c>
      <c r="O40" s="698">
        <f>$B40*$C40*$C$28</f>
        <v>6152</v>
      </c>
      <c r="P40" s="698">
        <f>$B40*$C40*C$29</f>
        <v>76900</v>
      </c>
      <c r="Q40" s="698">
        <f>$B40*$C40*D$29</f>
        <v>80890.00000000001</v>
      </c>
      <c r="R40" s="698">
        <f aca="true" t="shared" si="15" ref="Q40:Y43">$B40*$C40*E$29</f>
        <v>85100</v>
      </c>
      <c r="S40" s="698">
        <f t="shared" si="15"/>
        <v>89530</v>
      </c>
      <c r="T40" s="698">
        <f t="shared" si="15"/>
        <v>94180.00000000001</v>
      </c>
      <c r="U40" s="698">
        <f t="shared" si="15"/>
        <v>99080</v>
      </c>
      <c r="V40" s="698">
        <f t="shared" si="15"/>
        <v>104230</v>
      </c>
      <c r="W40" s="698">
        <f t="shared" si="15"/>
        <v>109650</v>
      </c>
      <c r="X40" s="698">
        <f t="shared" si="15"/>
        <v>115350</v>
      </c>
      <c r="Y40" s="698">
        <f t="shared" si="15"/>
        <v>121350</v>
      </c>
    </row>
    <row r="41" spans="1:25" ht="12.75">
      <c r="A41" s="686" t="s">
        <v>433</v>
      </c>
      <c r="B41" s="696">
        <v>35</v>
      </c>
      <c r="C41" s="697">
        <v>0.3</v>
      </c>
      <c r="D41" s="698">
        <f>$B41*$C41*$C$17</f>
        <v>7267.05</v>
      </c>
      <c r="E41" s="698">
        <f>$B41*$C41*$C$18</f>
        <v>5652.150000000001</v>
      </c>
      <c r="F41" s="698">
        <f>$B41*$C41*$C$19</f>
        <v>7267.05</v>
      </c>
      <c r="G41" s="698">
        <f>$B41*$C41*$C$20</f>
        <v>5652.150000000001</v>
      </c>
      <c r="H41" s="698">
        <f>$B41*$C41*$C$21</f>
        <v>5652.150000000001</v>
      </c>
      <c r="I41" s="698">
        <f>$B41*$C41*$C$22</f>
        <v>7267.05</v>
      </c>
      <c r="J41" s="698">
        <f>$B41*$C41*$C$23</f>
        <v>8881.949999999999</v>
      </c>
      <c r="K41" s="698">
        <f>$B41*$C41*$C$24</f>
        <v>9689.4</v>
      </c>
      <c r="L41" s="698">
        <f>$B41*$C41*$C$25</f>
        <v>6459.6</v>
      </c>
      <c r="M41" s="698">
        <f>$B41*$C41*$C$26</f>
        <v>5652.150000000001</v>
      </c>
      <c r="N41" s="698">
        <f>$B41*$C41*$C$27</f>
        <v>4844.7</v>
      </c>
      <c r="O41" s="698">
        <f>$B41*$C41*$C$28</f>
        <v>6459.6</v>
      </c>
      <c r="P41" s="698">
        <f>$B41*$C41*C$29</f>
        <v>80745</v>
      </c>
      <c r="Q41" s="698">
        <f t="shared" si="15"/>
        <v>84934.50000000001</v>
      </c>
      <c r="R41" s="698">
        <f t="shared" si="15"/>
        <v>89355</v>
      </c>
      <c r="S41" s="698">
        <f t="shared" si="15"/>
        <v>94006.5</v>
      </c>
      <c r="T41" s="698">
        <f t="shared" si="15"/>
        <v>98889.00000000001</v>
      </c>
      <c r="U41" s="698">
        <f t="shared" si="15"/>
        <v>104034</v>
      </c>
      <c r="V41" s="698">
        <f t="shared" si="15"/>
        <v>109441.5</v>
      </c>
      <c r="W41" s="698">
        <f t="shared" si="15"/>
        <v>115132.5</v>
      </c>
      <c r="X41" s="698">
        <f t="shared" si="15"/>
        <v>121117.5</v>
      </c>
      <c r="Y41" s="698">
        <f t="shared" si="15"/>
        <v>127417.5</v>
      </c>
    </row>
    <row r="42" spans="1:25" ht="12.75">
      <c r="A42" s="686" t="s">
        <v>434</v>
      </c>
      <c r="B42" s="696">
        <v>40</v>
      </c>
      <c r="C42" s="697">
        <v>0.2</v>
      </c>
      <c r="D42" s="698">
        <f>$B42*$C42*$C$17</f>
        <v>5536.8</v>
      </c>
      <c r="E42" s="698">
        <f>$B42*$C42*$C$18</f>
        <v>4306.400000000001</v>
      </c>
      <c r="F42" s="698">
        <f>$B42*$C42*$C$19</f>
        <v>5536.8</v>
      </c>
      <c r="G42" s="698">
        <f>$B42*$C42*$C$20</f>
        <v>4306.400000000001</v>
      </c>
      <c r="H42" s="698">
        <f>$B42*$C42*$C$21</f>
        <v>4306.400000000001</v>
      </c>
      <c r="I42" s="698">
        <f>$B42*$C42*$C$22</f>
        <v>5536.8</v>
      </c>
      <c r="J42" s="698">
        <f>$B42*$C42*$C$23</f>
        <v>6767.2</v>
      </c>
      <c r="K42" s="698">
        <f>$B42*$C42*$C$24</f>
        <v>7382.4</v>
      </c>
      <c r="L42" s="698">
        <f>$B42*$C42*$C$25</f>
        <v>4921.6</v>
      </c>
      <c r="M42" s="698">
        <f>$B42*$C42*$C$26</f>
        <v>4306.400000000001</v>
      </c>
      <c r="N42" s="698">
        <f>$B42*$C42*$C$27</f>
        <v>3691.2</v>
      </c>
      <c r="O42" s="698">
        <f>$B42*$C42*$C$28</f>
        <v>4921.6</v>
      </c>
      <c r="P42" s="698">
        <f>$B42*$C42*C$29</f>
        <v>61520</v>
      </c>
      <c r="Q42" s="698">
        <f t="shared" si="15"/>
        <v>64712.00000000001</v>
      </c>
      <c r="R42" s="698">
        <f t="shared" si="15"/>
        <v>68080</v>
      </c>
      <c r="S42" s="698">
        <f t="shared" si="15"/>
        <v>71624</v>
      </c>
      <c r="T42" s="698">
        <f t="shared" si="15"/>
        <v>75344.00000000001</v>
      </c>
      <c r="U42" s="698">
        <f t="shared" si="15"/>
        <v>79264</v>
      </c>
      <c r="V42" s="698">
        <f t="shared" si="15"/>
        <v>83384</v>
      </c>
      <c r="W42" s="698">
        <f t="shared" si="15"/>
        <v>87720</v>
      </c>
      <c r="X42" s="698">
        <f t="shared" si="15"/>
        <v>92280</v>
      </c>
      <c r="Y42" s="698">
        <f t="shared" si="15"/>
        <v>97080</v>
      </c>
    </row>
    <row r="43" spans="1:25" ht="12.75">
      <c r="A43" s="686" t="s">
        <v>435</v>
      </c>
      <c r="B43" s="696">
        <v>50</v>
      </c>
      <c r="C43" s="697">
        <v>0.1</v>
      </c>
      <c r="D43" s="698">
        <f>$B43*$C43*$C$17</f>
        <v>3460.5</v>
      </c>
      <c r="E43" s="698">
        <f>$B43*$C43*$C$18</f>
        <v>2691.5000000000005</v>
      </c>
      <c r="F43" s="698">
        <f>$B43*$C43*$C$19</f>
        <v>3460.5</v>
      </c>
      <c r="G43" s="698">
        <f>$B43*$C43*$C$20</f>
        <v>2691.5000000000005</v>
      </c>
      <c r="H43" s="698">
        <f>$B43*$C43*$C$21</f>
        <v>2691.5000000000005</v>
      </c>
      <c r="I43" s="698">
        <f>$B43*$C43*$C$22</f>
        <v>3460.5</v>
      </c>
      <c r="J43" s="698">
        <f>$B43*$C43*$C$23</f>
        <v>4229.5</v>
      </c>
      <c r="K43" s="698">
        <f>$B43*$C43*$C$24</f>
        <v>4614</v>
      </c>
      <c r="L43" s="698">
        <f>$B43*$C43*$C$25</f>
        <v>3076</v>
      </c>
      <c r="M43" s="698">
        <f>$B43*$C43*$C$26</f>
        <v>2691.5000000000005</v>
      </c>
      <c r="N43" s="698">
        <f>$B43*$C43*$C$27</f>
        <v>2307</v>
      </c>
      <c r="O43" s="698">
        <f>$B43*$C43*$C$28</f>
        <v>3076</v>
      </c>
      <c r="P43" s="698">
        <f>$B43*$C43*C$29</f>
        <v>38450</v>
      </c>
      <c r="Q43" s="698">
        <f t="shared" si="15"/>
        <v>40445.00000000001</v>
      </c>
      <c r="R43" s="698">
        <f t="shared" si="15"/>
        <v>42550</v>
      </c>
      <c r="S43" s="698">
        <f t="shared" si="15"/>
        <v>44765</v>
      </c>
      <c r="T43" s="698">
        <f t="shared" si="15"/>
        <v>47090.00000000001</v>
      </c>
      <c r="U43" s="698">
        <f t="shared" si="15"/>
        <v>49540</v>
      </c>
      <c r="V43" s="698">
        <f t="shared" si="15"/>
        <v>52115</v>
      </c>
      <c r="W43" s="698">
        <f t="shared" si="15"/>
        <v>54825</v>
      </c>
      <c r="X43" s="698">
        <f t="shared" si="15"/>
        <v>57675</v>
      </c>
      <c r="Y43" s="698">
        <f t="shared" si="15"/>
        <v>60675</v>
      </c>
    </row>
    <row r="44" spans="1:25" ht="12.75">
      <c r="A44" s="686" t="s">
        <v>487</v>
      </c>
      <c r="B44" s="696">
        <v>10</v>
      </c>
      <c r="C44" s="699">
        <v>24</v>
      </c>
      <c r="D44" s="698">
        <f>$B44*200</f>
        <v>2000</v>
      </c>
      <c r="E44" s="698">
        <f aca="true" t="shared" si="16" ref="E44:O44">$B44*200</f>
        <v>2000</v>
      </c>
      <c r="F44" s="698">
        <f t="shared" si="16"/>
        <v>2000</v>
      </c>
      <c r="G44" s="698">
        <f t="shared" si="16"/>
        <v>2000</v>
      </c>
      <c r="H44" s="698">
        <f t="shared" si="16"/>
        <v>2000</v>
      </c>
      <c r="I44" s="698">
        <f t="shared" si="16"/>
        <v>2000</v>
      </c>
      <c r="J44" s="698">
        <f t="shared" si="16"/>
        <v>2000</v>
      </c>
      <c r="K44" s="698">
        <f t="shared" si="16"/>
        <v>2000</v>
      </c>
      <c r="L44" s="698">
        <f t="shared" si="16"/>
        <v>2000</v>
      </c>
      <c r="M44" s="698">
        <f t="shared" si="16"/>
        <v>2000</v>
      </c>
      <c r="N44" s="698">
        <f t="shared" si="16"/>
        <v>2000</v>
      </c>
      <c r="O44" s="698">
        <f t="shared" si="16"/>
        <v>2000</v>
      </c>
      <c r="P44" s="698">
        <f>$B44*$C44*200/2</f>
        <v>24000</v>
      </c>
      <c r="Q44" s="698">
        <f aca="true" t="shared" si="17" ref="Q44:Y44">$B44*$C44*200</f>
        <v>48000</v>
      </c>
      <c r="R44" s="698">
        <f t="shared" si="17"/>
        <v>48000</v>
      </c>
      <c r="S44" s="698">
        <f t="shared" si="17"/>
        <v>48000</v>
      </c>
      <c r="T44" s="698">
        <f t="shared" si="17"/>
        <v>48000</v>
      </c>
      <c r="U44" s="698">
        <f t="shared" si="17"/>
        <v>48000</v>
      </c>
      <c r="V44" s="698">
        <f t="shared" si="17"/>
        <v>48000</v>
      </c>
      <c r="W44" s="698">
        <f t="shared" si="17"/>
        <v>48000</v>
      </c>
      <c r="X44" s="698">
        <f t="shared" si="17"/>
        <v>48000</v>
      </c>
      <c r="Y44" s="698">
        <f t="shared" si="17"/>
        <v>48000</v>
      </c>
    </row>
    <row r="45" spans="1:25" ht="12.75">
      <c r="A45" s="686" t="s">
        <v>427</v>
      </c>
      <c r="B45" s="696">
        <f>25*150</f>
        <v>3750</v>
      </c>
      <c r="C45" s="699">
        <v>24</v>
      </c>
      <c r="D45" s="698">
        <f>$B$45</f>
        <v>3750</v>
      </c>
      <c r="E45" s="698">
        <f aca="true" t="shared" si="18" ref="E45:O45">$B$45</f>
        <v>3750</v>
      </c>
      <c r="F45" s="698">
        <f t="shared" si="18"/>
        <v>3750</v>
      </c>
      <c r="G45" s="698">
        <f t="shared" si="18"/>
        <v>3750</v>
      </c>
      <c r="H45" s="698">
        <f t="shared" si="18"/>
        <v>3750</v>
      </c>
      <c r="I45" s="698">
        <f t="shared" si="18"/>
        <v>3750</v>
      </c>
      <c r="J45" s="698">
        <f t="shared" si="18"/>
        <v>3750</v>
      </c>
      <c r="K45" s="698">
        <f t="shared" si="18"/>
        <v>3750</v>
      </c>
      <c r="L45" s="698">
        <f t="shared" si="18"/>
        <v>3750</v>
      </c>
      <c r="M45" s="698">
        <f t="shared" si="18"/>
        <v>3750</v>
      </c>
      <c r="N45" s="698">
        <f t="shared" si="18"/>
        <v>3750</v>
      </c>
      <c r="O45" s="698">
        <f t="shared" si="18"/>
        <v>3750</v>
      </c>
      <c r="P45" s="698">
        <f>$B$45*$C$45/2</f>
        <v>45000</v>
      </c>
      <c r="Q45" s="698">
        <f>$B$45*$C$45</f>
        <v>90000</v>
      </c>
      <c r="R45" s="698">
        <f>$B$45*$C$45</f>
        <v>90000</v>
      </c>
      <c r="S45" s="698">
        <f>$B$45*$C$45</f>
        <v>90000</v>
      </c>
      <c r="T45" s="698">
        <f>$B$45*$C$45</f>
        <v>90000</v>
      </c>
      <c r="U45" s="698">
        <f>$B$45*$C$45*1.05</f>
        <v>94500</v>
      </c>
      <c r="V45" s="698">
        <f>$B$45*$C$45*1.05</f>
        <v>94500</v>
      </c>
      <c r="W45" s="698">
        <f>$B$45*$C$45*1.05</f>
        <v>94500</v>
      </c>
      <c r="X45" s="698">
        <f>$B$45*$C$45*1.05</f>
        <v>94500</v>
      </c>
      <c r="Y45" s="698">
        <f>$B$45*$C$45*1.05</f>
        <v>94500</v>
      </c>
    </row>
    <row r="46" spans="1:25" ht="12.75">
      <c r="A46" s="686" t="s">
        <v>428</v>
      </c>
      <c r="B46" s="696">
        <f>25*150</f>
        <v>3750</v>
      </c>
      <c r="C46" s="699">
        <v>24</v>
      </c>
      <c r="D46" s="698">
        <f>$B$46</f>
        <v>3750</v>
      </c>
      <c r="E46" s="698">
        <f aca="true" t="shared" si="19" ref="E46:O46">$B$46</f>
        <v>3750</v>
      </c>
      <c r="F46" s="698">
        <f t="shared" si="19"/>
        <v>3750</v>
      </c>
      <c r="G46" s="698">
        <f t="shared" si="19"/>
        <v>3750</v>
      </c>
      <c r="H46" s="698">
        <f t="shared" si="19"/>
        <v>3750</v>
      </c>
      <c r="I46" s="698">
        <f t="shared" si="19"/>
        <v>3750</v>
      </c>
      <c r="J46" s="698">
        <f t="shared" si="19"/>
        <v>3750</v>
      </c>
      <c r="K46" s="698">
        <f t="shared" si="19"/>
        <v>3750</v>
      </c>
      <c r="L46" s="698">
        <f t="shared" si="19"/>
        <v>3750</v>
      </c>
      <c r="M46" s="698">
        <f t="shared" si="19"/>
        <v>3750</v>
      </c>
      <c r="N46" s="698">
        <f t="shared" si="19"/>
        <v>3750</v>
      </c>
      <c r="O46" s="698">
        <f t="shared" si="19"/>
        <v>3750</v>
      </c>
      <c r="P46" s="698">
        <f>$B$46*$C$46/2</f>
        <v>45000</v>
      </c>
      <c r="Q46" s="698">
        <f>$B$46*$C$46</f>
        <v>90000</v>
      </c>
      <c r="R46" s="698">
        <f>$B$46*$C$46</f>
        <v>90000</v>
      </c>
      <c r="S46" s="698">
        <f>$B$46*$C$46</f>
        <v>90000</v>
      </c>
      <c r="T46" s="698">
        <f>$B$46*$C$46</f>
        <v>90000</v>
      </c>
      <c r="U46" s="698">
        <f>$B$46*$C$46*1.05</f>
        <v>94500</v>
      </c>
      <c r="V46" s="698">
        <f>$B$46*$C$46*1.05</f>
        <v>94500</v>
      </c>
      <c r="W46" s="698">
        <f>$B$46*$C$46*1.05</f>
        <v>94500</v>
      </c>
      <c r="X46" s="698">
        <f>$B$46*$C$46*1.05</f>
        <v>94500</v>
      </c>
      <c r="Y46" s="698">
        <f>$B$46*$C$46*1.05</f>
        <v>94500</v>
      </c>
    </row>
    <row r="47" spans="1:25" ht="12.75">
      <c r="A47" s="686" t="s">
        <v>471</v>
      </c>
      <c r="B47" s="696">
        <f>25*150</f>
        <v>3750</v>
      </c>
      <c r="C47" s="699">
        <v>12</v>
      </c>
      <c r="D47" s="698">
        <f>$B$47/2</f>
        <v>1875</v>
      </c>
      <c r="E47" s="698">
        <f aca="true" t="shared" si="20" ref="E47:O47">$B$47/2</f>
        <v>1875</v>
      </c>
      <c r="F47" s="698">
        <f t="shared" si="20"/>
        <v>1875</v>
      </c>
      <c r="G47" s="698">
        <f t="shared" si="20"/>
        <v>1875</v>
      </c>
      <c r="H47" s="698">
        <f t="shared" si="20"/>
        <v>1875</v>
      </c>
      <c r="I47" s="698">
        <f t="shared" si="20"/>
        <v>1875</v>
      </c>
      <c r="J47" s="698">
        <f t="shared" si="20"/>
        <v>1875</v>
      </c>
      <c r="K47" s="698">
        <f t="shared" si="20"/>
        <v>1875</v>
      </c>
      <c r="L47" s="698">
        <f t="shared" si="20"/>
        <v>1875</v>
      </c>
      <c r="M47" s="698">
        <f t="shared" si="20"/>
        <v>1875</v>
      </c>
      <c r="N47" s="698">
        <f t="shared" si="20"/>
        <v>1875</v>
      </c>
      <c r="O47" s="698">
        <f t="shared" si="20"/>
        <v>1875</v>
      </c>
      <c r="P47" s="698">
        <f>$B$47*$C$47/2</f>
        <v>22500</v>
      </c>
      <c r="Q47" s="698">
        <f aca="true" t="shared" si="21" ref="Q47:Y47">$B$47*$C$47</f>
        <v>45000</v>
      </c>
      <c r="R47" s="698">
        <f t="shared" si="21"/>
        <v>45000</v>
      </c>
      <c r="S47" s="698">
        <f t="shared" si="21"/>
        <v>45000</v>
      </c>
      <c r="T47" s="698">
        <f t="shared" si="21"/>
        <v>45000</v>
      </c>
      <c r="U47" s="698">
        <f t="shared" si="21"/>
        <v>45000</v>
      </c>
      <c r="V47" s="698">
        <f t="shared" si="21"/>
        <v>45000</v>
      </c>
      <c r="W47" s="698">
        <f t="shared" si="21"/>
        <v>45000</v>
      </c>
      <c r="X47" s="698">
        <f t="shared" si="21"/>
        <v>45000</v>
      </c>
      <c r="Y47" s="698">
        <f t="shared" si="21"/>
        <v>45000</v>
      </c>
    </row>
    <row r="48" spans="1:25" ht="12.75">
      <c r="A48" s="686" t="s">
        <v>567</v>
      </c>
      <c r="B48" s="696">
        <f>3000*12</f>
        <v>36000</v>
      </c>
      <c r="C48" s="699">
        <v>4</v>
      </c>
      <c r="D48" s="698">
        <f>$C$48*$B$48/12</f>
        <v>12000</v>
      </c>
      <c r="E48" s="698">
        <f aca="true" t="shared" si="22" ref="E48:O48">$C$48*$B$48/12</f>
        <v>12000</v>
      </c>
      <c r="F48" s="698">
        <f t="shared" si="22"/>
        <v>12000</v>
      </c>
      <c r="G48" s="698">
        <f t="shared" si="22"/>
        <v>12000</v>
      </c>
      <c r="H48" s="698">
        <f t="shared" si="22"/>
        <v>12000</v>
      </c>
      <c r="I48" s="698">
        <f t="shared" si="22"/>
        <v>12000</v>
      </c>
      <c r="J48" s="698">
        <f t="shared" si="22"/>
        <v>12000</v>
      </c>
      <c r="K48" s="698">
        <f t="shared" si="22"/>
        <v>12000</v>
      </c>
      <c r="L48" s="698">
        <f t="shared" si="22"/>
        <v>12000</v>
      </c>
      <c r="M48" s="698">
        <f t="shared" si="22"/>
        <v>12000</v>
      </c>
      <c r="N48" s="698">
        <f t="shared" si="22"/>
        <v>12000</v>
      </c>
      <c r="O48" s="698">
        <f t="shared" si="22"/>
        <v>12000</v>
      </c>
      <c r="P48" s="698">
        <f>$B$48*$C$48</f>
        <v>144000</v>
      </c>
      <c r="Q48" s="698">
        <f aca="true" t="shared" si="23" ref="Q48:Y48">$B$48*$C$48</f>
        <v>144000</v>
      </c>
      <c r="R48" s="698">
        <f t="shared" si="23"/>
        <v>144000</v>
      </c>
      <c r="S48" s="698">
        <f t="shared" si="23"/>
        <v>144000</v>
      </c>
      <c r="T48" s="698">
        <f t="shared" si="23"/>
        <v>144000</v>
      </c>
      <c r="U48" s="698">
        <f t="shared" si="23"/>
        <v>144000</v>
      </c>
      <c r="V48" s="698">
        <f t="shared" si="23"/>
        <v>144000</v>
      </c>
      <c r="W48" s="698">
        <f t="shared" si="23"/>
        <v>144000</v>
      </c>
      <c r="X48" s="698">
        <f t="shared" si="23"/>
        <v>144000</v>
      </c>
      <c r="Y48" s="698">
        <f t="shared" si="23"/>
        <v>144000</v>
      </c>
    </row>
    <row r="49" spans="1:25" ht="12.75">
      <c r="A49" s="870" t="s">
        <v>436</v>
      </c>
      <c r="B49" s="871"/>
      <c r="C49" s="871"/>
      <c r="D49" s="698">
        <f>SUM(D40:D48)</f>
        <v>46560.35</v>
      </c>
      <c r="E49" s="698">
        <f aca="true" t="shared" si="24" ref="E49:O49">SUM(E40:E48)</f>
        <v>41408.05</v>
      </c>
      <c r="F49" s="698">
        <f t="shared" si="24"/>
        <v>46560.35</v>
      </c>
      <c r="G49" s="698">
        <f t="shared" si="24"/>
        <v>41408.05</v>
      </c>
      <c r="H49" s="698">
        <f t="shared" si="24"/>
        <v>41408.05</v>
      </c>
      <c r="I49" s="698">
        <f t="shared" si="24"/>
        <v>46560.35</v>
      </c>
      <c r="J49" s="698">
        <f t="shared" si="24"/>
        <v>51712.649999999994</v>
      </c>
      <c r="K49" s="698">
        <f t="shared" si="24"/>
        <v>54288.8</v>
      </c>
      <c r="L49" s="698">
        <f t="shared" si="24"/>
        <v>43984.2</v>
      </c>
      <c r="M49" s="698">
        <f t="shared" si="24"/>
        <v>41408.05</v>
      </c>
      <c r="N49" s="698">
        <f t="shared" si="24"/>
        <v>38831.9</v>
      </c>
      <c r="O49" s="698">
        <f t="shared" si="24"/>
        <v>43984.2</v>
      </c>
      <c r="P49" s="700">
        <f>SUM(P40:P48)</f>
        <v>538115</v>
      </c>
      <c r="Q49" s="700">
        <f aca="true" t="shared" si="25" ref="Q49:Y49">SUM(Q40:Q48)</f>
        <v>687981.5</v>
      </c>
      <c r="R49" s="700">
        <f t="shared" si="25"/>
        <v>702085</v>
      </c>
      <c r="S49" s="700">
        <f t="shared" si="25"/>
        <v>716925.5</v>
      </c>
      <c r="T49" s="700">
        <f t="shared" si="25"/>
        <v>732503</v>
      </c>
      <c r="U49" s="700">
        <f t="shared" si="25"/>
        <v>757918</v>
      </c>
      <c r="V49" s="700">
        <f t="shared" si="25"/>
        <v>775170.5</v>
      </c>
      <c r="W49" s="700">
        <f t="shared" si="25"/>
        <v>793327.5</v>
      </c>
      <c r="X49" s="700">
        <f t="shared" si="25"/>
        <v>812422.5</v>
      </c>
      <c r="Y49" s="700">
        <f t="shared" si="25"/>
        <v>832522.5</v>
      </c>
    </row>
    <row r="54" ht="12.75">
      <c r="B54" s="414"/>
    </row>
    <row r="55" ht="12.75">
      <c r="B55" s="415"/>
    </row>
  </sheetData>
  <sheetProtection/>
  <mergeCells count="2">
    <mergeCell ref="A36:B36"/>
    <mergeCell ref="A49:C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A.W.S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Xavier</cp:lastModifiedBy>
  <cp:lastPrinted>2009-09-17T18:23:24Z</cp:lastPrinted>
  <dcterms:created xsi:type="dcterms:W3CDTF">2006-09-06T14:06:33Z</dcterms:created>
  <dcterms:modified xsi:type="dcterms:W3CDTF">2010-03-01T12:52:19Z</dcterms:modified>
  <cp:category/>
  <cp:version/>
  <cp:contentType/>
  <cp:contentStatus/>
</cp:coreProperties>
</file>