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tables/table9.xml" ContentType="application/vnd.openxmlformats-officedocument.spreadsheetml.table+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worksheets/sheet17.xml" ContentType="application/vnd.openxmlformats-officedocument.spreadsheetml.worksheet+xml"/>
  <Override PartName="/xl/worksheets/sheet18.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2" yWindow="122" windowWidth="15269" windowHeight="7064" tabRatio="851" firstSheet="8" activeTab="14"/>
  </bookViews>
  <sheets>
    <sheet name="Supuestos " sheetId="3" r:id="rId1"/>
    <sheet name="Inversion " sheetId="1" r:id="rId2"/>
    <sheet name="Demanda" sheetId="11" r:id="rId3"/>
    <sheet name="CB_DATA_" sheetId="18" state="veryHidden" r:id="rId4"/>
    <sheet name="Ingresos" sheetId="12" r:id="rId5"/>
    <sheet name="CNO" sheetId="4" r:id="rId6"/>
    <sheet name="CO" sheetId="8" r:id="rId7"/>
    <sheet name="Costo de Capital " sheetId="10" r:id="rId8"/>
    <sheet name="Capital de Trabajo " sheetId="9" r:id="rId9"/>
    <sheet name="Prestamo" sheetId="7" r:id="rId10"/>
    <sheet name="Depreciacion " sheetId="5" r:id="rId11"/>
    <sheet name="Rol de pagos " sheetId="2" r:id="rId12"/>
    <sheet name="Estado de resultados" sheetId="14" r:id="rId13"/>
    <sheet name="Flujo de caja del Inversionista" sheetId="6" r:id="rId14"/>
    <sheet name="Flujo de caja del proyecto" sheetId="13" r:id="rId15"/>
    <sheet name="PayBack" sheetId="15" r:id="rId16"/>
    <sheet name="Est Sit Inic" sheetId="16" r:id="rId17"/>
    <sheet name="BG" sheetId="17" r:id="rId18"/>
    <sheet name="Hoja1" sheetId="19" r:id="rId19"/>
    <sheet name="Analisis de sensibilidad" sheetId="20" r:id="rId20"/>
  </sheets>
  <externalReferences>
    <externalReference r:id="rId21"/>
    <externalReference r:id="rId22"/>
  </externalReferences>
  <definedNames>
    <definedName name="CB_3aa914a1df7943e0b0cbe352ab46f07a" localSheetId="19" hidden="1">'Analisis de sensibilidad'!$B$43</definedName>
    <definedName name="CB_3aa914a1df7943e0b0cbe352ab46f07a" localSheetId="13" hidden="1">'Flujo de caja del Inversionista'!$B$25</definedName>
    <definedName name="CB_93811eea1152410f94908afc5990a89c" localSheetId="3" hidden="1">#N/A</definedName>
    <definedName name="CB_Block_00000000000000000000000000000000" localSheetId="19" hidden="1">"'7.0.0.0"</definedName>
    <definedName name="CB_Block_00000000000000000000000000000000" localSheetId="3" hidden="1">"'7.0.0.0"</definedName>
    <definedName name="CB_Block_00000000000000000000000000000000" localSheetId="13" hidden="1">"'7.0.0.0"</definedName>
    <definedName name="CB_Block_00000000000000000000000000000000" localSheetId="4" hidden="1">"'7.0.0.0"</definedName>
    <definedName name="CB_Block_00000000000000000000000000000001" localSheetId="19" hidden="1">"'634012568371919734"</definedName>
    <definedName name="CB_Block_00000000000000000000000000000001" localSheetId="3" hidden="1">"'634012568371607734"</definedName>
    <definedName name="CB_Block_00000000000000000000000000000001" localSheetId="13" hidden="1">"'634012568371919734"</definedName>
    <definedName name="CB_Block_00000000000000000000000000000001" localSheetId="4" hidden="1">"'634012568371451734"</definedName>
    <definedName name="CB_Block_00000000000000000000000000000003" localSheetId="19" hidden="1">"'7.3.960.0"</definedName>
    <definedName name="CB_Block_00000000000000000000000000000003" localSheetId="3" hidden="1">"'7.3.960.0"</definedName>
    <definedName name="CB_Block_00000000000000000000000000000003" localSheetId="13" hidden="1">"'7.3.960.0"</definedName>
    <definedName name="CB_Block_00000000000000000000000000000003" localSheetId="4" hidden="1">"'7.3.960.0"</definedName>
    <definedName name="CB_BlockExt_00000000000000000000000000000003" localSheetId="19" hidden="1">"'7.3.1"</definedName>
    <definedName name="CB_BlockExt_00000000000000000000000000000003" localSheetId="3" hidden="1">"'7.3.1"</definedName>
    <definedName name="CB_BlockExt_00000000000000000000000000000003" localSheetId="13" hidden="1">"'7.3.1"</definedName>
    <definedName name="CB_BlockExt_00000000000000000000000000000003" localSheetId="4" hidden="1">"'7.3.1"</definedName>
    <definedName name="CB_cf7dbde3c73a4e33bcf880c19f38d581" localSheetId="4" hidden="1">Ingresos!$C$4</definedName>
    <definedName name="CB_d47bba105060417e90734cc9fc913bb1" localSheetId="4" hidden="1">Ingresos!$C$3</definedName>
    <definedName name="CBWorkbookPriority" hidden="1">-1471985618</definedName>
    <definedName name="CBx_0da78c2c5d73418badf208e79b885805" localSheetId="3" hidden="1">"'Flujo de caja del Inversionista'!$A$1"</definedName>
    <definedName name="CBx_3649cae18a90417bbeb48fe786d071b0" localSheetId="3" hidden="1">"'CB_DATA_'!$A$1"</definedName>
    <definedName name="CBx_7deccae9e32e4553946c6e57adf05021" localSheetId="3" hidden="1">"'Ingresos'!$A$1"</definedName>
    <definedName name="CBx_Sheet_Guid" localSheetId="19" hidden="1">"'0da78c2c-5d73-418b-adf2-08e79b885805"</definedName>
    <definedName name="CBx_Sheet_Guid" localSheetId="3" hidden="1">"'3649cae1-8a90-417b-beb4-8fe786d071b0"</definedName>
    <definedName name="CBx_Sheet_Guid" localSheetId="13" hidden="1">"'0da78c2c-5d73-418b-adf2-08e79b885805"</definedName>
    <definedName name="CBx_Sheet_Guid" localSheetId="4" hidden="1">"'7deccae9-e32e-4553-946c-6e57adf05021"</definedName>
    <definedName name="CBx_SheetRef" localSheetId="19" hidden="1">CB_DATA_!$C$14</definedName>
    <definedName name="CBx_SheetRef" localSheetId="3" hidden="1">CB_DATA_!$A$14</definedName>
    <definedName name="CBx_SheetRef" localSheetId="13" hidden="1">CB_DATA_!$C$14</definedName>
    <definedName name="CBx_SheetRef" localSheetId="4" hidden="1">CB_DATA_!$B$14</definedName>
    <definedName name="CBx_StorageType" localSheetId="19" hidden="1">2</definedName>
    <definedName name="CBx_StorageType" localSheetId="3" hidden="1">2</definedName>
    <definedName name="CBx_StorageType" localSheetId="13" hidden="1">2</definedName>
    <definedName name="CBx_StorageType" localSheetId="4" hidden="1">2</definedName>
  </definedNames>
  <calcPr calcId="125725"/>
</workbook>
</file>

<file path=xl/calcChain.xml><?xml version="1.0" encoding="utf-8"?>
<calcChain xmlns="http://schemas.openxmlformats.org/spreadsheetml/2006/main">
  <c r="D22" i="20"/>
  <c r="E22"/>
  <c r="F22"/>
  <c r="G22"/>
  <c r="H22"/>
  <c r="I22"/>
  <c r="J22"/>
  <c r="K22"/>
  <c r="L22"/>
  <c r="C22"/>
  <c r="C24" i="11"/>
  <c r="C39"/>
  <c r="C12" i="12"/>
  <c r="C15" s="1"/>
  <c r="F7" i="20"/>
  <c r="G7"/>
  <c r="H7"/>
  <c r="I7"/>
  <c r="J7"/>
  <c r="K7"/>
  <c r="L7"/>
  <c r="E7"/>
  <c r="G6"/>
  <c r="H6"/>
  <c r="I6"/>
  <c r="J6"/>
  <c r="K6"/>
  <c r="L6"/>
  <c r="F6"/>
  <c r="B15"/>
  <c r="C14"/>
  <c r="B14"/>
  <c r="C15"/>
  <c r="D15"/>
  <c r="E15"/>
  <c r="F15"/>
  <c r="G15"/>
  <c r="H15"/>
  <c r="I15"/>
  <c r="J15"/>
  <c r="K15"/>
  <c r="E4"/>
  <c r="D13"/>
  <c r="D4"/>
  <c r="C13"/>
  <c r="C4"/>
  <c r="B13"/>
  <c r="B16"/>
  <c r="K36"/>
  <c r="H36"/>
  <c r="E36"/>
  <c r="B36"/>
  <c r="F4"/>
  <c r="E14"/>
  <c r="D14"/>
  <c r="K14"/>
  <c r="I14"/>
  <c r="G14"/>
  <c r="J14"/>
  <c r="H14"/>
  <c r="F14"/>
  <c r="C16"/>
  <c r="D16"/>
  <c r="C9" i="10"/>
  <c r="B65" i="3"/>
  <c r="B35"/>
  <c r="I18" i="11"/>
  <c r="I17"/>
  <c r="D17"/>
  <c r="I16"/>
  <c r="D3"/>
  <c r="C5"/>
  <c r="D16"/>
  <c r="D24"/>
  <c r="L39"/>
  <c r="G39"/>
  <c r="H39"/>
  <c r="I39"/>
  <c r="J39"/>
  <c r="K39"/>
  <c r="F39"/>
  <c r="E24"/>
  <c r="G4" i="20"/>
  <c r="E13"/>
  <c r="E16"/>
  <c r="C11" i="18"/>
  <c r="B11"/>
  <c r="A11"/>
  <c r="D4" i="12"/>
  <c r="E4"/>
  <c r="G3"/>
  <c r="H3"/>
  <c r="I3"/>
  <c r="J3"/>
  <c r="K3"/>
  <c r="L3"/>
  <c r="F3"/>
  <c r="D3"/>
  <c r="E39" i="11"/>
  <c r="D39"/>
  <c r="C22"/>
  <c r="B28" i="17"/>
  <c r="K23"/>
  <c r="J23"/>
  <c r="I23"/>
  <c r="H23"/>
  <c r="G23"/>
  <c r="F23"/>
  <c r="E23"/>
  <c r="D23"/>
  <c r="C23"/>
  <c r="B7" i="5"/>
  <c r="C13" i="16" s="1"/>
  <c r="F8" i="1"/>
  <c r="F22"/>
  <c r="F21"/>
  <c r="F20"/>
  <c r="F19"/>
  <c r="F17"/>
  <c r="F15"/>
  <c r="F14"/>
  <c r="F12"/>
  <c r="F11"/>
  <c r="F10"/>
  <c r="F9"/>
  <c r="F16"/>
  <c r="F13"/>
  <c r="B3" i="5"/>
  <c r="C16" i="16"/>
  <c r="C15" s="1"/>
  <c r="C9"/>
  <c r="D7" i="12"/>
  <c r="C14"/>
  <c r="D14"/>
  <c r="E14"/>
  <c r="F14"/>
  <c r="G14"/>
  <c r="H14"/>
  <c r="I14"/>
  <c r="J14"/>
  <c r="K14"/>
  <c r="L14"/>
  <c r="F5" i="1"/>
  <c r="C14" i="16"/>
  <c r="B24" i="5"/>
  <c r="C24"/>
  <c r="C16"/>
  <c r="C15"/>
  <c r="C14"/>
  <c r="C13"/>
  <c r="C12"/>
  <c r="B12"/>
  <c r="B11" i="17"/>
  <c r="F56" i="1"/>
  <c r="F55"/>
  <c r="B4" i="5"/>
  <c r="C7" i="3"/>
  <c r="C13" i="12"/>
  <c r="D13"/>
  <c r="D32" i="11"/>
  <c r="H32"/>
  <c r="I30"/>
  <c r="C32"/>
  <c r="D29"/>
  <c r="E5"/>
  <c r="D4"/>
  <c r="C17" i="10"/>
  <c r="C18"/>
  <c r="B22" i="2"/>
  <c r="B21"/>
  <c r="B20"/>
  <c r="B19"/>
  <c r="B18"/>
  <c r="B17"/>
  <c r="B16"/>
  <c r="H16" s="1"/>
  <c r="B15"/>
  <c r="B14"/>
  <c r="B13"/>
  <c r="G24" i="3"/>
  <c r="G23"/>
  <c r="G21"/>
  <c r="G20"/>
  <c r="G18"/>
  <c r="G16"/>
  <c r="G15"/>
  <c r="F50" i="1"/>
  <c r="F51"/>
  <c r="F52"/>
  <c r="F53"/>
  <c r="F54"/>
  <c r="F49"/>
  <c r="F48"/>
  <c r="F47"/>
  <c r="B10" i="7"/>
  <c r="C8" i="3"/>
  <c r="B3" i="8"/>
  <c r="C3"/>
  <c r="D3" s="1"/>
  <c r="E3" s="1"/>
  <c r="F3" s="1"/>
  <c r="G3" s="1"/>
  <c r="H3" s="1"/>
  <c r="I3" s="1"/>
  <c r="J3" s="1"/>
  <c r="K3" s="1"/>
  <c r="G17" i="3"/>
  <c r="G22"/>
  <c r="F45" i="1"/>
  <c r="K17" i="13"/>
  <c r="F46" i="1"/>
  <c r="F44"/>
  <c r="F43"/>
  <c r="B12" i="2"/>
  <c r="B11"/>
  <c r="C11"/>
  <c r="F11" s="1"/>
  <c r="B10"/>
  <c r="D10"/>
  <c r="B9"/>
  <c r="H9"/>
  <c r="B8"/>
  <c r="H8"/>
  <c r="B7"/>
  <c r="H7"/>
  <c r="B6"/>
  <c r="H6"/>
  <c r="B5"/>
  <c r="H5"/>
  <c r="G19" i="3"/>
  <c r="G14"/>
  <c r="G13"/>
  <c r="G12"/>
  <c r="G11"/>
  <c r="G10"/>
  <c r="G9"/>
  <c r="G8"/>
  <c r="G25"/>
  <c r="G7"/>
  <c r="B50"/>
  <c r="C7" i="4"/>
  <c r="B46" i="3"/>
  <c r="C5" i="4"/>
  <c r="B41" i="3"/>
  <c r="B42"/>
  <c r="C3" i="4"/>
  <c r="B36" i="3"/>
  <c r="C4" i="4"/>
  <c r="B30" i="3"/>
  <c r="C6" i="4"/>
  <c r="C8"/>
  <c r="F42" i="1"/>
  <c r="F41"/>
  <c r="F40"/>
  <c r="F39"/>
  <c r="F33"/>
  <c r="F32"/>
  <c r="F29"/>
  <c r="F30"/>
  <c r="F31"/>
  <c r="F35"/>
  <c r="F36"/>
  <c r="F38"/>
  <c r="F28"/>
  <c r="F27"/>
  <c r="F26"/>
  <c r="F25"/>
  <c r="F24"/>
  <c r="F23"/>
  <c r="F18"/>
  <c r="C5"/>
  <c r="D17" i="2"/>
  <c r="D16"/>
  <c r="E16" s="1"/>
  <c r="G16" s="1"/>
  <c r="J16" s="1"/>
  <c r="D14"/>
  <c r="E14" s="1"/>
  <c r="G14" s="1"/>
  <c r="D7"/>
  <c r="E7"/>
  <c r="G7" s="1"/>
  <c r="J7"/>
  <c r="D6"/>
  <c r="E6"/>
  <c r="G6" s="1"/>
  <c r="C5"/>
  <c r="F5"/>
  <c r="C6"/>
  <c r="F6"/>
  <c r="J6" s="1"/>
  <c r="C7"/>
  <c r="F7"/>
  <c r="C8"/>
  <c r="F8"/>
  <c r="C9"/>
  <c r="F9"/>
  <c r="D9"/>
  <c r="E9"/>
  <c r="G9" s="1"/>
  <c r="J9"/>
  <c r="F4" i="12"/>
  <c r="E13"/>
  <c r="F61" i="1"/>
  <c r="B10" i="17"/>
  <c r="C10" s="1"/>
  <c r="D10" s="1"/>
  <c r="E10" s="1"/>
  <c r="F10" s="1"/>
  <c r="G10" s="1"/>
  <c r="H10" s="1"/>
  <c r="I10" s="1"/>
  <c r="J10" s="1"/>
  <c r="K10" s="1"/>
  <c r="I19" i="11"/>
  <c r="D30"/>
  <c r="I28"/>
  <c r="I31"/>
  <c r="I29"/>
  <c r="D8" i="2"/>
  <c r="E8"/>
  <c r="G8" s="1"/>
  <c r="J8"/>
  <c r="D5"/>
  <c r="E5"/>
  <c r="G5" s="1"/>
  <c r="J5" s="1"/>
  <c r="C18"/>
  <c r="F18" s="1"/>
  <c r="C16"/>
  <c r="F16" s="1"/>
  <c r="C15"/>
  <c r="F15" s="1"/>
  <c r="D22"/>
  <c r="D15"/>
  <c r="D13"/>
  <c r="F37" i="1"/>
  <c r="D28" i="11"/>
  <c r="D31"/>
  <c r="I32"/>
  <c r="F34" i="1"/>
  <c r="C10" i="16"/>
  <c r="B13" i="5"/>
  <c r="B6"/>
  <c r="B5"/>
  <c r="E18" i="6"/>
  <c r="H18"/>
  <c r="K18"/>
  <c r="E17" i="13"/>
  <c r="H17"/>
  <c r="E12" i="5"/>
  <c r="F12"/>
  <c r="G4" i="12"/>
  <c r="F13"/>
  <c r="D18" i="11"/>
  <c r="D19"/>
  <c r="F59" i="1"/>
  <c r="B17" i="13"/>
  <c r="C12" i="16"/>
  <c r="B15" i="5"/>
  <c r="B18" i="6"/>
  <c r="C56" i="3"/>
  <c r="E13" i="5"/>
  <c r="G5"/>
  <c r="H4" i="12"/>
  <c r="G13"/>
  <c r="B16" i="5"/>
  <c r="D22" i="11"/>
  <c r="E15" i="5"/>
  <c r="I4" i="12"/>
  <c r="H13"/>
  <c r="E16" i="5"/>
  <c r="F16" s="1"/>
  <c r="G16" s="1"/>
  <c r="F15"/>
  <c r="G15" s="1"/>
  <c r="H15" s="1"/>
  <c r="J4" i="12"/>
  <c r="I13"/>
  <c r="B2" i="9"/>
  <c r="D12" i="12"/>
  <c r="K4"/>
  <c r="J13"/>
  <c r="E12"/>
  <c r="E15" s="1"/>
  <c r="C4" i="6"/>
  <c r="B6" i="14" s="1"/>
  <c r="B10" i="9"/>
  <c r="J10"/>
  <c r="F10"/>
  <c r="C4" i="13"/>
  <c r="K10" i="9"/>
  <c r="G10"/>
  <c r="C10"/>
  <c r="L4" i="12"/>
  <c r="L13"/>
  <c r="K13"/>
  <c r="D2" i="9"/>
  <c r="F12" i="12"/>
  <c r="F15" s="1"/>
  <c r="F4" i="6" s="1"/>
  <c r="G12" i="12"/>
  <c r="F2" i="9" s="1"/>
  <c r="E2"/>
  <c r="H12" i="12"/>
  <c r="H15" s="1"/>
  <c r="H4" i="6" s="1"/>
  <c r="G15" i="12"/>
  <c r="G2" i="9"/>
  <c r="H4" i="20"/>
  <c r="F13"/>
  <c r="F16"/>
  <c r="I12" i="12"/>
  <c r="H2" i="9" s="1"/>
  <c r="J12" i="12"/>
  <c r="C11" i="17"/>
  <c r="D11" s="1"/>
  <c r="E11"/>
  <c r="F11" s="1"/>
  <c r="G11" s="1"/>
  <c r="H11" s="1"/>
  <c r="I11" s="1"/>
  <c r="J11" s="1"/>
  <c r="K11" s="1"/>
  <c r="I4" i="20"/>
  <c r="G13"/>
  <c r="G16"/>
  <c r="I15" i="12"/>
  <c r="L12"/>
  <c r="K2" i="9" s="1"/>
  <c r="K12" i="12"/>
  <c r="K15"/>
  <c r="K4" i="6" s="1"/>
  <c r="J6" i="14" s="1"/>
  <c r="I2" i="9"/>
  <c r="J15" i="12"/>
  <c r="J4" i="20"/>
  <c r="H13"/>
  <c r="H16"/>
  <c r="L15" i="12"/>
  <c r="L4" i="13" s="1"/>
  <c r="J2" i="9"/>
  <c r="K4" i="20"/>
  <c r="I13"/>
  <c r="I16"/>
  <c r="L4"/>
  <c r="K13"/>
  <c r="K16"/>
  <c r="J13"/>
  <c r="J16"/>
  <c r="H4" i="13"/>
  <c r="H16" i="5"/>
  <c r="I16" s="1"/>
  <c r="J16" s="1"/>
  <c r="F4" i="9"/>
  <c r="C7" i="13"/>
  <c r="D7" s="1"/>
  <c r="E7"/>
  <c r="F7" s="1"/>
  <c r="G7" s="1"/>
  <c r="H7" s="1"/>
  <c r="I7" s="1"/>
  <c r="J7" s="1"/>
  <c r="K7" s="1"/>
  <c r="L7" s="1"/>
  <c r="E4" i="9"/>
  <c r="J4"/>
  <c r="C7" i="6"/>
  <c r="D7" s="1"/>
  <c r="E7" s="1"/>
  <c r="H4" i="9"/>
  <c r="C4"/>
  <c r="K4" i="13"/>
  <c r="F4"/>
  <c r="I15" i="5"/>
  <c r="J15" s="1"/>
  <c r="K15" s="1"/>
  <c r="L15" s="1"/>
  <c r="M15" s="1"/>
  <c r="N15" s="1"/>
  <c r="E10" i="2"/>
  <c r="G10" s="1"/>
  <c r="D12"/>
  <c r="D11"/>
  <c r="E6" i="14"/>
  <c r="G6"/>
  <c r="B9"/>
  <c r="C9"/>
  <c r="D9"/>
  <c r="F7" i="6"/>
  <c r="E9" i="14"/>
  <c r="G7" i="6"/>
  <c r="H7"/>
  <c r="G9" i="14" s="1"/>
  <c r="F9"/>
  <c r="I7" i="6"/>
  <c r="J7"/>
  <c r="I9" i="14" s="1"/>
  <c r="H9"/>
  <c r="K7" i="6"/>
  <c r="L7"/>
  <c r="K9" i="14" s="1"/>
  <c r="J9"/>
  <c r="K16" i="5" l="1"/>
  <c r="L16" s="1"/>
  <c r="M16" s="1"/>
  <c r="N16" s="1"/>
  <c r="O16"/>
  <c r="I4" i="6"/>
  <c r="I4" i="13"/>
  <c r="G4" i="6"/>
  <c r="G4" i="13"/>
  <c r="C2" i="9"/>
  <c r="D15" i="12"/>
  <c r="B14" i="5"/>
  <c r="C11" i="16"/>
  <c r="I4" i="9"/>
  <c r="G4"/>
  <c r="C25" i="20"/>
  <c r="D25" s="1"/>
  <c r="E25" s="1"/>
  <c r="F25" s="1"/>
  <c r="G25" s="1"/>
  <c r="H25" s="1"/>
  <c r="I25" s="1"/>
  <c r="J25" s="1"/>
  <c r="K25" s="1"/>
  <c r="L25" s="1"/>
  <c r="B12" i="9"/>
  <c r="C12" s="1"/>
  <c r="D12" s="1"/>
  <c r="E12" s="1"/>
  <c r="F12" s="1"/>
  <c r="G12" s="1"/>
  <c r="H12" s="1"/>
  <c r="I12" s="1"/>
  <c r="J12" s="1"/>
  <c r="K12" s="1"/>
  <c r="L12" s="1"/>
  <c r="M12" s="1"/>
  <c r="D4"/>
  <c r="K4"/>
  <c r="B4"/>
  <c r="H12" i="2"/>
  <c r="C12"/>
  <c r="F12" s="1"/>
  <c r="E12"/>
  <c r="G12" s="1"/>
  <c r="H14"/>
  <c r="C14"/>
  <c r="F14" s="1"/>
  <c r="J14" s="1"/>
  <c r="H18"/>
  <c r="D18"/>
  <c r="E18" s="1"/>
  <c r="G18" s="1"/>
  <c r="J18" s="1"/>
  <c r="H20"/>
  <c r="D20"/>
  <c r="C20"/>
  <c r="F20" s="1"/>
  <c r="H22"/>
  <c r="C22"/>
  <c r="F22" s="1"/>
  <c r="E22"/>
  <c r="G22" s="1"/>
  <c r="L10" i="9"/>
  <c r="H10"/>
  <c r="D10"/>
  <c r="M10"/>
  <c r="I10"/>
  <c r="E10"/>
  <c r="O15" i="5"/>
  <c r="P15" s="1"/>
  <c r="J4" i="6"/>
  <c r="J4" i="13"/>
  <c r="E4" i="6"/>
  <c r="E4" i="13"/>
  <c r="B9" i="17"/>
  <c r="C9" s="1"/>
  <c r="D9" s="1"/>
  <c r="E9" s="1"/>
  <c r="F9" s="1"/>
  <c r="G9" s="1"/>
  <c r="H9" s="1"/>
  <c r="I9" s="1"/>
  <c r="J9" s="1"/>
  <c r="K9" s="1"/>
  <c r="P16" i="5"/>
  <c r="F13"/>
  <c r="G13" s="1"/>
  <c r="H13" s="1"/>
  <c r="I13" s="1"/>
  <c r="J13" s="1"/>
  <c r="K13" s="1"/>
  <c r="L13" s="1"/>
  <c r="M13" s="1"/>
  <c r="N13" s="1"/>
  <c r="G12"/>
  <c r="B13" i="17"/>
  <c r="C13" s="1"/>
  <c r="D13" s="1"/>
  <c r="E13" s="1"/>
  <c r="F13" s="1"/>
  <c r="G13" s="1"/>
  <c r="H13" s="1"/>
  <c r="I13" s="1"/>
  <c r="J13" s="1"/>
  <c r="K13" s="1"/>
  <c r="B17" i="5"/>
  <c r="H10" i="2"/>
  <c r="C10"/>
  <c r="F10" s="1"/>
  <c r="H11"/>
  <c r="E11"/>
  <c r="G11" s="1"/>
  <c r="H13"/>
  <c r="C13"/>
  <c r="F13" s="1"/>
  <c r="E13"/>
  <c r="G13" s="1"/>
  <c r="H15"/>
  <c r="E15"/>
  <c r="G15" s="1"/>
  <c r="J15" s="1"/>
  <c r="H17"/>
  <c r="C17"/>
  <c r="F17" s="1"/>
  <c r="J17" s="1"/>
  <c r="E17"/>
  <c r="G17" s="1"/>
  <c r="H19"/>
  <c r="C19"/>
  <c r="F19" s="1"/>
  <c r="D19"/>
  <c r="E19" s="1"/>
  <c r="G19" s="1"/>
  <c r="H21"/>
  <c r="C21"/>
  <c r="F21" s="1"/>
  <c r="J21" s="1"/>
  <c r="D21"/>
  <c r="E21"/>
  <c r="G21" s="1"/>
  <c r="B17" i="17"/>
  <c r="B25" i="5"/>
  <c r="E24"/>
  <c r="L4" i="6"/>
  <c r="E20" i="2"/>
  <c r="G20" s="1"/>
  <c r="C8" i="16"/>
  <c r="C19" s="1"/>
  <c r="H12" i="5" l="1"/>
  <c r="D6" i="14"/>
  <c r="I6"/>
  <c r="D4" i="13"/>
  <c r="D4" i="6"/>
  <c r="K6" i="14"/>
  <c r="E25" i="5"/>
  <c r="E27" s="1"/>
  <c r="C10" i="6"/>
  <c r="C9" i="13"/>
  <c r="C16" s="1"/>
  <c r="F24" i="5"/>
  <c r="C28" i="20"/>
  <c r="C35" s="1"/>
  <c r="C17" i="17"/>
  <c r="H14" i="5"/>
  <c r="I14" s="1"/>
  <c r="J14" s="1"/>
  <c r="K14" s="1"/>
  <c r="L14" s="1"/>
  <c r="M14" s="1"/>
  <c r="N14" s="1"/>
  <c r="O14" s="1"/>
  <c r="P14"/>
  <c r="E14"/>
  <c r="B12" i="17"/>
  <c r="C12" s="1"/>
  <c r="D12" s="1"/>
  <c r="E12" s="1"/>
  <c r="F12" s="1"/>
  <c r="G12" s="1"/>
  <c r="H12" s="1"/>
  <c r="I12" s="1"/>
  <c r="J12" s="1"/>
  <c r="K12" s="1"/>
  <c r="F6" i="14"/>
  <c r="H6"/>
  <c r="J19" i="2"/>
  <c r="J13"/>
  <c r="J11"/>
  <c r="J10"/>
  <c r="O13" i="5"/>
  <c r="P13" s="1"/>
  <c r="J22" i="2"/>
  <c r="J20"/>
  <c r="J12"/>
  <c r="D17" i="17" l="1"/>
  <c r="B18"/>
  <c r="B19" s="1"/>
  <c r="F26" i="5"/>
  <c r="C6" i="14"/>
  <c r="F14" i="5"/>
  <c r="E17"/>
  <c r="D28" i="20"/>
  <c r="D35" s="1"/>
  <c r="D10" i="6"/>
  <c r="F25" i="5"/>
  <c r="F27" s="1"/>
  <c r="D9" i="13"/>
  <c r="D16" s="1"/>
  <c r="G24" i="5"/>
  <c r="C17" i="6"/>
  <c r="B12" i="14"/>
  <c r="I12" i="5"/>
  <c r="H17"/>
  <c r="J23" i="2"/>
  <c r="B4" i="8" s="1"/>
  <c r="C4" l="1"/>
  <c r="D4" s="1"/>
  <c r="E4" s="1"/>
  <c r="F4" s="1"/>
  <c r="G4" s="1"/>
  <c r="H4" s="1"/>
  <c r="I4" s="1"/>
  <c r="J4" s="1"/>
  <c r="K4" s="1"/>
  <c r="B5"/>
  <c r="I17" i="5"/>
  <c r="J12"/>
  <c r="D17" i="6"/>
  <c r="C12" i="14"/>
  <c r="C9" i="6"/>
  <c r="C16" s="1"/>
  <c r="B11" i="14"/>
  <c r="C27" i="20"/>
  <c r="C34" s="1"/>
  <c r="E19" i="5"/>
  <c r="C8" i="13"/>
  <c r="C15" s="1"/>
  <c r="E17" i="17"/>
  <c r="F27" i="20"/>
  <c r="F34" s="1"/>
  <c r="E11" i="14"/>
  <c r="F9" i="6"/>
  <c r="F16" s="1"/>
  <c r="F8" i="13"/>
  <c r="F15" s="1"/>
  <c r="G25" i="5"/>
  <c r="H24"/>
  <c r="E28" i="20"/>
  <c r="E35" s="1"/>
  <c r="E9" i="13"/>
  <c r="E16" s="1"/>
  <c r="E10" i="6"/>
  <c r="C18" i="17"/>
  <c r="C19" s="1"/>
  <c r="G26" i="5"/>
  <c r="G14"/>
  <c r="G17" s="1"/>
  <c r="F17"/>
  <c r="D27" i="20" l="1"/>
  <c r="D34" s="1"/>
  <c r="C11" i="14"/>
  <c r="D9" i="6"/>
  <c r="D16" s="1"/>
  <c r="D8" i="13"/>
  <c r="D15" s="1"/>
  <c r="F17" i="17"/>
  <c r="F18" i="5"/>
  <c r="F19" s="1"/>
  <c r="B14" i="17"/>
  <c r="B15" s="1"/>
  <c r="G9" i="6"/>
  <c r="G16" s="1"/>
  <c r="G8" i="13"/>
  <c r="G15" s="1"/>
  <c r="G27" i="20"/>
  <c r="G34" s="1"/>
  <c r="F11" i="14"/>
  <c r="G27" i="5"/>
  <c r="E17" i="6"/>
  <c r="D12" i="14"/>
  <c r="E27" i="20"/>
  <c r="E34" s="1"/>
  <c r="D11" i="14"/>
  <c r="E8" i="13"/>
  <c r="E15" s="1"/>
  <c r="E9" i="6"/>
  <c r="E16" s="1"/>
  <c r="F28" i="20"/>
  <c r="F35" s="1"/>
  <c r="F10" i="6"/>
  <c r="F9" i="13"/>
  <c r="F16" s="1"/>
  <c r="I24" i="5"/>
  <c r="H25"/>
  <c r="K12"/>
  <c r="J17"/>
  <c r="C24" i="20"/>
  <c r="C5" i="8"/>
  <c r="E3" i="9"/>
  <c r="E5" s="1"/>
  <c r="D3"/>
  <c r="D5" s="1"/>
  <c r="B3"/>
  <c r="B5" s="1"/>
  <c r="B6" s="1"/>
  <c r="C6" i="6"/>
  <c r="K3" i="9"/>
  <c r="K5" s="1"/>
  <c r="H3"/>
  <c r="H5" s="1"/>
  <c r="C3"/>
  <c r="C5" s="1"/>
  <c r="J3"/>
  <c r="J5" s="1"/>
  <c r="B6" i="8"/>
  <c r="B11" i="9" s="1"/>
  <c r="G3"/>
  <c r="G5" s="1"/>
  <c r="I3"/>
  <c r="I5" s="1"/>
  <c r="C6" i="13"/>
  <c r="C5" s="1"/>
  <c r="C10" s="1"/>
  <c r="F3" i="9"/>
  <c r="F5" s="1"/>
  <c r="G18" i="5" l="1"/>
  <c r="G19" s="1"/>
  <c r="C14" i="17"/>
  <c r="C15" s="1"/>
  <c r="C11" i="13"/>
  <c r="C12" s="1"/>
  <c r="D6"/>
  <c r="D5" s="1"/>
  <c r="D10" s="1"/>
  <c r="D24" i="20"/>
  <c r="D5" i="8"/>
  <c r="D6" i="6"/>
  <c r="H27" i="20"/>
  <c r="H34" s="1"/>
  <c r="H8" i="13"/>
  <c r="H15" s="1"/>
  <c r="H9" i="6"/>
  <c r="H16" s="1"/>
  <c r="G11" i="14"/>
  <c r="D18" i="17"/>
  <c r="D19" s="1"/>
  <c r="H26" i="5"/>
  <c r="H27" s="1"/>
  <c r="B8" i="14"/>
  <c r="C11" i="9"/>
  <c r="B13"/>
  <c r="B14" s="1"/>
  <c r="K17" i="5"/>
  <c r="L12"/>
  <c r="G28" i="20"/>
  <c r="G35" s="1"/>
  <c r="G10" i="6"/>
  <c r="I25" i="5"/>
  <c r="G9" i="13"/>
  <c r="G16" s="1"/>
  <c r="F17" i="6"/>
  <c r="E12" i="14"/>
  <c r="C6" i="9"/>
  <c r="D6" s="1"/>
  <c r="E6" s="1"/>
  <c r="F6" s="1"/>
  <c r="G6" s="1"/>
  <c r="H6" s="1"/>
  <c r="I6" s="1"/>
  <c r="J6" s="1"/>
  <c r="K6" s="1"/>
  <c r="C13" i="13" l="1"/>
  <c r="C14" s="1"/>
  <c r="C21" s="1"/>
  <c r="E18" i="17"/>
  <c r="E19" s="1"/>
  <c r="I26" i="5"/>
  <c r="G17" i="6"/>
  <c r="F12" i="14"/>
  <c r="I27" i="20"/>
  <c r="I34" s="1"/>
  <c r="I8" i="13"/>
  <c r="I15" s="1"/>
  <c r="I9" i="6"/>
  <c r="I16" s="1"/>
  <c r="H11" i="14"/>
  <c r="D11" i="9"/>
  <c r="C13"/>
  <c r="E5" i="8"/>
  <c r="E6" i="6"/>
  <c r="E6" i="13"/>
  <c r="E5" s="1"/>
  <c r="E10" s="1"/>
  <c r="E24" i="20"/>
  <c r="D11" i="13"/>
  <c r="D12"/>
  <c r="H18" i="5"/>
  <c r="H19" s="1"/>
  <c r="D14" i="17"/>
  <c r="D15" s="1"/>
  <c r="M12" i="5"/>
  <c r="L17"/>
  <c r="C57" i="3"/>
  <c r="C14" i="9"/>
  <c r="C8" i="14"/>
  <c r="I27" i="5"/>
  <c r="F18" i="17" s="1"/>
  <c r="F19" s="1"/>
  <c r="C6" i="16" l="1"/>
  <c r="C17" s="1"/>
  <c r="L23" i="6"/>
  <c r="B38" i="20"/>
  <c r="L20" i="13"/>
  <c r="L41" i="20"/>
  <c r="B19" i="13"/>
  <c r="B21" s="1"/>
  <c r="B20" i="6"/>
  <c r="C58" i="3"/>
  <c r="N12" i="5"/>
  <c r="N17" s="1"/>
  <c r="M17"/>
  <c r="O12"/>
  <c r="P12" s="1"/>
  <c r="P17" s="1"/>
  <c r="D13" i="13"/>
  <c r="D14" s="1"/>
  <c r="D21" s="1"/>
  <c r="D8" i="14"/>
  <c r="J8" i="13"/>
  <c r="J15" s="1"/>
  <c r="J9" i="6"/>
  <c r="J16" s="1"/>
  <c r="J27" i="20"/>
  <c r="J34" s="1"/>
  <c r="I11" i="14"/>
  <c r="I18" i="5"/>
  <c r="I19" s="1"/>
  <c r="E14" i="17"/>
  <c r="E15" s="1"/>
  <c r="E11" i="13"/>
  <c r="E12" s="1"/>
  <c r="F6"/>
  <c r="F5" s="1"/>
  <c r="F10" s="1"/>
  <c r="F6" i="6"/>
  <c r="F24" i="20"/>
  <c r="F5" i="8"/>
  <c r="E11" i="9"/>
  <c r="D13"/>
  <c r="D14" s="1"/>
  <c r="E13" i="13" l="1"/>
  <c r="E14" s="1"/>
  <c r="E21" s="1"/>
  <c r="G6" i="6"/>
  <c r="G6" i="13"/>
  <c r="G5" s="1"/>
  <c r="G10" s="1"/>
  <c r="G5" i="8"/>
  <c r="G24" i="20"/>
  <c r="F11" i="9"/>
  <c r="E13"/>
  <c r="E14" s="1"/>
  <c r="F11" i="13"/>
  <c r="F12"/>
  <c r="F14" i="17"/>
  <c r="F15" s="1"/>
  <c r="J18" i="5"/>
  <c r="J19" s="1"/>
  <c r="L37" i="20"/>
  <c r="L18" i="13"/>
  <c r="L19" i="6"/>
  <c r="L8" i="13"/>
  <c r="L15" s="1"/>
  <c r="L9" i="6"/>
  <c r="L16" s="1"/>
  <c r="L27" i="20"/>
  <c r="L34" s="1"/>
  <c r="K11" i="14"/>
  <c r="E8"/>
  <c r="J11"/>
  <c r="K27" i="20"/>
  <c r="K34" s="1"/>
  <c r="K8" i="13"/>
  <c r="K15" s="1"/>
  <c r="K9" i="6"/>
  <c r="K16" s="1"/>
  <c r="B4" i="7"/>
  <c r="C14" i="10" s="1"/>
  <c r="C60" i="3"/>
  <c r="C59"/>
  <c r="K18" i="5" l="1"/>
  <c r="K19" s="1"/>
  <c r="G14" i="17"/>
  <c r="G15" s="1"/>
  <c r="F13" i="13"/>
  <c r="F14"/>
  <c r="F21" s="1"/>
  <c r="G11"/>
  <c r="G12" s="1"/>
  <c r="E5" i="16"/>
  <c r="B6" i="7"/>
  <c r="B26" i="17"/>
  <c r="C26" s="1"/>
  <c r="B5" i="7"/>
  <c r="C16" i="10" s="1"/>
  <c r="E16" i="16"/>
  <c r="F13" i="9"/>
  <c r="F14" s="1"/>
  <c r="G11"/>
  <c r="H24" i="20"/>
  <c r="H5" i="8"/>
  <c r="H6" i="6"/>
  <c r="H6" i="13"/>
  <c r="H5" s="1"/>
  <c r="H10" s="1"/>
  <c r="F8" i="14"/>
  <c r="G13" i="13" l="1"/>
  <c r="G14" s="1"/>
  <c r="G21" s="1"/>
  <c r="H11"/>
  <c r="H12" s="1"/>
  <c r="I6"/>
  <c r="I5" s="1"/>
  <c r="I10" s="1"/>
  <c r="I6" i="6"/>
  <c r="I24" i="20"/>
  <c r="I5" i="8"/>
  <c r="G13" i="9"/>
  <c r="G14" s="1"/>
  <c r="H11"/>
  <c r="D26" i="17"/>
  <c r="E17" i="16"/>
  <c r="C7" i="15"/>
  <c r="L18" i="5"/>
  <c r="L19" s="1"/>
  <c r="H14" i="17"/>
  <c r="H15" s="1"/>
  <c r="G8" i="14"/>
  <c r="I5" i="7"/>
  <c r="B22" i="6"/>
  <c r="B24" s="1"/>
  <c r="C15" i="10"/>
  <c r="C19" s="1"/>
  <c r="B40" i="20"/>
  <c r="B42" s="1"/>
  <c r="B7" i="7"/>
  <c r="H13" i="13" l="1"/>
  <c r="H14" s="1"/>
  <c r="H21" s="1"/>
  <c r="F18" i="7"/>
  <c r="F13"/>
  <c r="F9"/>
  <c r="F21"/>
  <c r="B11"/>
  <c r="F19"/>
  <c r="F12"/>
  <c r="F24"/>
  <c r="F7"/>
  <c r="F6"/>
  <c r="F8"/>
  <c r="F14"/>
  <c r="F16"/>
  <c r="F22"/>
  <c r="F15"/>
  <c r="F11"/>
  <c r="F20"/>
  <c r="F23"/>
  <c r="F17"/>
  <c r="F10"/>
  <c r="F25"/>
  <c r="B66" i="3"/>
  <c r="G6" i="7"/>
  <c r="M18" i="5"/>
  <c r="M19" s="1"/>
  <c r="I14" i="17"/>
  <c r="I15" s="1"/>
  <c r="E26"/>
  <c r="I11" i="13"/>
  <c r="I12" s="1"/>
  <c r="E7" i="15"/>
  <c r="I11" i="9"/>
  <c r="H13"/>
  <c r="H14" s="1"/>
  <c r="J6" i="6"/>
  <c r="J6" i="13"/>
  <c r="J5" s="1"/>
  <c r="J10" s="1"/>
  <c r="J24" i="20"/>
  <c r="J5" i="8"/>
  <c r="H8" i="14"/>
  <c r="I13" i="13" l="1"/>
  <c r="I14" s="1"/>
  <c r="I21" s="1"/>
  <c r="I8" i="14"/>
  <c r="J11" i="9"/>
  <c r="I13"/>
  <c r="I14" s="1"/>
  <c r="F26" i="17"/>
  <c r="N18" i="5"/>
  <c r="N19" s="1"/>
  <c r="K14" i="17" s="1"/>
  <c r="K15" s="1"/>
  <c r="J14"/>
  <c r="J15" s="1"/>
  <c r="H6" i="7"/>
  <c r="K6" i="13"/>
  <c r="K5" s="1"/>
  <c r="K10" s="1"/>
  <c r="K6" i="6"/>
  <c r="K24" i="20"/>
  <c r="K5" i="8"/>
  <c r="J11" i="13"/>
  <c r="J12"/>
  <c r="J14" l="1"/>
  <c r="J21" s="1"/>
  <c r="J13"/>
  <c r="L6" i="6"/>
  <c r="L24" i="20"/>
  <c r="L6" i="13"/>
  <c r="L5" s="1"/>
  <c r="L10" s="1"/>
  <c r="J8" i="14"/>
  <c r="I6" i="7"/>
  <c r="G26" i="17"/>
  <c r="J13" i="9"/>
  <c r="J14" s="1"/>
  <c r="K11"/>
  <c r="K11" i="13"/>
  <c r="K12" s="1"/>
  <c r="K13" l="1"/>
  <c r="K14" s="1"/>
  <c r="K21" s="1"/>
  <c r="K13" i="9"/>
  <c r="K14" s="1"/>
  <c r="L11"/>
  <c r="G7" i="7"/>
  <c r="L11" i="13"/>
  <c r="L12" s="1"/>
  <c r="K8" i="14"/>
  <c r="H26" i="17"/>
  <c r="L13" i="13" l="1"/>
  <c r="L14" s="1"/>
  <c r="L21" s="1"/>
  <c r="M11" i="9"/>
  <c r="M13" s="1"/>
  <c r="L13"/>
  <c r="L14" s="1"/>
  <c r="M14" s="1"/>
  <c r="I26" i="17"/>
  <c r="H7" i="7"/>
  <c r="E30"/>
  <c r="B23" i="13" l="1"/>
  <c r="B22"/>
  <c r="C26" i="20"/>
  <c r="C23" s="1"/>
  <c r="C29" s="1"/>
  <c r="C8" i="6"/>
  <c r="E29" i="7"/>
  <c r="I7"/>
  <c r="J26" i="17"/>
  <c r="K26" l="1"/>
  <c r="C39" i="20"/>
  <c r="E31" i="7"/>
  <c r="C21" i="6"/>
  <c r="C30" i="20"/>
  <c r="C31" s="1"/>
  <c r="B23" i="17"/>
  <c r="G8" i="7"/>
  <c r="B10" i="14"/>
  <c r="B13" s="1"/>
  <c r="C5" i="6"/>
  <c r="C11" s="1"/>
  <c r="C32" i="20" l="1"/>
  <c r="C33" s="1"/>
  <c r="C42" s="1"/>
  <c r="B14" i="14"/>
  <c r="B22" i="17" s="1"/>
  <c r="C12" i="6"/>
  <c r="C13"/>
  <c r="H8" i="7"/>
  <c r="B24" i="17"/>
  <c r="I8" i="7" l="1"/>
  <c r="C15" i="6"/>
  <c r="C24" s="1"/>
  <c r="C14"/>
  <c r="B15" i="14"/>
  <c r="D7" i="15" l="1"/>
  <c r="F7" s="1"/>
  <c r="C8" s="1"/>
  <c r="B16" i="14"/>
  <c r="B17"/>
  <c r="G9" i="7"/>
  <c r="B27" i="17" l="1"/>
  <c r="B29" s="1"/>
  <c r="B6" s="1"/>
  <c r="B7" s="1"/>
  <c r="B20" s="1"/>
  <c r="B19" i="14"/>
  <c r="C18" s="1"/>
  <c r="C28" i="17" s="1"/>
  <c r="E8" i="15"/>
  <c r="H9" i="7"/>
  <c r="F30"/>
  <c r="F29" l="1"/>
  <c r="I9"/>
  <c r="D26" i="20"/>
  <c r="D23" s="1"/>
  <c r="D29" s="1"/>
  <c r="D8" i="6"/>
  <c r="D30" i="20" l="1"/>
  <c r="D31" s="1"/>
  <c r="F31" i="7"/>
  <c r="D21" i="6"/>
  <c r="D39" i="20"/>
  <c r="C10" i="14"/>
  <c r="C13" s="1"/>
  <c r="D5" i="6"/>
  <c r="D11" s="1"/>
  <c r="G10" i="7"/>
  <c r="D32" i="20" l="1"/>
  <c r="D33" s="1"/>
  <c r="D42" s="1"/>
  <c r="H10" i="7"/>
  <c r="D13" i="6"/>
  <c r="D12"/>
  <c r="C14" i="14"/>
  <c r="C22" i="17" s="1"/>
  <c r="C24" s="1"/>
  <c r="D15" i="6" l="1"/>
  <c r="D24" s="1"/>
  <c r="D14"/>
  <c r="I10" i="7"/>
  <c r="C15" i="14"/>
  <c r="C16" l="1"/>
  <c r="C17" s="1"/>
  <c r="D8" i="15"/>
  <c r="F8" s="1"/>
  <c r="C9" s="1"/>
  <c r="G11" i="7"/>
  <c r="C27" i="17" l="1"/>
  <c r="C29" s="1"/>
  <c r="C6" s="1"/>
  <c r="C7" s="1"/>
  <c r="C20" s="1"/>
  <c r="C19" i="14"/>
  <c r="D18" s="1"/>
  <c r="D28" i="17" s="1"/>
  <c r="H11" i="7"/>
  <c r="G30"/>
  <c r="E9" i="15"/>
  <c r="G29" i="7" l="1"/>
  <c r="I11"/>
  <c r="E26" i="20"/>
  <c r="E23" s="1"/>
  <c r="E29" s="1"/>
  <c r="E8" i="6"/>
  <c r="E21" l="1"/>
  <c r="E39" i="20"/>
  <c r="G31" i="7"/>
  <c r="E30" i="20"/>
  <c r="E31"/>
  <c r="D10" i="14"/>
  <c r="D13" s="1"/>
  <c r="E5" i="6"/>
  <c r="E11" s="1"/>
  <c r="G12" i="7"/>
  <c r="E13" i="6" l="1"/>
  <c r="E12"/>
  <c r="E32" i="20"/>
  <c r="E33" s="1"/>
  <c r="E42" s="1"/>
  <c r="H12" i="7"/>
  <c r="D15" i="14"/>
  <c r="D14"/>
  <c r="D22" i="17" s="1"/>
  <c r="D24" s="1"/>
  <c r="E14" i="6" l="1"/>
  <c r="E15"/>
  <c r="E24" s="1"/>
  <c r="D16" i="14"/>
  <c r="D17"/>
  <c r="I12" i="7"/>
  <c r="D9" i="15" l="1"/>
  <c r="F9" s="1"/>
  <c r="C10" s="1"/>
  <c r="G13" i="7"/>
  <c r="D19" i="14"/>
  <c r="E18" s="1"/>
  <c r="E28" i="17" s="1"/>
  <c r="D27"/>
  <c r="D29" s="1"/>
  <c r="D6" s="1"/>
  <c r="D7" s="1"/>
  <c r="D20" s="1"/>
  <c r="E10" i="15" l="1"/>
  <c r="H13" i="7"/>
  <c r="H30"/>
  <c r="H29" l="1"/>
  <c r="I13"/>
  <c r="F26" i="20"/>
  <c r="F23" s="1"/>
  <c r="F29" s="1"/>
  <c r="F8" i="6"/>
  <c r="F30" i="20" l="1"/>
  <c r="F31" s="1"/>
  <c r="F21" i="6"/>
  <c r="F39" i="20"/>
  <c r="H31" i="7"/>
  <c r="E10" i="14"/>
  <c r="E13" s="1"/>
  <c r="F5" i="6"/>
  <c r="F11" s="1"/>
  <c r="G14" i="7"/>
  <c r="F32" i="20" l="1"/>
  <c r="F33" s="1"/>
  <c r="F42" s="1"/>
  <c r="H14" i="7"/>
  <c r="F12" i="6"/>
  <c r="F13"/>
  <c r="E14" i="14"/>
  <c r="E22" i="17" s="1"/>
  <c r="E24" s="1"/>
  <c r="E15" i="14"/>
  <c r="E16" l="1"/>
  <c r="E17"/>
  <c r="F14" i="6"/>
  <c r="F15" s="1"/>
  <c r="F24" s="1"/>
  <c r="I14" i="7"/>
  <c r="D10" i="15" l="1"/>
  <c r="F10" s="1"/>
  <c r="C11" s="1"/>
  <c r="G15" i="7"/>
  <c r="E27" i="17"/>
  <c r="E29" s="1"/>
  <c r="E6" s="1"/>
  <c r="E7" s="1"/>
  <c r="E20" s="1"/>
  <c r="E19" i="14"/>
  <c r="F18" s="1"/>
  <c r="F28" i="17" s="1"/>
  <c r="E11" i="15" l="1"/>
  <c r="H15" i="7"/>
  <c r="I30"/>
  <c r="I29" l="1"/>
  <c r="I15"/>
  <c r="G26" i="20"/>
  <c r="G23" s="1"/>
  <c r="G29" s="1"/>
  <c r="G8" i="6"/>
  <c r="G30" i="20" l="1"/>
  <c r="G31" s="1"/>
  <c r="I31" i="7"/>
  <c r="G39" i="20"/>
  <c r="G21" i="6"/>
  <c r="F10" i="14"/>
  <c r="F13" s="1"/>
  <c r="G5" i="6"/>
  <c r="G11" s="1"/>
  <c r="G16" i="7"/>
  <c r="G32" i="20" l="1"/>
  <c r="G33" s="1"/>
  <c r="G42" s="1"/>
  <c r="G13" i="6"/>
  <c r="G12"/>
  <c r="H16" i="7"/>
  <c r="F14" i="14"/>
  <c r="F22" i="17" s="1"/>
  <c r="F24" s="1"/>
  <c r="G14" i="6" l="1"/>
  <c r="G15" s="1"/>
  <c r="G24" s="1"/>
  <c r="D11" i="15" s="1"/>
  <c r="F11" s="1"/>
  <c r="C12" s="1"/>
  <c r="I16" i="7"/>
  <c r="F15" i="14"/>
  <c r="E12" i="15" l="1"/>
  <c r="F17" i="14"/>
  <c r="F16"/>
  <c r="G17" i="7"/>
  <c r="H17" l="1"/>
  <c r="J30"/>
  <c r="F27" i="17"/>
  <c r="F29" s="1"/>
  <c r="F6" s="1"/>
  <c r="F7" s="1"/>
  <c r="F20" s="1"/>
  <c r="F19" i="14"/>
  <c r="G18" s="1"/>
  <c r="G28" i="17" s="1"/>
  <c r="J29" i="7" l="1"/>
  <c r="I17"/>
  <c r="H26" i="20"/>
  <c r="H23" s="1"/>
  <c r="H29" s="1"/>
  <c r="H8" i="6"/>
  <c r="H21" l="1"/>
  <c r="J31" i="7"/>
  <c r="H39" i="20"/>
  <c r="H30"/>
  <c r="H31" s="1"/>
  <c r="G10" i="14"/>
  <c r="G13" s="1"/>
  <c r="H5" i="6"/>
  <c r="H11" s="1"/>
  <c r="G18" i="7"/>
  <c r="H32" i="20" l="1"/>
  <c r="H33" s="1"/>
  <c r="H42" s="1"/>
  <c r="H18" i="7"/>
  <c r="H12" i="6"/>
  <c r="H13" s="1"/>
  <c r="G15" i="14"/>
  <c r="G14"/>
  <c r="G22" i="17" s="1"/>
  <c r="G24" s="1"/>
  <c r="H14" i="6" l="1"/>
  <c r="H15" s="1"/>
  <c r="H24" s="1"/>
  <c r="D12" i="15" s="1"/>
  <c r="F12" s="1"/>
  <c r="C13" s="1"/>
  <c r="G16" i="14"/>
  <c r="G17" s="1"/>
  <c r="I18" i="7"/>
  <c r="E13" i="15" l="1"/>
  <c r="G27" i="17"/>
  <c r="G29" s="1"/>
  <c r="G6" s="1"/>
  <c r="G7" s="1"/>
  <c r="G20" s="1"/>
  <c r="G19" i="14"/>
  <c r="H18" s="1"/>
  <c r="H28" i="17" s="1"/>
  <c r="G19" i="7"/>
  <c r="H19" l="1"/>
  <c r="K30"/>
  <c r="K29" l="1"/>
  <c r="I19"/>
  <c r="I8" i="6"/>
  <c r="I26" i="20"/>
  <c r="I23" s="1"/>
  <c r="I29" s="1"/>
  <c r="H10" i="14" l="1"/>
  <c r="H13" s="1"/>
  <c r="I5" i="6"/>
  <c r="I11" s="1"/>
  <c r="I39" i="20"/>
  <c r="I21" i="6"/>
  <c r="K31" i="7"/>
  <c r="I30" i="20"/>
  <c r="I31" s="1"/>
  <c r="G20" i="7"/>
  <c r="I32" i="20" l="1"/>
  <c r="I33" s="1"/>
  <c r="I42" s="1"/>
  <c r="H14" i="14"/>
  <c r="H22" i="17" s="1"/>
  <c r="H24" s="1"/>
  <c r="H20" i="7"/>
  <c r="I13" i="6"/>
  <c r="I12"/>
  <c r="I14" l="1"/>
  <c r="I15" s="1"/>
  <c r="I24" s="1"/>
  <c r="D13" i="15" s="1"/>
  <c r="F13" s="1"/>
  <c r="C14" s="1"/>
  <c r="I20" i="7"/>
  <c r="H15" i="14"/>
  <c r="E14" i="15" l="1"/>
  <c r="H17" i="14"/>
  <c r="H16"/>
  <c r="G21" i="7"/>
  <c r="H21" l="1"/>
  <c r="L30"/>
  <c r="H19" i="14"/>
  <c r="I18" s="1"/>
  <c r="I28" i="17" s="1"/>
  <c r="H27"/>
  <c r="H29" s="1"/>
  <c r="H6" s="1"/>
  <c r="H7" s="1"/>
  <c r="H20" s="1"/>
  <c r="L29" i="7" l="1"/>
  <c r="I21"/>
  <c r="J8" i="6"/>
  <c r="J26" i="20"/>
  <c r="J23" s="1"/>
  <c r="J29" s="1"/>
  <c r="I10" i="14" l="1"/>
  <c r="I13" s="1"/>
  <c r="J5" i="6"/>
  <c r="J11" s="1"/>
  <c r="J39" i="20"/>
  <c r="J21" i="6"/>
  <c r="L31" i="7"/>
  <c r="J30" i="20"/>
  <c r="J31"/>
  <c r="G22" i="7"/>
  <c r="J32" i="20" l="1"/>
  <c r="J33" s="1"/>
  <c r="J42" s="1"/>
  <c r="I15" i="14"/>
  <c r="I14"/>
  <c r="I22" i="17" s="1"/>
  <c r="I24" s="1"/>
  <c r="H22" i="7"/>
  <c r="J12" i="6"/>
  <c r="J13" s="1"/>
  <c r="J15" l="1"/>
  <c r="J24" s="1"/>
  <c r="D14" i="15" s="1"/>
  <c r="F14" s="1"/>
  <c r="C15" s="1"/>
  <c r="J14" i="6"/>
  <c r="I16" i="14"/>
  <c r="I17" s="1"/>
  <c r="I22" i="7"/>
  <c r="I27" i="17" l="1"/>
  <c r="I29" s="1"/>
  <c r="I6" s="1"/>
  <c r="I7" s="1"/>
  <c r="I20" s="1"/>
  <c r="I19" i="14"/>
  <c r="J18" s="1"/>
  <c r="J28" i="17" s="1"/>
  <c r="E15" i="15"/>
  <c r="G23" i="7"/>
  <c r="H23" l="1"/>
  <c r="M30"/>
  <c r="M29" l="1"/>
  <c r="I23"/>
  <c r="K8" i="6"/>
  <c r="K26" i="20"/>
  <c r="K23" s="1"/>
  <c r="K29" s="1"/>
  <c r="J10" i="14" l="1"/>
  <c r="J13" s="1"/>
  <c r="K5" i="6"/>
  <c r="K11" s="1"/>
  <c r="K39" i="20"/>
  <c r="K21" i="6"/>
  <c r="M31" i="7"/>
  <c r="K30" i="20"/>
  <c r="K31" s="1"/>
  <c r="G24" i="7"/>
  <c r="K33" i="20" l="1"/>
  <c r="K42" s="1"/>
  <c r="K32"/>
  <c r="J14" i="14"/>
  <c r="J22" i="17" s="1"/>
  <c r="J24" s="1"/>
  <c r="H24" i="7"/>
  <c r="K12" i="6"/>
  <c r="K13" s="1"/>
  <c r="K14" l="1"/>
  <c r="K15" s="1"/>
  <c r="K24" s="1"/>
  <c r="D15" i="15" s="1"/>
  <c r="F15" s="1"/>
  <c r="C16" s="1"/>
  <c r="E16" s="1"/>
  <c r="I24" i="7"/>
  <c r="J15" i="14"/>
  <c r="J17" l="1"/>
  <c r="J16"/>
  <c r="G25" i="7"/>
  <c r="J19" i="14" l="1"/>
  <c r="K18" s="1"/>
  <c r="K28" i="17" s="1"/>
  <c r="J27"/>
  <c r="J29" s="1"/>
  <c r="J6" s="1"/>
  <c r="J7" s="1"/>
  <c r="J20" s="1"/>
  <c r="H25" i="7"/>
  <c r="N30"/>
  <c r="N29" l="1"/>
  <c r="I25"/>
  <c r="L8" i="6"/>
  <c r="L26" i="20"/>
  <c r="L23" s="1"/>
  <c r="L29" s="1"/>
  <c r="K10" i="14" l="1"/>
  <c r="K13" s="1"/>
  <c r="L5" i="6"/>
  <c r="L11" s="1"/>
  <c r="L39" i="20"/>
  <c r="L21" i="6"/>
  <c r="N31" i="7"/>
  <c r="L30" i="20"/>
  <c r="L31" s="1"/>
  <c r="L33" l="1"/>
  <c r="L42" s="1"/>
  <c r="L32"/>
  <c r="K14" i="14"/>
  <c r="K22" i="17" s="1"/>
  <c r="K24" s="1"/>
  <c r="L13" i="6"/>
  <c r="L12"/>
  <c r="B44" i="20" l="1"/>
  <c r="B43"/>
  <c r="L15" i="6"/>
  <c r="L24" s="1"/>
  <c r="L14"/>
  <c r="K15" i="14"/>
  <c r="K16" l="1"/>
  <c r="K17" s="1"/>
  <c r="D16" i="15"/>
  <c r="F16" s="1"/>
  <c r="B26" i="6"/>
  <c r="B25"/>
  <c r="K27" i="17" l="1"/>
  <c r="K29" s="1"/>
  <c r="K6" s="1"/>
  <c r="K7" s="1"/>
  <c r="K20" s="1"/>
  <c r="K19" i="14"/>
</calcChain>
</file>

<file path=xl/sharedStrings.xml><?xml version="1.0" encoding="utf-8"?>
<sst xmlns="http://schemas.openxmlformats.org/spreadsheetml/2006/main" count="648" uniqueCount="377">
  <si>
    <t>Area de contruccion x Ha</t>
  </si>
  <si>
    <t xml:space="preserve">Precio de construccion x Ha </t>
  </si>
  <si>
    <t xml:space="preserve">Total de Costos de construccion </t>
  </si>
  <si>
    <t xml:space="preserve">Implemetos </t>
  </si>
  <si>
    <t xml:space="preserve">Cantidad </t>
  </si>
  <si>
    <t xml:space="preserve">Precio Unitario </t>
  </si>
  <si>
    <t xml:space="preserve">Total </t>
  </si>
  <si>
    <t>Madera Teca  x m3</t>
  </si>
  <si>
    <t xml:space="preserve">Juegos de Dormitorios </t>
  </si>
  <si>
    <t>Lámparas de Veladores</t>
  </si>
  <si>
    <t>Duchas</t>
  </si>
  <si>
    <t>Ventiladores</t>
  </si>
  <si>
    <t xml:space="preserve">Agua </t>
  </si>
  <si>
    <t xml:space="preserve">Bombas </t>
  </si>
  <si>
    <t>Mezcladora</t>
  </si>
  <si>
    <t>Generadores Eléctricos</t>
  </si>
  <si>
    <t>Electricidad</t>
  </si>
  <si>
    <t xml:space="preserve">Piscinas </t>
  </si>
  <si>
    <t>Retro excavadora</t>
  </si>
  <si>
    <t>Cantidad de horas</t>
  </si>
  <si>
    <t xml:space="preserve">Volqueta </t>
  </si>
  <si>
    <t xml:space="preserve">Porcelanito </t>
  </si>
  <si>
    <t>Toboganes</t>
  </si>
  <si>
    <t xml:space="preserve">Sacos de Cemento </t>
  </si>
  <si>
    <t xml:space="preserve">Cocina Industrial </t>
  </si>
  <si>
    <t>Refrigeradora</t>
  </si>
  <si>
    <t xml:space="preserve">Congelador </t>
  </si>
  <si>
    <t>Mesas Plásticas</t>
  </si>
  <si>
    <t xml:space="preserve">Sillas Plásticas </t>
  </si>
  <si>
    <t>Comedor/ Patio bailable</t>
  </si>
  <si>
    <t>Cerámica para pisos</t>
  </si>
  <si>
    <t xml:space="preserve">Juegos Recreativos </t>
  </si>
  <si>
    <t xml:space="preserve">Columpios </t>
  </si>
  <si>
    <t xml:space="preserve">Juegos didacticos </t>
  </si>
  <si>
    <t xml:space="preserve">Hamacas </t>
  </si>
  <si>
    <t>Sombrillas para mesas</t>
  </si>
  <si>
    <t>Construcción entrada</t>
  </si>
  <si>
    <t xml:space="preserve">Vigas de acero </t>
  </si>
  <si>
    <t xml:space="preserve">Mallas </t>
  </si>
  <si>
    <t>Laminas de Zinc</t>
  </si>
  <si>
    <t xml:space="preserve">Puertas de Madera </t>
  </si>
  <si>
    <t xml:space="preserve">Puertas de Acero </t>
  </si>
  <si>
    <t>Total de Costos de Implementos</t>
  </si>
  <si>
    <t>Meses</t>
  </si>
  <si>
    <t>Aportación Patronal IESS</t>
  </si>
  <si>
    <t>Aportación Personal IESS</t>
  </si>
  <si>
    <t>Nómina</t>
  </si>
  <si>
    <t>Sueldo Básico Unificado</t>
  </si>
  <si>
    <t>Aportación Patronal</t>
  </si>
  <si>
    <t xml:space="preserve">Aportación Personal </t>
  </si>
  <si>
    <t xml:space="preserve">Sueldo Neto Mensual </t>
  </si>
  <si>
    <t xml:space="preserve">Aportación Patronal Anual </t>
  </si>
  <si>
    <t xml:space="preserve">Sueldo Neto Anual </t>
  </si>
  <si>
    <t>Decimo Tercer</t>
  </si>
  <si>
    <t>Decimo Cuarto</t>
  </si>
  <si>
    <t>Total</t>
  </si>
  <si>
    <t xml:space="preserve">Gerente General </t>
  </si>
  <si>
    <t xml:space="preserve">Gerente de Recursos Humanos </t>
  </si>
  <si>
    <t xml:space="preserve">Gerente Financiero </t>
  </si>
  <si>
    <t xml:space="preserve">Gerente de Marketing </t>
  </si>
  <si>
    <t>Gerente de Áreas Protegidas</t>
  </si>
  <si>
    <t xml:space="preserve">Gerente de Supervisión </t>
  </si>
  <si>
    <t>Cajera</t>
  </si>
  <si>
    <t xml:space="preserve">Auxiliar de Servicio </t>
  </si>
  <si>
    <t xml:space="preserve">Guardias de Seguridad </t>
  </si>
  <si>
    <t xml:space="preserve">Guías Turísticos </t>
  </si>
  <si>
    <t xml:space="preserve">Auxiliar de limpieza </t>
  </si>
  <si>
    <t>Costos No Operacionales</t>
  </si>
  <si>
    <t>Sumistros de limpieza</t>
  </si>
  <si>
    <t xml:space="preserve">Total mensual </t>
  </si>
  <si>
    <t xml:space="preserve">Total Anual </t>
  </si>
  <si>
    <t>Supuesto de Consumo de Electricidad</t>
  </si>
  <si>
    <t>kw</t>
  </si>
  <si>
    <t xml:space="preserve">Total Mensual </t>
  </si>
  <si>
    <t>Total Anual</t>
  </si>
  <si>
    <t xml:space="preserve">Supuesto de Consumo de Agua </t>
  </si>
  <si>
    <t xml:space="preserve">Metros Cúbicos </t>
  </si>
  <si>
    <t xml:space="preserve">Costos de metros cúbicos </t>
  </si>
  <si>
    <t xml:space="preserve">Supuesto de teléfono </t>
  </si>
  <si>
    <t xml:space="preserve">Capital Propio </t>
  </si>
  <si>
    <t xml:space="preserve">Supuesto de Capital Propio </t>
  </si>
  <si>
    <t xml:space="preserve">Suministros de Oficina </t>
  </si>
  <si>
    <t xml:space="preserve">Consumo Mensual </t>
  </si>
  <si>
    <t xml:space="preserve">Consumo Anual </t>
  </si>
  <si>
    <t xml:space="preserve">Supuestos Administrativos </t>
  </si>
  <si>
    <t xml:space="preserve">Mensual </t>
  </si>
  <si>
    <t>Anual</t>
  </si>
  <si>
    <t>COSTOS NO OPERACIONALES</t>
  </si>
  <si>
    <t>ELECTRICIDAD</t>
  </si>
  <si>
    <t>TELEFONOS</t>
  </si>
  <si>
    <t>INSUMOS LIM</t>
  </si>
  <si>
    <t>INSUMO OFIC</t>
  </si>
  <si>
    <t xml:space="preserve">Total de Costos No Operacionales </t>
  </si>
  <si>
    <t>AGUA</t>
  </si>
  <si>
    <t xml:space="preserve">Oficina </t>
  </si>
  <si>
    <t xml:space="preserve">Escritorio+ silla de oficina </t>
  </si>
  <si>
    <t>Computadora</t>
  </si>
  <si>
    <t>Aire acondicionado</t>
  </si>
  <si>
    <t>FLUJO DE CAJA</t>
  </si>
  <si>
    <t>AÑO</t>
  </si>
  <si>
    <t>0</t>
  </si>
  <si>
    <t>1</t>
  </si>
  <si>
    <t>2</t>
  </si>
  <si>
    <t>3</t>
  </si>
  <si>
    <t>4</t>
  </si>
  <si>
    <t>5</t>
  </si>
  <si>
    <t>INGRESOS</t>
  </si>
  <si>
    <t>COSTOS</t>
  </si>
  <si>
    <t>COSTOS OPERACIONALES</t>
  </si>
  <si>
    <t>COSTOS FINANCIEROS</t>
  </si>
  <si>
    <t>DEPRECIACIÓN</t>
  </si>
  <si>
    <t>UTILIDAD ANTES DE IMPUESTO</t>
  </si>
  <si>
    <t>UTILIDAD TRABAJAD (15%)</t>
  </si>
  <si>
    <t>UTILIDAD DESPUES PARTICIPACIÓN</t>
  </si>
  <si>
    <t>IMPUESTOS (25%)</t>
  </si>
  <si>
    <t>UTILIDAD NETA</t>
  </si>
  <si>
    <t>DEPRECIACION</t>
  </si>
  <si>
    <t>CAPITAL DE TRABAJO</t>
  </si>
  <si>
    <t>AMORTIZACION</t>
  </si>
  <si>
    <t>PRESTAMO</t>
  </si>
  <si>
    <t>Compra de Vehículo</t>
  </si>
  <si>
    <t>Vehículo</t>
  </si>
  <si>
    <t>6</t>
  </si>
  <si>
    <t>7</t>
  </si>
  <si>
    <t>8</t>
  </si>
  <si>
    <t>9</t>
  </si>
  <si>
    <t>10</t>
  </si>
  <si>
    <t>PRÉSTAMO</t>
  </si>
  <si>
    <t>INVERSION &amp; CT</t>
  </si>
  <si>
    <t>CAP. PROP</t>
  </si>
  <si>
    <t>CAP. PRESTAMO</t>
  </si>
  <si>
    <t>PAGO</t>
  </si>
  <si>
    <t>NPER</t>
  </si>
  <si>
    <t>TASA ANUAL</t>
  </si>
  <si>
    <t>GASTOS FINANCIEROS</t>
  </si>
  <si>
    <t xml:space="preserve">Supuesto de capital propio </t>
  </si>
  <si>
    <t>Construcción+Implementación</t>
  </si>
  <si>
    <t>Capital de Trabajo</t>
  </si>
  <si>
    <t>Total Inversión Inicial</t>
  </si>
  <si>
    <t>Capital Propio</t>
  </si>
  <si>
    <t>Capital Prestado</t>
  </si>
  <si>
    <t>TOTAL COSTOS OPERACIONALES</t>
  </si>
  <si>
    <t>Valor Mensual</t>
  </si>
  <si>
    <t xml:space="preserve">Valor Unitario </t>
  </si>
  <si>
    <t>Numero de Guías</t>
  </si>
  <si>
    <t xml:space="preserve">Valor Anual </t>
  </si>
  <si>
    <t>C.O</t>
  </si>
  <si>
    <t>C.N.O</t>
  </si>
  <si>
    <t>AÑOS</t>
  </si>
  <si>
    <t>SALDOS</t>
  </si>
  <si>
    <t>SALDOS ACUMULADOS</t>
  </si>
  <si>
    <t>INTERES</t>
  </si>
  <si>
    <t>AMORTIZ</t>
  </si>
  <si>
    <t xml:space="preserve">SALDO </t>
  </si>
  <si>
    <t>TASA SEMESTRAL</t>
  </si>
  <si>
    <t xml:space="preserve">Baños </t>
  </si>
  <si>
    <t xml:space="preserve">Canchas Deportivas </t>
  </si>
  <si>
    <t xml:space="preserve">Malla para Volley </t>
  </si>
  <si>
    <t xml:space="preserve">Pelota de Volley </t>
  </si>
  <si>
    <t>Vigas de Cancha de Football</t>
  </si>
  <si>
    <t>Pelota de Football</t>
  </si>
  <si>
    <t xml:space="preserve">Arcos de basquett </t>
  </si>
  <si>
    <t xml:space="preserve">Pelota de Basquett </t>
  </si>
  <si>
    <t>Aplanadora</t>
  </si>
  <si>
    <t>Almuerzo por cada Personal</t>
  </si>
  <si>
    <t xml:space="preserve">Auxiliar de limpieza 2 </t>
  </si>
  <si>
    <t>Auxiliar de Servicio 2</t>
  </si>
  <si>
    <t>Auxiliar de Servicio 3</t>
  </si>
  <si>
    <t>Guardias de Seguridad 2</t>
  </si>
  <si>
    <t>Guardias de Seguridad 3</t>
  </si>
  <si>
    <t>Guías Turísticos 2</t>
  </si>
  <si>
    <t>Guías Turísticos 3</t>
  </si>
  <si>
    <t>Auxiliar de limpieza  2</t>
  </si>
  <si>
    <t>Guardias de Seguridad  2</t>
  </si>
  <si>
    <t xml:space="preserve">TOTAL ANUAL </t>
  </si>
  <si>
    <t xml:space="preserve">ALMUERZO DEL PERSONAL </t>
  </si>
  <si>
    <t>ALMUERZO DEL PERSONAL</t>
  </si>
  <si>
    <t>COSTO DE CAPITAL</t>
  </si>
  <si>
    <t>TASA DE DESCUENTO</t>
  </si>
  <si>
    <t>RF</t>
  </si>
  <si>
    <t>RM</t>
  </si>
  <si>
    <t>β</t>
  </si>
  <si>
    <t>RIESGO PAIS</t>
  </si>
  <si>
    <t>Ke</t>
  </si>
  <si>
    <t>PATRIMONIO</t>
  </si>
  <si>
    <t>CAPITAL PROPIO</t>
  </si>
  <si>
    <t>Kd</t>
  </si>
  <si>
    <t>K</t>
  </si>
  <si>
    <t>T</t>
  </si>
  <si>
    <t xml:space="preserve">Terreno </t>
  </si>
  <si>
    <t>Numero de Ha</t>
  </si>
  <si>
    <t>Costo de terreno por Ha</t>
  </si>
  <si>
    <t xml:space="preserve">Total de Costo de Terreno </t>
  </si>
  <si>
    <t>Población</t>
  </si>
  <si>
    <t>Proporción</t>
  </si>
  <si>
    <t>Número de encuestas a realizar</t>
  </si>
  <si>
    <t>Guayaquil</t>
  </si>
  <si>
    <t>Machala</t>
  </si>
  <si>
    <t>MACHALA</t>
  </si>
  <si>
    <t>GUAYAQUIL</t>
  </si>
  <si>
    <t>Encuestados</t>
  </si>
  <si>
    <t>Porcentaje</t>
  </si>
  <si>
    <t>SI</t>
  </si>
  <si>
    <t>NO</t>
  </si>
  <si>
    <t>TOTAL</t>
  </si>
  <si>
    <t>demanda anual total</t>
  </si>
  <si>
    <t>personas</t>
  </si>
  <si>
    <t>demanda anual esperada</t>
  </si>
  <si>
    <t>demanda mensual esperada</t>
  </si>
  <si>
    <t>demanda semanal esperada</t>
  </si>
  <si>
    <t>Total de demanda</t>
  </si>
  <si>
    <t>Siempre</t>
  </si>
  <si>
    <t>Algunas veces</t>
  </si>
  <si>
    <t>Pocas veces</t>
  </si>
  <si>
    <t>Rara vez</t>
  </si>
  <si>
    <t>PROYECCION DE DEMANDA</t>
  </si>
  <si>
    <t>AÑO 1</t>
  </si>
  <si>
    <t>AÑO 2</t>
  </si>
  <si>
    <t>AÑO 3</t>
  </si>
  <si>
    <t>AÑO 4</t>
  </si>
  <si>
    <t>AÑO 5</t>
  </si>
  <si>
    <t>AÑO 6</t>
  </si>
  <si>
    <t>AÑO 7</t>
  </si>
  <si>
    <t>AÑO 8</t>
  </si>
  <si>
    <t>AÑO 9</t>
  </si>
  <si>
    <t>AÑO 10</t>
  </si>
  <si>
    <t>DEMANDA</t>
  </si>
  <si>
    <t>Precio de entrada</t>
  </si>
  <si>
    <t>Precio de cabañas</t>
  </si>
  <si>
    <t>PROYECCION DE INGRESOS</t>
  </si>
  <si>
    <t>Entradas</t>
  </si>
  <si>
    <t>Cabañas</t>
  </si>
  <si>
    <t xml:space="preserve">Arriendo </t>
  </si>
  <si>
    <t xml:space="preserve">Número de cabañas anuales </t>
  </si>
  <si>
    <t xml:space="preserve">SALARIO DEL PERSONAL </t>
  </si>
  <si>
    <t xml:space="preserve">Vehículo </t>
  </si>
  <si>
    <t>COSTOS OPERACIONALES ANUALES</t>
  </si>
  <si>
    <t xml:space="preserve">Alquiler de Restaurant </t>
  </si>
  <si>
    <t>tomando en cuenta que alquilamos 2 cabañas a la semana</t>
  </si>
  <si>
    <t>DESCRIPCION</t>
  </si>
  <si>
    <t>VALOR</t>
  </si>
  <si>
    <t>VL 3,6,9</t>
  </si>
  <si>
    <t xml:space="preserve">VL </t>
  </si>
  <si>
    <t>Maquinarias y equipos</t>
  </si>
  <si>
    <t>Vehiculo</t>
  </si>
  <si>
    <t>Equipos de computación</t>
  </si>
  <si>
    <t>Muebles y enseres</t>
  </si>
  <si>
    <t>Edificios</t>
  </si>
  <si>
    <t>Vida útil</t>
  </si>
  <si>
    <t>DEPRECIACION ANUAL</t>
  </si>
  <si>
    <t>%</t>
  </si>
  <si>
    <t>Depreciación inicial</t>
  </si>
  <si>
    <t>Depreciación acumulada</t>
  </si>
  <si>
    <t>Gastos de Constitución</t>
  </si>
  <si>
    <t xml:space="preserve">AMORTIZACIÓN INTANGIBLE </t>
  </si>
  <si>
    <t>Tasas</t>
  </si>
  <si>
    <t>IMPUESTO A RENTA</t>
  </si>
  <si>
    <t>TASA PRESTAMO</t>
  </si>
  <si>
    <t>TMAR</t>
  </si>
  <si>
    <t xml:space="preserve">VAN </t>
  </si>
  <si>
    <t>TIR</t>
  </si>
  <si>
    <t xml:space="preserve">INGRESOS </t>
  </si>
  <si>
    <t xml:space="preserve">CO </t>
  </si>
  <si>
    <t xml:space="preserve">SALDOS ACUMULADOS </t>
  </si>
  <si>
    <t xml:space="preserve">ENERO </t>
  </si>
  <si>
    <t>FEBRERO</t>
  </si>
  <si>
    <t xml:space="preserve">MARZO </t>
  </si>
  <si>
    <t>ABRIL</t>
  </si>
  <si>
    <t xml:space="preserve">MAYO </t>
  </si>
  <si>
    <t>JUNIO</t>
  </si>
  <si>
    <t>JULIO</t>
  </si>
  <si>
    <t>SEPTIEMBRE</t>
  </si>
  <si>
    <t>OCTUBRE</t>
  </si>
  <si>
    <t>NOVIEMBRE</t>
  </si>
  <si>
    <t>DICIEMBRE</t>
  </si>
  <si>
    <t xml:space="preserve">Demanda mensual </t>
  </si>
  <si>
    <t>crece al 5% anual</t>
  </si>
  <si>
    <t>crece al 1% anual</t>
  </si>
  <si>
    <t>crece al 4% anual</t>
  </si>
  <si>
    <t xml:space="preserve">Demanda anual </t>
  </si>
  <si>
    <t>Precio (entrada)</t>
  </si>
  <si>
    <t>Precio por cabaña</t>
  </si>
  <si>
    <t>Precio por arriendo del local Restaurant</t>
  </si>
  <si>
    <t>APORTA TRABAJADORES</t>
  </si>
  <si>
    <t>VALOR DE SALVAMENTO</t>
  </si>
  <si>
    <t>RECUPERACIÓN DEL CAPITAL DE TRABAJO</t>
  </si>
  <si>
    <t>Valor en libros</t>
  </si>
  <si>
    <t>PAYBACK</t>
  </si>
  <si>
    <t>Período (años)</t>
  </si>
  <si>
    <t>Saldo Inversion</t>
  </si>
  <si>
    <t>Flujo de Caja</t>
  </si>
  <si>
    <t>Rentabilidad Exigida</t>
  </si>
  <si>
    <t>Recuperación Inversión</t>
  </si>
  <si>
    <t>ESTADO SITUACION INICIAL</t>
  </si>
  <si>
    <t>ACTIVO</t>
  </si>
  <si>
    <t>PASIVO</t>
  </si>
  <si>
    <t>DISPONIBLE</t>
  </si>
  <si>
    <t>Préstamo</t>
  </si>
  <si>
    <t>FIJOS</t>
  </si>
  <si>
    <t>DIFERIDOS</t>
  </si>
  <si>
    <t>Total Activo</t>
  </si>
  <si>
    <t>Inversion Inicial</t>
  </si>
  <si>
    <t>Terreno</t>
  </si>
  <si>
    <t>*</t>
  </si>
  <si>
    <t>Gasto de Constitución y Funcionamiento</t>
  </si>
  <si>
    <t>Costo de Construcción</t>
  </si>
  <si>
    <t>Acumulada</t>
  </si>
  <si>
    <t>Total de Inversión</t>
  </si>
  <si>
    <t>INVERSION INICIAL</t>
  </si>
  <si>
    <t>Columna1</t>
  </si>
  <si>
    <t>Columna2</t>
  </si>
  <si>
    <t>Columna3</t>
  </si>
  <si>
    <t>Columna4</t>
  </si>
  <si>
    <t>Columna5</t>
  </si>
  <si>
    <t>Intereses</t>
  </si>
  <si>
    <t>Pagos de Capital</t>
  </si>
  <si>
    <t>Pago total</t>
  </si>
  <si>
    <t>Gastos de Constitución y Funcionamiento</t>
  </si>
  <si>
    <t>Capital de Trabajo (Caja y Bancos)</t>
  </si>
  <si>
    <t>Total Pasivo y Patrimonio</t>
  </si>
  <si>
    <t>AGOSTO</t>
  </si>
  <si>
    <t>PARQUE FORESTAL ECOVISTA</t>
  </si>
  <si>
    <t>ESTADO DE PERDIDAS Y GANANCIAS</t>
  </si>
  <si>
    <t>Total de ingresos</t>
  </si>
  <si>
    <t>UTILIDAD DESPUES DE PARTICIPACIÓN</t>
  </si>
  <si>
    <t>UTILIDAD INICIAL</t>
  </si>
  <si>
    <t>UTILIDAD ACUMULADA</t>
  </si>
  <si>
    <t>BALANCE GENERAL</t>
  </si>
  <si>
    <t>ACTIVOS CORRIENTES</t>
  </si>
  <si>
    <t>Caja y Bancos</t>
  </si>
  <si>
    <t>TOTAL DE ACTIVOS CORRIENTES</t>
  </si>
  <si>
    <t>ACTIVOS FIJOS</t>
  </si>
  <si>
    <t>Edificio</t>
  </si>
  <si>
    <t>Maquinaria y equipos</t>
  </si>
  <si>
    <t>Vehículos</t>
  </si>
  <si>
    <t>(-) Depreciación acumulada</t>
  </si>
  <si>
    <t>TOTAL DE ACTIVO FIJO</t>
  </si>
  <si>
    <t>ACTIVOS DIFERIDOS</t>
  </si>
  <si>
    <t>Gastos de constitución</t>
  </si>
  <si>
    <t>(-) Amortización acumulada</t>
  </si>
  <si>
    <t>TOTAL DE ACTIVO DIFERIDO</t>
  </si>
  <si>
    <t>TOTAL DE ACTIVOS</t>
  </si>
  <si>
    <t>PASIVOS CORRIENTES</t>
  </si>
  <si>
    <t>Utilidades por pagar</t>
  </si>
  <si>
    <t>Préstamo a Largo Plazo</t>
  </si>
  <si>
    <t>TOTAL DE PASIVOS</t>
  </si>
  <si>
    <t>Capital Social</t>
  </si>
  <si>
    <t>Utilidad o ganancia</t>
  </si>
  <si>
    <t>Utilidad acumulada</t>
  </si>
  <si>
    <t>TOTAL DE PASIVOS + PATRIMONIO</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</si>
  <si>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</si>
  <si>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</si>
  <si>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</si>
  <si>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</si>
  <si>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</si>
  <si>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</si>
  <si>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</si>
  <si>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</si>
  <si>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</si>
  <si>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</si>
  <si>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</si>
  <si>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</si>
  <si>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3649cae1-8a90-417b-beb4-8fe786d071b0</t>
  </si>
  <si>
    <t>CB_Block_0</t>
  </si>
  <si>
    <t>㜸〱敤㕣晢㙦ㅣ㐷ㅤ扦㕤晢捥户㘷㍢㑥㘳㈷㙤晡㐸摤㈷㉤づ搷㍣㥡愴㔵ㄵ㔲㍦攲挴搴愹摤㥣㤳ち㔵攵㔸摦捤摡摢摣敥㥡摤㍤㈷㙥〵㉤㔲㝦㐰㍣㝥㐰㐸㤵愸㜸〸〹㔵昰ぢ㔲ㄱ㐲㤴挷㝦㐰ㄱ㍦昱ㅢ㔲昹〵〹㠱㔰㈴挴捦攵昳㤹搹扤摢扢昳慤㥤㙢ぢㄷ攴㜱㍣㥥㥤昹捥散捣㝣㥦昳晤捥㈶愳㘵㌲㤹て㤱昸㤷㘹㤰㠵㝢㑢㕢㐱㈸㥣攲慣㔷慢㠹㑡㘸㝢㙥㔰㥣昶㝤㜳㙢搱づ挲〱〰攴捡㌶摡㠳㙣㌹戰㕦ㄵ昹昲愶昰〳〰㘵㌳㤹㝣摥搰搱捥㐱昸扢㍦㝥㌰搸㙢㘴㄰搹攵搹㤹愵搵㔷㌰㙡㈹昴㝣㜱㜴昲慡敡㝢昶㑣昱㘴昱改搳挷㡡挷㡥㑥捥搶㙢㘱摤ㄷ㘷㕤㔱て㝤戳㜶㜴㜲戹扥㕡戳㉢捦㠹慤ㄵ敦㥡㜰捦㕡㘲昵搴愹㌳愷慤ㄳ㑦㥦㍥㜳晣挴㔳㑦㡥攰挵㤹挵搹㤹㘵㕦㔸挱挷㌲㘲㤶搳㝤㜲㑥㔴㙣慥㑢〸摦㜶搷㡡戳㌳昸㤷㤸㍢㥥捥ㄴ㑢敢㐲㠴㝣戱昰㠵㕢ㄱ㠱㠱㡥挳捥㜴㄰搴㥤つ㙥㥣攱捣㘳㤹ㄵ㌳〸戳捥慣愸搵っ㈷ㅥ㌵敦㉣㘱摦㙡收搶㠸㔳ㄲ㙥㘰㠷昶愶ㅤ㙥攵㥣ㄵっ㔴ㅤ㜵慥〴攲戲改慥㠹攷㑤㐷㘴㥤ぢ㜵扢㍡愸㔲㘶攰㔳昱㄰挹㠹挹挵ㄷ愷〳㘷㜶摤昴攵㡣〲㙥㑢ち散扣㕦㘹㠵㝤愸晢戸㥣扡㝣〳挷㝣愴㍢ㅣ㕡慥㥡㝥〳㜲慡㍢㘴戴昸搶ㄹ㍣搱ㅤ㍥戱㐷慤㝤ㅥ敦摥㐷㙥㘵㉢戴㌶ㅣ搱戶摣㔱㉣挶挸㌱ㅢ㘲㤶㘷㐶〴ㅡ〵㘶挳捣㐶㤰㘹㠳晦〲㠷㈴㍢戲㐹㉦㥢㝡㜹㔵㉦㔷昴㜲㔵㉦ぢ扤㙣改攵㌵扤扣慥㤷㙤扤晣㡡㕥扥〶㤸㌸攵㠷㠶昴㈸㥤捦㝢㔷晥晤户敦捦扦昹㡢〱昳慤捦扣愵㡦散〳搰ぢ搱愴收㝣昳㍡㐸慤㐹挳㈷㡡攰㠸摤昰挴敡戱㤳搶㈹敢㡣㜵晣㜸昵搴㌱昳愴㤹攵戲㔲㤰摦㐲㈸晢〱㍢㘲扤㘸扢㔵敦扡挴摤扤㌳㘶㈰㥡ㅢ㌷ㄵ戵捤㜸㜵户ㅡ摣戳㝤㘳㈹㌴㐳㜱㜷㝢㕢㜳㤰㡥㙥㈵戰㤵〸攴晢㡥戴㜷扢㙡搶敡㘲晡㠶慤㥡敦㙢㙢㜶㤶㝤㙦戵㝢敢扣㉦扥搴㘸敤㤸搱㌴〴摡愶ㅣ扢㘳㤵慡㐹捤㙢㜲㜶摤ぢ㠴㉢愷㌷攵㉣摢㤵㙢挲㉦〹㡡㐳㔱㤵㑢㍤挸愶㠸敢愷㤶㕣㉣ㄴ摣㕡㝤㌰㔹㙢㥤扦ㄱ㠲㤹㐵ㄵ昳摤㄰㝥戸戵㘲慥搶挴愱ㄶ㄰昵㑥㌴ㅣ㙥愹㥥昷㉡昵㘰搶㜳㐳摦慢戵戶㑣㔷㌷㑤㐸㥡敡㈵慦㉡〶〷㌳㔲㈸㐰搸づっ㘸㕡收搳摤㜹㐱㈲㈲㠱㘲㌲昲㕤慤㘴㔷扣㡣搵㘱ㄵ㌵㐱㥡搴ㅦ摥㘱㌰捥㔷捡㤸ㄴづ㑣慣㠹扡㠳㉦㝤㙣㠷㘱ㅢ㤸晢㘴㠱㜵㝤㍣㕡晤昹㑤攱㠶ㄷ㑤户㕡ㄳ㝥慡收搳㌸㈳㘳っ㔹昶㈶〴㐲搷摤愳㥡搳㙥㘸㕢搹敢㜶㌵㕣捦慤ぢ㝢㙤㍤㐴ㅤ戴㘳㍥捦慤敤㐸挶ㅤ愸㌲づ㌰ㅢ㐷㔶㈸㘴㜲ㄳ〴捡ㄵ㤰㌲㔹㑡愷ㄴ㕥㙥ㄱ攴散搷挲换㈳搶扣㕤ぢ㠵ㄲ捡㘳ㄶ㌰愲戴㥡㐴摦㈸㐹搴㌷㉢㑡㘱㑣㔸戳愰㔲搳㜶挳慤㈶摦㜶㜰㠹㈲愲㍤㔹搰㜷戲㠰愲愰㔵ㅥ愴昰ㅡ㠸愶㑤ㅡ愴〳㈷㠸㠸㙣㤰愲搹㌱㜲㉢㤱ㄱ㍥㐵㐶〰㍥㐹㠴㠴㍥搶㕤㐶㤰搸㍢㠹㤴㥤扡昲攳㥥㌴摢捥㡥㔷搲散㈰㌶捥㌸挴散㑥㘶㜷㌱㍢㡣㑣晢㉢㈴ㅣ愵ㅣ捡慤挹戸〷捦挶扤捣敥㐳〶昹㘴㔰收㐴愲㡡㌶搴㙥散㐸挲㡤挲㑥㤶㐶戱ㄲ㐵戴㡣ㅢ㜶收愸㈳ㄱㅤ㔹㥤晤愱㙢〷愵㡥㝤戴㍢㙤㈶㤷㐳㡡㑣〱㑤慥㜵〷搰攴㐶㄰戴㐷扤㜵㍦扡ㅡ㤳捣ㅥ㐰愶ㄴぢ㡤摤摤㔹昳㌴㈷㙦ぢ㤳㐸ㄹ㐲㍤㉡昷㠸㠸㘹晥愷〸戸㡥愳换㥥晤㑣㔳㜰捡扡敤敤攷愳摤㜹㍢㐲㝡㥢捥摣搳㌹昴ㄳ摤愲〵晤㈰搸㑢晢㜳㔷晤昲㌰㥡㡤㐷㤸㍤㡡慣㑤扦昰攴㝤慢㕥〲㘹ㄲ㍢〹捣ㅤ愰挷㐵㕡戸㉢㕢ㅢ㐲㙡㥦ㄱ㙢挵昴搷㐴〸敦挵挲ㅣ散㘰捦昷㐵つ〷摡慡慣攰搹攵捥搶捡㘰摥昷ㅣ搶敦搹挷挱㙤愱ㄸ〶〷昵㠱㑣㥢㝤㥣㘲㘷㈶晣㑤〹捡愱晥㍤搹㕤㐸㈴㍡戵㤲ㄷ晢愵㥦㉤昷㈴㐹て㤲攴㌱㙣慢昱㌸㌲㐸〹敤㑦㕤㈵捡ㄴ挱㡥㑡戰㔶㙢㤵摥扤㤴㤳㐹㥢晦戰㐳㡥っ㉢㘷敤っ㝣〷挱愸㔳戲㥤㠶戰ㄸ㜶㤶㠵㕦㠱㕦挱慥㠹㠲㜲挹㔲搴散挹㡡摢㐴㔶っっ㜴㥣愵㔳㝣㙢㤲㑥摡愴㐴㉡户愷㌶愶㥣挳㥢㐴㐵ㄷ㈴㠵㑡㡡㕢愸㈱㠱㐸㜹㠴摤ㄳ㌱㍤㠸㤸㈲㌶捥㜸㠲搹㌱㘶挷㤱㘵晦〰㐹戳摢㡤㘷ㄸ㙣㘸㤳敥散㜲㌹㤳㈷ㅡ愴㝢昰晤慥挲敡㐹扥收ㄴ戳搳挸摡捣ㅦ㍡ㅦ㔳〸㔱愲㍣㐱㠸戴㤶っ敢慡㉤慥㤳〶昶㔹〸㉡捤搶㠳搰㜳ㄸ㔵ㅡ戵收扣攷扤㜰捥づ㌶㄰㠵ㅡ户愲挲㡢敢挲〵㜵昹戰㝤摡敡扣㡤つ㔱㌵慣㤲㔷㠷㘸㕢㤸敢㠷㐳㌹搶〷㕢㔲㥥换㜵つ愹户戳㌱㠶搰攴㠹ㄸ扥㔶㝡㘲㜷攵昹收愱㙦慣戹愳㉢㜶㔸ㄳ挳㤶㘲㍡㤶昳ㄶ㜶ㄱ㔱㠳敡㤰戵戲敥ぢ㌱㌷㙡㕤昰敤㙡捤㜶〵㤱〱ㅢ㤳㠱扡㐵戱㠶〸挱戲挷昸㥦攷㡥㕡㉢扥改〶ㅢ㈶㠳㠹㕢〷㕡㥥㘴㐸㈴㙢捤搸㙥㠰搷㐸㉣戲㍣㘶㤵搶扤敢㠸搴搶ㅤ昷㠲戹ㄱ昴〵㔶㐸昴㉡㐹搴㘸扡愶敢㕡㕥捦昷㡡ㅦㅥ挸㌳㤹ㄳ昸ㅤ㘴㈶㜱㤵挹搲㕦㥥愲扤㘹搷㐷昱ㄹ摡改㥣搳〸㈲㐷㡤捡㠱㔴㈹㑣㑥㌵㥥㘲㥦愷㤱㕤扣㜰㘵愱ㄹ㤵晢〸戱敡㉣晤晢㈹ㄲ㕥ㄲ㐵㈳〴㐲敦摣㍥㐵㈸慣㈳摤㠰晦㠰㙦㍥戵ㄳ㕦挱㤲㌰愴扤㝤捤攲㍣㘲㐸㈳搶愲戹㉡㙡㠸㐴㍢㘶戸㑦㍤搰㠸㜵捣㕡㄰戵捤㝡㡥㘳㤲戰㐸㤴愵㡡㐹晡㥤慥㠷摥㈵摢㌵㉣㘴㤲晡愲㉡昳〶慡捣ㅢ戲㙡挴扡捣愰愰㉣㜳㉣㙦捤昴敤㜰摤戱㉢㜹㍥㌰㜰搷ㄷㄴ〹ㄶ愷摣㡤㔳㉣㌱㈶摢㙣昹㉢㌰搸㠲㈲㤰㕤㠴ㄴ攵搶ㄱ昹愰㕢㕤换攱㐷敢搱慤〴昱㈲㝤愴挶㌳ㄸ㉤㉢敦㐴㐰攰挸㜴㌳扥㜹㜱昳㜵搴㈸慦ㅣ戱㥥㐲㈲昰〷㈶㐴㍣㥤摢㌹敢㡡㙢㠷挰ㅥ㌱㌶㙦㠷㜳〱㔰㡥っ㐵㜹戸扤㕢㘲㌵搱㘹慡愱ㄳ敥敦㙣㙡㔱ㄲ㐷㍡摢㤳㕡攳攱㙤㥡㤵㍥㐹愸㤱㥤㠰愴㕥搹㘶㡥晤愴㘸㌴愹戶㘳㕤愳愵㌹㑤㥢晢㑥ㄹ昲ㄱ搴㤲愴㤹㡣㜱㔶ㄲち㐲扣愴づ㘸㈸㝡敢搳挹㈳ㄱ慢愱〵㔰愰㤶㔲㜵愳㔱㌰㜰〱ㄷ㑥慡愲㄰㍤㠱扦昷㐵挵愵㝡搸搲㘲摥ㄸ㡦㕡愶㙢戵㈵ㄷ㌶㐲挵昴慢㝤挲搲㔸㥢搲㉦㤲㍢㝢搵晤㙡㝢ㄳ㡣ㄸ戱㈱〳㈲㈹㕥㘰戰㈱㤸㉢ㄱ㑢愵㙤㌶捡慤㙥㔴攷昹㜴㐹㤸慥挴㐰㈹慣捥㠹㑤㘹㠴㌵敤昸㜱搹愱㜱㔶㤴㜲搴戰愶㔷〳㈸昴㤰㜲㍣㉡㐹〶㌷慣换㜴㑡攱晡〲挴㙥㔴㕡慥㠴〸敡㌶〶攰戹愰㝦戰㠳ㅤ㔱㐱ㄳ摡㘶㤴愰戹ㄴ挲㙤㕤〴㜹愷㐷㡣㐲㤰㕡㌲晤昳㥣昶昶㜷㤹㝥㝡㉥ㄳㄷ㈲㈶㘲愰㉢挵㜶〰㜲㤳㌱㐹㜲搱㜸ㅣ㉡㔷㤲㑤ち慤㤱戸㡥〶挶㈸つ㍥㍦挴晤ㅤ㐶戱挶挸㌶㌵摣㙥ぢ㙤㘸搳摡搶㍥㙢挱慤搴敡㔵㈱㔵㜱㉣慢愵㐶敥ぢ㝣挹㡢㝦㡡㥢㔲昶㈵摡㤴〵ㅣ愴戸㘴㈲愹㜷慢摢昸㉣扡㑢㈱㠷㌱㤴㙣㘳攸㌱挵㈹㈷㐳㘱ㅤ㌷ㄴ㘸ㅤㅥ㘸㕥㕤㤰搷收㈰搲㍡慡㈸换ㄶ㜱ㄳ慦ㄱ㍦㤶摣㤶〰㕢昴ㄶ㍤㕡散㠹慡㡢戶慡敡ぢㅣ㘱㥤㑡攰攵㜲㌰㐶㝡攴づづ㤲戹ㄹ挵㜵㙦扥㉥ㅦ㌳㌷捦㐵挶㠷挶攸㉥捦㐰ㄹ散㉡ㄸ㠹收戶摥戴戹㌵挶㝤㘹㜷ㅢ捦㈲搳ㄸ〰愶㐱ぢ㐸㘵攰捣愰扣戳㠱挳㔰㘴㑡㙣㌴ㄹ㐶㘵㠴㜲ㅣ敥㝡㈰つ摣挴㘳昴㡡〷㈵ㄴ㑥挸㉢㘱昱慤挴㈹〷〷㈰捦㍦搴㔶戹㙣㠶戸昸攲ㅥ㙥慢㥥慥㔶㘹敥挲㍢搷ㄷ㔸挵愵つ㘵㡥㑥戴㕤挷㤲㙢愲㝤昷㔰㕢㐳㜴㑤昰挴㕣昱愲ㄹ㔶搶㑢攱㤶扡戲搵㉢㐹㘴㝦〷㙦挴戶㙦愷捤㍣攸昲ち敡㈶昷扥㜰捤昵慥扢㜲㕥搹㠰昷晤㘸挵ㅡ㐳㐳㥣㘴㈱昳㈱㝥㘴搲㌳搹摦㘲挴摤㑣㥢〳㌴摤㈳ㅣ㐷㈶㈵つ㈶㔱㑥愱ㄳ搸敥㡤晢〲愴㤳㠹㌶㍡㤱㠲㘰㡦㔰摣戵㡦㡤㔰戴摦〰慤㈴ㄶ㜵㈰挷㥥扦〳搶搷㝥㡤ㅡ㈲ㅣ捦㤱ㄸ挹㍥㠰㔲ち敡愴㈰㡦㉥㜷昰㉡挸晦て㤶㘲㙥摥㤶㥤晥ぢ捣慣扤搷㡥愲㈳㐴搱慦㍡㔱挴㌰散㉤〵扣㌹晢扤愳收㈷㝥愹昷㝦㜸搴晣ㅣ㌰捣㈴慤㌱㠴搴ㄸ㡡㙦ㄸ〳㝡㠷㌱昰〸㥡愵㌱昰ㅣ晢㌰㕡慦㡣㠱挸摢㜱〹ㄵ㍢ㅢ〳㡣攱愵㤸㝣㠹㤰㙡挲㠱挱戳搶㈱㠷㥥戰㡢戸㕣㉢〲挴敤愱㥥㠲㔹昸㥥敥散慣㕥㌶㝤搳㌹㉣敢㉦昸〲㙡换㕦挱㙤㙤搹㠵㍤敥摥戶㐵㜶摡挶㉢ㄱ㝢搳昷㍣㈷扢扢愳づ㑣愹愴摣昴㕡㕥换㝤〴㥦㠸挶ㄳ㐲收戵㠹㥦㕤昸换慢㙦㥥攳慤戴㠸㔶戳っ〳昷ㄲ㥡愷攵㠰攰㙤攲㐲挸㐱㝥㝣㜳〹ㅦ㈱搹ㅢ㌵㌱㘳晡搲摥〹っ㈷㉥㉡挲㑢㄰愶㈲扥㝥㌰㈶㜱扦㐱ㄹ㤳挵㌶挷愶晣㜸㐹㍡〳㡢㠹㠹㑢敦㕤ㅣㅥ搴扡慡慣ㅥ敤捡散捦愱㜴㙥㜱㈲慤昶㈰捦㤷㑣㥡昶㙥扢㔶㍢㐵慤㈶捤㐴㙤ち㄰戱㤴㐲㥣㠱ㄴ㤲㍣戲㌰昰㉦愵搴㌲ち搹㈲戲㤴〸㕡㝢㈸㤷㈷晦㍤㈱㈰ㅡ㤷晢㝡晣㔰〵扢〸㉣挶㕥昷㕥捦慥戴㍡㘳搵挴㤰慣㍣㝤扣㠰㠲㍣愶戰㠲㌱㕡㔹㝢ㄹ㠵㌸㘵㡦愳戴㙢挷ㄳ㕦㌲敡愸〰㥢㘲散慣㐳慦㕡挱㌹敦搶㜱挳〳㝡㈶㈷ㄵ㠶㝢㠰搵㌸㝡捡㔸㥣〲㉤愸㉡收㘳慡搸攸㌴ㅣ㌵㐱㘷戹㠷㜱晥㐴㤰㡦㕦〳戱㝤慡㌹昴挱昶ㄶ敡㌸㜷〸ぢ攴㉦散慦㈳㈹㡣㡤户㤲㘳㈰㘱㜷〵㤵㔷㔷挰㑢攸㈲敤㜹捤㘸ㄶ昹㉥㑤㘳㉣㍡收慣㠱㑥晤捦㈸戵攴慣ㄵ㐲㌳㕣摤愲晦慦愲㘲㐷晤慦㌱挶㈶㔱昶㘲㔴攰㐳㤶㤱㤲ㅤ㠳㌳摣ㄱ昸戰ㄱ愶㤱㐷㘰㐳ㄶㄹ摡㔶愵ㄲ㍥㑥㔵捤㔲㠲挳挳㌵搸㝥〵愲搱㤷戶敤㜰㔷〱挸㈸㔰昶㈷㄰㐱㕤晢㜳搲㥤攷搸摣攷㔱㍤㜱挹慥昸㕥攰㔹攱㘴〹挱摤㐹㝥㕦㘶挱收㤹搶摥㘹ㄷ㙡て㘱㈷㐶㕥㐲㥦挵㈵〸散攷㐵昸昱挴ㅣㄹ㐱搸㕤挴㠲㕦ㅡ敤㑦㠴㤱愸ㅢ㠲㍢慣ㄷ敡㘶つㅦ愷㉥挱愷ㄹ戲慡㉦㔴㥤昲㉣户摦挳攰挶攱㈶搶㜳昰晢㠸㕡ㄱ㐱㌰戹㠴㤷㕥收慥戶敦㐱㉢㙣戴戶㠰㤰扤昹搶ち搹ㅦ〳愳扢㝢㑢㉢挱昰㥤晣收㔸昹㍤攸ㄷ摤扤ㄳ㤶㈳㡤㠳挲愳㑦戵改散㥡慡挱㐵戶㡢昸昶换攸慡㍤换っ扦挶ㄷ愲〲ㅦ㌴㝡昲㥥㘱攱㐷㔸ㄲ㐹ㅦ攵㑣敥㡢挸扡搳昳て〱搶攲ㅤ㈰㍤㙢㍣㔴㤰〲ぢ摡て搰捥ㅤ㙡慣㔴㤳〷〷戴ㄹㄵ㘴㜱搲㜸㜰㤰敦晥ㅥ㠰ㅢ敦ㄶ愸敤晥敥户户㝤㌷㔵扥㕣㕢㜲晣晤戱捡㌰搶搱㙣搸捣㕥㘱㜶つ搹晥㔸㜳㡣㔱ㄸ㔲挲攴㔴攸攰扤㜳㈸㈳晤㌱晡晢挱戹昷㝦捦昴㡦㜳㥡ㄴ㝦㘸㙡㕤〵挵㥦㕣挵㜷㤲慢㜰㔱摢㝤ㄵ摦摥㙥ㄵ晢㈹ㄹ㌹ㄳ㘳〳搹攸㠰㈶搱挶攷㤶㔵ㄱ㝤ㄲ捡㤷㔰晢攳挶㉣㔷㤹昲㑤㡥㌴㜹㜸㠷㤱㡥㤸㥣昲愴收㤴愲换㍢㤱ぢ戵㉦ㄸ㍥㜲㝥㜷㤵搲戹ㅥ挳昳摡户攲㕤扦㜸㌱晥攰㐹㡦〲㐶挰扡㌲㌲㐹㈵摣㐸敤㥢㌱昰扢扦㙣晡㍢搱㠰〴搲㔰挰愴㈶〹晣㡤ㄸ昸〴㍥愶㤲㌰ㄹ㠶晦㤹㍥㠸㠱㐹㜵ㄲ昸敢㌱昰摦㑦ㅣ㙥〰挷㐴ㄶ㠹〶㔲㐰㡡昹㉡つ晡挴㠷搵㍣㈷㘷㉤慡挴㘱㑢㔵㔳ㅣ捡戸㙦㑤㉡挵ㄱ摣攴昰昱㘹昳㈲慥㈵攱晥〶㈴愷晡ㅦづㄶ㜰㕤㘹捥っ㑤㝣戹扣㠹㐸戱㙦挸㈷㜶捥㔹㑢㍥㉡㠶慣㠵〰挷愴㙡㕦㤱〸㌴晣愰摡摦ㅤ㍣敡㈹搶㘰㜳㍦攲〸㤷捥ぢ㈰扤㘹〴ㄹㄵㄹ搴扥ㄶ㘳㌶昳㐶㤳㘶㡣㉤㈰〷㑥ㄶ攴㉣ㄴ㔴〴㘵㠲てㅡ㔹㤸愸捥扤㠶㙣㉣晥㉦㈴㈶㌷愵㤷㐳搷摥㡣挷㑢㔲㡡昱㘵㜶昸ち戲〱戸㔷戵㠸捥㕡挶捤昲㤵扢㕥㍢㘷搶愳㘲㜹〳㕤㌵捥㠷㉦㌴扥捡愷㌷㤸昱㈹㤶㑢㈸㘷㌴搹搴㕥㍢晣ㅦ㕥㝥捣捦</t>
  </si>
  <si>
    <t>Decisioneering:7.0.0.0</t>
  </si>
  <si>
    <t>7deccae9-e32e-4553-946c-6e57adf05021</t>
  </si>
  <si>
    <t>CB_Block_7.0.0.0:1</t>
  </si>
  <si>
    <t>㜸〱敤㕣㑢㙣ㅢ挷ㄹ收㔲㈲挵愵㈴换戱㘴㈷捥挳㔱㥥㑤㉡㠳昱㈳戶ㄳ〴慥慢㐷㘴慢㤱㈳挵㤴ㅤㄴ㐱捡慥挸㔹㘹攳㝤愸扢㑢搹㑡搰㈶〱㜲攸昳㔰昴搴愰㘸ㄱ愰〸搲㑢㠱昴搰㌶㝤摣㝡㑣㡡㥥㝡㉢㤰㕣㝡改〳〶㝡㙦晡㝤㌳扢攴㤲ㄴ㔷㌲㤳戴㜴愱㤱㌵㥡㥤昹㘷㜶㘶晥攷晣晦慣㌳㕡㈶㤳昹ㄸ㠹㝦㤹〶㔹戸扢扣ㄵ㠴挲㈹捤㝡戶㉤慡愱攵戹㐱㘹摡昷㡤慤㐵㉢〸〷〰㤰慦㔸㘸て㜲㤵挰㝡㔹ㄴ㉡㥢挲て〰㤴换㘴ち〵㍤㡢㜶づ挲摦晤昱㠳捥㕥㈳㠳挸㉥捤捥㉣慤扥㠴㔱换愱攷㡢愳㤳㔷㔴摦戳㘷㑡㈷㑢㑦㥥㍥㔶㍡㜶㜴㜲戶㙥㠷㜵㕦㥣㜵㐵㍤昴つ晢攸攴㜲㝤搵戶慡捦㠸慤ㄵ敦慡㜰捦㥡㘲昵搴愹㌳愷捤ㄳ㑦㥥㍥㜳晣挴ㄳ㡦㡦攰挵㤹挵搹㤹㘵㕦㤸挱愷㌲㘲㡥搳㝤㝣㑥㔴㉤慥㑢〸摦㜲搷㑡戳㌳昸㤷㤸㍢㥥捥㤴捡敢㐲㠴㝣戱昰㠵㕢ㄵ㠱㡥㡥挳捥㜴㄰搴㥤つ㙥㥣敥捣㘳㤹㔵㈳〸㜳捥慣戰㙤摤㠹㐷㉤㌸㑢搸㌷摢搸ㅡ㜱捡挲つ慣搰摡戴挲慤扣戳㠲㠱㙡愳捥攵㐰㕣㌲摣㌵昱慣攱㠸㥣㜳扥㙥搵〶㔵捡っ㝣㉥ㅥ㈲㌹㌱戹昸搲㜴攰捣慥ㅢ扥㥣㔱挰㙤㐹㠱㥤昷慢慤戰て㜴ㅦ㤷㔳㤷㙦攰㤸て㜵㠷㐳换ㄵ挳㙦㐰㑥㜵㠷㡣ㄶ摦㍡㠳挷扡挳㈷昶愸戵捦愳摤晢挸慤㙣㠵搶㠶㈳摡㤶㍢㡡挵攸㜹㘶㐳捣ち捣㠸㐰扤挸㙣㤸搹〸㌲㙤昰㕦攰㤰㘴㐷㌶㘵㉢㐶戶戲㥡慤㔴戳㤵㕡戶㈲戲ㄵ㌳㕢㔹换㔶搶戳ㄵ㉢㕢㜹㈹㕢戹ち㤸㌸ㄵ㠶㠶戲㔱㝡㍦昸挷㘳㈳晦晥搶捣慦㕥扦敤㥤〳㙦㝤昴㠷㤱㝤〰㝡㉥㥡搴㥣㙦㕣〳愹㌵㘹昸㐴〹ㅣ戱ㅢ㥥㔸㍤㜶搲㍣㘵㥥㌱㡦ㅦ慦㥤㍡㘶㥣㌴㜲㕣㔶ち昲㕢〸㘵㍦㘰㐷捣攷㉤户收㕤㤳戸扢㝢挶〸㐴㜳攳愶愲戶ㄹ慦敥搶㠲扢戶㙦㉣㠷㐶㈸敥㙣㙦㙢づ搲搱慤っ戶ㄲ㠱㝣摦㤱昶㙥㔷っ扢㉥愶慦㕢慡昹㥥戶㘶㘷搹昷㔶扢户捥晢攲㙢㡤搶㡥ㄹ㑤㐳愰㙤捡戱㍢㔶愹㥡搴扣㈶㘷搷扤㐰戸㜲㝡㔳捥戲㔵扤㉡晣戲愰㌸ㄴ㌵戹搴㠳㙣㡡戸㝥㙡挹挵㐲挱慤戵晢㤳戵收搳搷㐳㌰戳愸㘱扥ㅢ挲て户㔶㡣㔵㕢ㅣ㙡〱㔱敦㐴挳攱㤶敡㜹慦㕡て㘶㍤㌷昴㍤扢戵㘵扡戶㘹㐰搲搴㉥㝡㌵㌱㌸㤸㤱㐲〱挲㜶㘰㐰搳㌲㥦敦捥ぢㄲㄱ〹ㄴ㤳㤱敦㘸㈵扢搲㈵慣づ慢戰〵㘹㌲晢攰づ㠳㜱扥㔲挶愴㜰㘰㘲㑤搴ㅤ㝣改㈳㍢っ摢挰摣㘷ぢ㥣捤㡥㐷慢㝦㝡㔳戸攱〵挳慤搹挲㑦搵㝣ㅡ㘷愴㡦㈱换摤㠰㐰攸扡㝢㔴㜳摡㜵㙤㉢㜷捤慡㠵敢昹㜵㘱慤慤㠷愸㠳㜶㉣ㄴ戸戵ㅤ㐹扦つ㔵晡〱㘶攳挸㡡挵㑣㝥㠲㐰昹㈲㔲㈶㐷改㤴挲换㉤㠲㥣晤㕡㜸㜹挴㥣户散㔰㈸愱㍣㘶〲㈳㑡慢㐹昴㡤㤲㐴㝤愳慡ㄴ挶㠴㌹ぢ㉡㌵㉣㌷摣㙡昲㙤〷㤷㈸㈲摡㤳〵㝤㈷ぢ㈸ち㕡攵㐱ち慦㠱㘸摡愴㐱㍡㜰㠲㠸挸〶㈹㥡ㅤ㈳户ㄲㄹ攱㔳㘴〴攰㤳㐴㐸攸㘳摤㘵〴㠹扤㤳㐸搹愹㉢㍦敥㐹戳敤散㜸㈵捤づ㘲攳昴㐳捣㙥㘷㜶〷戳挳挸戴扦㐲挲㔱捡愱摣㥡昴扢昰慣摦捤散ㅥ㘴㤰㑦㍡㘵㑥㈴慡㘸㐳敤挶㡥㈴摣㈸散㘴㘹ㄴ㉢㔱㐴换戸㘱㘷㡥㍡ㄲ搱㤱搵搹ㅦ扡㜶㔰敡搸㠷扢搳㘶㜲㌹愴挸ㄴ搰攴㕡㜷〰㑤㙥〴㐱㝢搴㕢昷愲慢㍥挹散㍥㘴㑡戱搰搸摤㥤㌵㑦㜳昲㤶㌰㠹㤴㈱搴愳㜲㡦㠸㤸收㝦㡡㠰敢㌸扡散搹捦㌴〵愷捣㕢摥㝥㍥摡㥤户㈳愴户改捣㍤㥤㐳㍦搱㑤㕡搰昷㠳扤戴扦㜴搵㉦て愲㔹㝦㠸搹挳挸摡昴ぢ㑦摥㌷敢㈵㤰㈶戱㤳挰摣〱㝡㕣愴㠵扢戲戵㈱愴昶ㄹ㌱㔷っ㝦㑤㠴昰㕥㉣捣挱づ昶㝣㕦搸㌸搰搶㘴〵捦㉥户户㔶〶昳扥攷戰㝥捦㍥づ㙥〹挵㌰㌸㤸ㅤ挸戴搹挷㈹㜶㘶挲摦㤴愰ㅣ敡摦㤳摤㠵㐴愲㔳㉢㜹戱㕦晡搹㜲㑦㤲昴㈰㐹ㅥ挱戶敡㡦㈲㠳㤴搰晥摣㔵愲㑣ㄱ散愸〴㙢戵㔶改摤㑢㌹㤹戴昹て㍢攴挸戰㜲搶捥挰㜷㄰㡣㍡㘵换㘹〸㡢㘱㘷㔹昸㔵昸ㄵ㉣㕢ㄴ㤵㑢㤶愲㘶㑦㔶摣㈲戲㘲㘰愰攳㉣㥤攲㕢㤳㜴搲㈶㈵㔲戹㍤戵㌱攵ㅣ摥㈴㉡扡㈰㈹㔴㔲摣㐲つ〹㐴捡㈳散㥥㠸改㐱挴㤴戰㜱晡㘳捣㡥㌱㍢㡥㉣昷㐷㐸㥡摤㙥㍣挳㘰㐳㥢㜴㘷㔷㉡㤹〲搱㈰摤㠳ㅦ㜴ㄵ㔶㡦昳㌵愷㤸㥤㐶搶㘶晥搰昹㤸㐲㠸ㄲ攵〹㐲愴戵愴㥢㔷㉣㜱㡤㌴戰捦㐴㔰㘹戶ㅥ㠴㥥挳愸搲愸㌹攷㍤敢㠵㜳㔶戰㠱㈸搴戸ㄹㄵ㥥㕦ㄷ㉥愸换㠷敤搳㔶攷㙤㙣㠸㥡㙥㤶扤㍡㐴摢挲㕣㍦ㅣ捡戱㍥搸㤲昲㕣㥥搵㤰㝡㍢ㅢ㘳〸㑤㥥㠸攱㙢愵㈷㜶㔷㥥㙦ㅥ晡挶㥡㍢扡㘲㠵戶ㄸ㌶ㄵ搳戱㕣㌰戱㡢㠸ㅡ搴㠶捣㤵㜵㕦㠸戹㔱昳扣㙦搵㙣换ㄵ㐴〶㙣㑣〶敡ㄶ挵ㅡ㈲〴换ㅥ攳㝦㥥㍢㙡慥昸㠶ㅢ㙣ㄸっ㈶㙥ㅤ㘸㜹㤲㈱㤱㥣㌹㘳戹〱㕥㈳戱挸昲㤸㔹㕥昷慥㈱㔲㕢㜷摣昳挶㐶搰ㄷ㔸㈱搱慢㈴㔱愳㘵戵㙣㔶㉢㘴ぢ扤攲㠷〷昲㑣收〴㝥〷㤹㐹㕣㘵㜲昴㤷愷㘸㙦摡昵㔱㝣㠶㜶㍡攷㌴㠲挸㔱愳㜲㈰㔵ち㤳㔳昵㈷搸攷㐹㘴ㄷ捥㕦㕥㘸㐶攵㍥㐱慣㍡㐷晦㝥㡡㠴㤷㐴搱〸㠱搰㍢户㑦ㄱち敢㐸㌷攰㍦攰㥢㑦敤挴㔷㌴㈵っ㘹㙦㕦戳㌸㡦ㄸ搲㠸戹㘸慣ちㅢ㤱㘸挷〸昷愹〷ㅡ戱㡥㘱〷㔱摢慣攷㌸〶〹㡢㐴㔹慥ㅡ愴摦改㝡攸㕤戴㕣摤㐴㈶愹㉦慡㌲慥愳捡戸㉥慢㐶捣㑢っち捡㌲挷昲搶っ摦ち搷ㅤ慢㕡攰〳〳㜷㝤㐱㤱㘰㜱捡摤㌸挵ㄲ㘳戲捤㤶扦っ㠳㉤㈸〱搹㈵㐸㔱㙥ㅤ㤱て扡捤㙡㜹晣㘸㍤扡㤵㈰㕥愴㡦㔴㝦ち愳攵攴㥤〸〸ㅣ㤹㙥挴㌷㉦㙥扣㡡ㅡ攵㤵㈳搶㔳㐸〴晥挰㠴㠸愷㜳㍢㙦㕥㜶慤㄰搸㈳挶收慤㜰㉥〰捡㤱愱㈸て户㜷㑡慣㈶㍡㑤㌵㜴挲扤㥤㑤㉤㑡攲㐸㘷㝢㔲㙢㍣戸㑤戳搲㈷〹㌵戲ㄳ㤰搴㉢摢捣戱㥦ㄴ㡤㈶搵㜶慣㙢戴㌴愷㘹㜳摦㈹㐳㍥㠱㕡㤲㌴㤳搱捦㑡㐲㐱㠸㤷搴〱つ㐵㙦㝤㍡㜹㈴㘲㌵戴〰㡡搴㔲慡㙥㌴ち〶㉥攰挲㐹㑤ㄴ愳㈷昰昷扥愸戸㔴て㕢㕡㡣敢攳㔱换戴㙤㉦戹戰ㄱ慡㠶㕦敢ㄳ㤶挶摡㤴㝥㤱摣搹慢敥㔷摢㥢㘰挴㠸つㄹ㄰㐹昱〲㠳つ挱㕣㠹㔸㉡㙤戳㔱㙥㜵愳扡挰愷㡢挲㜰㈵〶捡㘱㙤㑥㙣㑡㈳慣㘹挷㡦换づ㡤戳愲㤴愳扡㌹扤ㅡ㐰愱㠷㤴攳㔱㐹㌲戸㙥㕥愲㔳ち搷ㄷ㈰㜶愳搲㜲㌵㐴㔰户㌱〰捦〵晤㠳ㅤ散㠸ち㥡搰㌶愳〴捤愷㄰㙥敢㈲挸㍢㍤㘲ㄴ㠲搴㤴改㥦攷戴㌷㝦挸昴戳㜳㤹戸㄰㌱ㄱ〳㕤㈹戶〳㤰㥢㡣㐹㤲㡢挶攳㔰戹㤲㙣㔲㘸㡤挴㜵㌴㌰㐶㘹昰昹㈱敥敦㌰㡡㌵㐶戶戱㜱扢㉤戴愰㑤敤慤㝤收㠲㕢戵敢㌵㈱㔵㜱㉣慢愵㐶敥ぢ㝣挹㡢㝦㡡㥢㔲昶㈵摡㤴〵ㅣ愴戸㘴㈲愹㜷慢㕢晦〲扡㑢㈱㠷㌱㤴㙣㘳攸㌱挵㈹㈷㐳㘱ㅤ㌷ㄴ㘸ㅤㅥ㘸㕥㕤㤰搷收㈰搲㍡慡㈸换ㄶ㜱ㄳ慦ㄱ㍦㤶摣㤶〰㕢昴ㄶ㍤㕡散㠹慡ぢ㤶慡敡ぢㅣ㘱㥤㑡攰攵昳㌰㐶㝡攴づづ㤲戹ㄱ挵㜵㙦扣㉡ㅦ㌳㌷捥㐵挶㠷挶攸㉥捦㐰ㄹ散㉡ㄸ㠹收㜶戶㘹㜳㙢㡣晢搲敥搶扦㠸㑣㘳〰㤸〶㉤㈰㤵㠱㌳㠳昲捥〶づ㐳㤱㈹戱搱㘴ㄸ㤵ㄱ捡㜱戸敢㠱㌴㜰ㄳ㡦搱㉢ㅥ㤴㔰㌸㈱慦㠴挵户ㄲ愷ㅣㅣ㠰㍣晦㔰㕢攵戲ㄱ攲攲㡢㝢戸慤㝡扡㔶愳戹ぢ敦㕣㕦㘰ㄵ㤷㌶㤴㌹㍡搱㜶ㅤ㑢慥㠹昶摤〳㙤つ搱㌵挱ㄳ㜳愵ぢ㐶㔸㕤㉦㠷㕢敡捡㔶慦㈴㤱晢㍤扣ㄱ摢扥㥤㌶昳愰换㉢愸㥢摣晢攲㔵搷扢收捡㜹攵〲摥昷愳ㄵ慢てつ㜱㤲挵捣挷昸㤱㈹㥢挹晤づ㈳敥㘶摡ㅣ愰改ㅥ攱㌸㌲㈹㘹㌰㠹㜲ち㥤挰㜶㙦摣ㄷ㈰㥤㑣戴搱㠹ㄴ〴㝢㠴攲慥㝤㙡㠴愲晤ㄶ㘸㈵戱愸〳㌹昶晣㙤戰扥昶ㅢ搴㄰攱㜸㡥挴㐸敥㍥㤴㔲㔰㈷〵㜹㜴戹㠳㔷㐱晥㝦戰ㄴ㜳昳戶散昴㕦㘰㘶敤扤㜶ㄴㅤ㈱㡡㝥摤㠹㈲㠶㘱㙦㉡攰捤搹敦ㅤ㌵㍦昳㑢扤晦挳愳收㤷㠰㘱㈶㘹㡤㈱愴挶㔰㝣挳ㄸ挸㜶ㄸ〳て愱㔹ㅡ〳捦戰て愳昵捡ㄸ㠸扣ㅤㄷ㔱戱戳㌱挰ㄸ㕥㡡挹㤷〸愹㈶ㅣㄸ㍣㙢ㅤ㜲攸〹扢㠰换戵㈲㐰摣ㅥ敡㈹㤸㠵敦改昶捥敡㘵挳㌷㥣挳戲晥扣㉦愰戶晣ㄵ摣搶㤶㕤搸攳捥㙤㕢㘴愷㙤扣ㄲ戱㌷㝤捦㜳戲扢㍢敡挰㤴㑡捡㑤慦ㄵ戴晣㈷昰㠹㘸㍣㈱㘴㕥㤹昸昹昹㡦㕥㝥攳ㅣ㙦愵㐵戴㥡㘳ㄸ戸㤷搰㍣㉤〷〴㙦ㄳㄷ㐲づ昲攳㥢㡢昸〸挹摡戰挵㡣攱㑢㝢㈷搰㥤戸愸〸㉦㐱㤸㡡昸晡挱㤸挴晤〶㘵㑣㤶摡ㅣ㥢昲攳㈵改っ㉣㈵㈶㉥扤㜷㜱㜸㔰敢慡戲㝡戴㉢㜳扦㠰搲戹挹㠹戴摡㠳㍣㕦㌲㘹摡扢敤㕡敤ㄴ戵㥡㌴ㄳ戵㈹㐰挴㔲ち㜱〶㔲㐸昲挸挲挰扦㤴㔲换㈸攴㑡挸㔲㈲㘸敤愱㕣㥥晣昷㠴㠰㘸㕣敥敢昱㐳ㄵ散㈲戰ㄸ㝢摤㝢㍤扢搲敡㡣㔵ㄳ㐳戲昲昴昱ㅣち昲㤸挲ち挶㘸㘵敤㈵ㄴ攲㤴㍢㡥搲慥ㅤ㑦㝣挹愸愳〲㙣㡡戱㜳づ扤㙡㐵攷㘹户㡥ㅢㅥ搰㌳㜹愹㌰摣〳慣挶搱㔳挶攲ㄴ㘸㔱㔵㌱ㅦ㔳挵㐶愷攱愸〹㍡换㍤㡣昳㈷㠲㝣晣ㅡ㠸敤㔳捤愱て戶户㔰挷戹㐳㔸㈰㝦㘱㝦ㅤ㐹㘱㙣扣㤵ㅣ〳〹扢㉢愸㠲扡〲㕥㐶ㄷ㘹捦㙢㝡戳挸㜷㘹ㅡ㘳搱㌱㘷つ㜴敡㝦㐶愹㈵㘷慤㄰㥡攱敡ㄶ晤㝦〵ㄵ㍢敡㝦㡤㌱㌶㠹戲攷愳〲ㅦ㜲㡣㤴散ㄸ㥣攱㡥挰㠷㡤㌰㡤㍣〲敢戲挸搰戶㉡㤵昱㜱慡㙡㤶ㄲㅣㅥ慥挱昶㉢㄰㡤扥戴㙤㠷扢ち㐰㐶㠱㜲敦㐰〴㜵敤捦㐹㜷㥥㘳昳㕦㐶昵挴㐵慢敡㝢㠱㘷㠶㤳㘵〴㜷㈷昹㝤㤹〹㥢㘷㕡㝢扢㕤愸㍤㠰㥤ㄸ㜹〱㝤ㄶ㤷㈰戰㥦ㄵ攱愷ㄳ㜳㘴〴㘱㜷ㄱぢ㝥㘹戴㍦ㄱ㐶愲㙥〸㙥㌳㥦慢ㅢ㌶㍥㑥㕤㠲㑦㌳㘴㔵㕦愸㍡攵㔹㙥扦㠷挱㡤挳㑤慣㘷攰昷ㄱ㜶〹㐱㌰戹㠴ㄷ㕥攴慥戶敦㐱㉢㙣戴戶㠰㤰扤昹搶㡡戹㥦〲愳扢㝢㑢㉢挱昰㥤晣收㔸昹㍤攸ㄷ摤扤ㄳ㤶㈳㡤㠳挲愳㑦戵改散㥡戲攱㈲摢㐵㝣晢㐵㜴搵扥挸っ扦晡㔷愲〲ㅦ㌴㝡昲㥥㘲攱㉤㉣㠹愴㡦㜲㈶晦㔵㘴摤改昹㈷〰㙢昱づ㤰㥥㌵ㅥ㉡㐸㠱㐵敤挷㘸攷づ㌵㔶慡挹㠳〳摡昴㉡戲㌸㘹㍣㌸挸㜷晦〸挰㡤㜷ぢ搴㜶㝦昷㥢摢扥㥢㉡㕦慥㉤㌹晥晥㔸㘵攸敢㘸搶㉤㘶㉦㌱扢㡡㙣㝦慣㌹挶㈸っ㈹㘱昲㉡㜴昰摥㌹㤴㤱晥ㄴ晤晤昰摣〷敦㌳晤晤㥣㈶挵ㅦ㥡㕡㔷㐱昱㈷㔷昱㠳攴㉡㕣搴㜶㕦挵昷户㕢挵㝥㑡㐶捥㐴摦㐰㌶㍡愰㐹戴昱戹㘵㔵㐴㥦㠴昲㈵搴晥戸㌱挷㔵愶㝣㤳㈳㑤ㅥ摥㘱愴㈳㈶慦㍣愹㜹愵攸ち㑥攴㐲敤ぢ㠶㡦㥣摦㕤愵㜴扥挷昰扣昶扤㜸搷㉦㕣㠸㍦㜸捡㐶〱㈳㘰㕤ㄹ㤹愴ㄲ㙥愴昶摤ㄸ昸摤㕦㌶晤㥤㘸㐰〲㘹㈸㘰㔲㤳〴晥㑥っ㝣〲ㅦ㔳㐹㤸っ挳晦㑣ㅦ挶挰愴㍡〹晣敤ㄸ昸㙦㈷づ㌷㠰㘳㈲㡢㐴〳㈹㈰挵㝣㤵〶㝤攲挳㙡㥥㤳㜳㈶㔵攲戰愹慡㈹づ㘵摣搷㤶㑡㜱〴㌷㌹㝣㝣摡扣㠸㙢㐹戸扦〱挹愹晥㠷㠳〵㕣㔷㥡㌳㐲〳㕦㉥㙦㈲㔲散敢昲㠹㥤昳收㤲㡦㡡㈱㜳㈱挰㌱愹搶㔷㈴〲つ㍦愸昶㜷〷㡦㝡㡡㌵搸摣㡦㌸挲㤵攵〵㤰摥㌴㠲㡣㡡っ㙡摦㡣㌱㥢㜹慤㐹㌳晡ㄶ㤰〳㈷ぢ㜲ㄶ㡡㉡㠲㌲挱〷㡤㉣㑣㔴攷㕦㐱㌶ㄶ晦ㄷㄲ㤳㥢搲换㤱搵摥㠸挷㑢㔲㡡晥㜵㜶昸〶戲〱戸㔷戵㠸捥㕡挶捤昱㤵扢㕥㍢㘷搶愳㘲㜹つ㕤㌵捥㠷㉦搴㕦攷搳㙢捣昸ㄴ换㈵㤴㌳㥡㙣㙡慦ㅤ晥て㐳愸捥㝦</t>
  </si>
  <si>
    <t>㜸〱捤㔹㑢㙣ㅢ挷ㄹ收㤰摣ㄵ㤷㝡㌱戶搳收搹㌰㙤㠲㈶㤱挳㑡戶㘵㈷づっ㕢㈲㈵㔹㡤㙣㈹愲㙣户㐵㔳㜶挵㥤戵㌶摥攵㉡扢㑢㍤㔲愴㜶㜲㉡ちㄴ㘹ㅥ㤷ㄶ㐸搳㜳㠱愲挸戵攸〳㐵て㐵㝡㈹㔰㈴㠷㥥㔲㈰㠷愲㐵づ捥㉤㠷〲敥昷捤㤲ㄲ戹愲㘴搹㜱〱㡦捤㝦㘷攷昱敦捣晦晣㘶㤴ㄲ愹㔴敡〶ち㥦㉣㔹㔶ㅥ慡㙥㠶㤱昴㑡㘵摦㜵㘵㍤㜲晣㐶㔸㥡〸〲㜳㜳捥〹愳っ〶攸㌵〷晤愱㔶ぢ㥤㔷㘴慥戶㈶㠳㄰㠳戴㔴㉡㤷㌳搲攸㙦晦ち敤㡡挱㔹㐶ㄶ㘴〰愳㔲㡢攵挹昹攵㤷挰扡ㅡ昹㠱㍣㕣扣ㄸ㌳㌸㜵愲㜴戴昴散昱搱搲攸攱㘲戹改㐶捤㐰㥥㙡挸㘶ㄴ㤸敥攱攲㐲㜳搹㜵敡捦换捤㈵晦㡡㙣㥣戲攵昲昸昸㠹攳昶㤱㘷㡦㥦ㄸ㍢昲捣戱〱ㅤ㝣攷捡㤳ぢ㠱戴挳㍢挳戱㡦ㅣ攷换㤳愵昳㌲扡㌳ㅣ㜳攰㜸慥㍣㔹昱㍤搳㘹摣ㄱ㤶ㅡ〵㍢㕥㤱㜵㠷ㅡ㤰㌲㜰ㅡ㤷㑢㔸㜲㤷㠰昱㜶愲㌴ㄱ㠶㑤㙦㤵捡㉣㑢搷㕤㤴㌶ㄷ㘳㜸㤵㌰㕡㌰〳㉦ㅣ昰㈸㌹ㄹ挸㐶㕤㠶㐳摥搴㐶㕤扡慤㠱㘱捥扢㘸〶攷㑤㑦㘶㔹ㄹ昶㘲摤捤㕡戲ㄱ㌹搱收愰㜷㈱㤴㡢㘶攳戲攴㄰捤㥢㘹㍡㤶挸㘶昱㍦㤵昹㝡慦㤵㈹ㄵ㘱㍤㕥㜹挵っ㈲昵㐶攵㡤昵ㅡ摢㘱㈶㙡ㄷ㕤敢愲㈹ㄵㄳ戳愸慦慡攳㍤㉦㠳㠶㜴昹ㄱ㙡㜱㈴㌱㐸〹㈸搶挲㤶愴摡摢愱㔸㐴㝦换〳戸ㄷ㝥㐵㌷㐰敥㍢敦〷㥥改㥥㍣㈷捤挶愹㘳㈷慢㤱㔵㤱㙢愷㐶てㅦ㌳昲攸㌵晡㌹㙥〰攴ㅥ㙣愹敥昸㐵㑢ㄶ㈱愱挰戴㑣㘳㤰〳㠶㐰㐴昶㌳㜸㕢㈷㝢㑥㑢搷捣㜴㙤㌹㕤慢愷㙢㔶扡㈶搳㌵㍢㕤扢㥣慥慤愴㙢㑥扡昶㔲扡㜶〵㘳摡㈵搷搷㤷㙥㤵挲㙦㝦昰攱昷ㄷ㝥㌸昱搳㜰敥㠳晦扥昹摣晢㠲づ愶晣戳㠰捡晤㥤换ㅤㅢ㙦慦㜷散昰戸㜱て扡㡤〳㈰晡㐱㤰〳摢敢慤㥢换收㥦摦㌷㐳攳㄰㐷摣ぢ㈲挴㝦戰㘰㉥晡㤳摦扦晡户㤳㝦㌹㝡晥㜷㥦㕦晢搳㝢捦㝣昴摡挰㤷搱晤㐲㑢㔰㤵挰㕣㠷改㙤摢昴㤱ㄲ摣㜸㍦㡥扣㍣㝡搴ㅥ户㑦搸㘳㘳搶昸愸㜹搴搴㈸捣晤摡つ昷㌹㘰㕦㜲ㅡ㤶扦慥っ改愱㐹㌳㤴摢㜶㌵搲敡㥢昴㥢つ㉢㝣戰㜷㘷㌵㌲㈳昹㐰戲㙦㥢挹㡥㘹㔵戸㤹っ搵昷扥㤲㥣㜶搱㜴㥢㜲㘲挳㠹扢ㅦ㑥㜴挳挹晣攵摤㝢愷〳昹昲㔶敦㡥ㄵ㑤㈰ㄴ慦㈹摥㍢㜶ㄹ㜷挵敢㉡㤶㔷晣㔰㌶搴昲㐶扣〵愷㝥㐵〶㔵挹㐰㉥㉤戵搵㝢搹搵昲昴㤱昹〶㌶ち摦戵扥摡搹㙡㑦㙤㐴戲㘱㐹ぢ敢㕤㤵㐱戴戹㘴㉥扢昲㑢㕤㐳攲㙦愲攳晥慥收㘹扦摥っ换㍥っ摦㜷扢㝢㈶慣㌵ㄳ搱挵㍡攷㕢ㄲ挱㈱换㤲ㄲ愹㑣㐶㠸搴㔳扤㍣㤴㝣挳㤲㔲㐴㠷㡡ㄹ㉢敥敢㌶扢搲㈲㜶㠷㕤戸㤲㌶㤹㝥散㈶捣ㄴ㕦戲㜹㜲昷㠱ㅤ㝢㘲搶攳攸㈷㜶ㅦ慤搶戸愵戹晦敦攰㜴晡㘰㙢昷㔳㙢㠸㉦㘷捤㠶攵捡㘰捦㥣㉤戸㈲攳㍥㄰敤㕦昰攴㕤愵挷昸㈱㌶挴愶戶敥㔸搱㡡扥㈲㥤换㉢ㄱ摡㤰搷㜳㌹㡡㜶㐷㌱ㅥ㐰㤳昱㈰挹㐳㈰昹㝣㑡㝦㤸㠳昴㍣㑡㑡㘳㜰扢昵戸㑥搴㘰愸㍣㠲㜴ㅦ㙡摥戴ㅦ㠴㤹㑣慦ㅤ㥥㌵挳㤵㠸愶戹㘷㈷㈳戸昱ㄵ㤲㐷㐰㌴〶攳㥢愶㡤㘱っ捡㌲㍢づ㝡ㄵ㘹㥢㐰㈳捡戳㠵愹㜹㜱㥡慢挸戰㙥㌰ㅦ捥挲㑦㌶㜴搴攰昸〳ㅥ㉤㕦㙥㐴ㄵ㌳㌲晢㍣㘴㔶㘸挸挰愰ㄱ㌵㉢慥㜱收愰㙡㙢捦捥户摥挰愱愰慡ㅤ㕣晡㔵㐳捣〹㑥〳㕦㐹㘵㕡㜴敦㑤㘰敤捣㝤㝡搲挸扢㌳㈴ㄲ户㌵㈳ㅢ㑢㥢慢㌲攴昰㥣扥愷㈸㤳慥㐵㘶昳昵攵ぢ㤱攳㠶㈵慣㜴㈶昰㥢慢㜷㤲て㜹ㄹ㐵㤰㜶搱㍥㠶〵敦㝦㑦挴戳㝤㙢搴㑤慤㤶捡㤱ㅢ㕢っ收㘹㠳㤶ち㘶㌷昰㔰挵㜸っ㡦晣㕥㝤ㅡ㜳昸慤愰〹㥡摥㠰〷〹㉤〵㔲攱愳㥣㝡㠱戴〷扤㑢㝥㜰㘵搹昷慦搰㥥㠶搴㕢戸㈲㘵㐴捣搱摦挲㔸ち㑢〹㤱挹㜴㈱㠶づ㜰㐲戴愲㍦〱㌲㌸攱扡挵㌶挷㔰㝦ㄲ㑤ㄹ愰ㅦ晤㈹㔴㥥㥥㙤戴㈰㍡㌰㠹㕢㕣㌵㠳㤷㥢戲㌸㍤扦㌸㔵㕤㥡㤸㉢㝡扥攵搸㑥摤戴晣搲㠶ㅢ㙥㠸㡦㈰ㄲ㈶晣㝦晦昵搳㔷㑢㥦㔴愷摥㜱ㅢ㤷㝥㝤㝤攱㔱昱㘱慢㘳〷敥㈰㥥㔰ㄸ攸㘹㔴挴摦㌱㡣㘱〶昵敥㘲㝣〳敦挶㈸挹ㄸ〸〲㠴㔲㠱㥥㌷㡥挶慦㠲㤸㠴㌱挳㌸㐶㌲づ㈲㠸㐴ㄴ㝣㍡㡥㑡扢㠸て挰晦㘳晣㤴㌲〹㘲㜶㉡昳㈴㕡昳挶ㅥ㝤㠲昸㠶ち㌵㈸㐰㠳㈲㌳㈸㉥昱㐷㌰敥㈹㠰㍦戴㍡㤲㔰㐸㘳㘸扤㠵ㄴ愶戶㘸㕦㜴攴㍡晤㙥挸〶㠰㉥㌷挳挸㔷㐱㘲搰慥昸攷晤愸攲㠴慢慥戹㜹搰㙥㔵㉥慤挸〶搲㜷㠰㉣㥥㘸昳㔷㔷愵㘵搸㔵扦ㄹ搴攵㙣攵㙥㐸敦㄰〷攴愸㌲㝢㕡愰摣㕥挶〲昸ㄴ戰ㄲ㤵㐹㤸㘷㤲挱㐷挱昸づ㤰愰慡㠴㠴挳摢ㄲ㕤㜲㈲㔷昶摢㉡㐱慢㝡捥㠶ㄴ㠱㠹慣㍥㝢㘹〵㑥㔹ㄹ戴㘷〲挷㜲㥤㠶愴㌲づ挵㐳攷攴㘵攰㥦〵㍦㜴㜸㘲ㅡ戴㤷〲戳ㄱ挲㜱㜰㍣摡㍣搰昵愶攲扥㘶㑦㍡㡤㄰㥦㔱㕡㘴㝤搸慥慥昸敢㌸㐱㌷扤挶㡣戹ㅡ摥ㄵ㕡愱户挴㐵愹㐶愴㐵㍡㉤㜲改摣敤敡㐷㉦㠳摢挱昸㥣㔱㠴㥤㐶㠱戳摣愴挰搴㐷㡥㠰㘶㐹㤴づ㔳ㅡ㔱㐲㌲㜰㜷愸㌰㠱戸戸搶慥㐳㘹㑦〰戰㜵㉤愱㄰㑥㠵㜳愶㐰捥捥㕣㤸摤㍥㡢㝣㠱㙢〵㡤愸㘶摦挰㑦〵㤴搸㠰〸〶㘹㑦昰㑢搸〱摦㤲㐶㤹户搵ㄸ摡攷搰㜶㜵ㅡ昸㘱挰㥥㌳㤷愵ぢ搸攳㤹搱㔰晣㐲散㠹挳㘷搸敡㉢晢㥥㘷搲攰㜸㠴慥搶㑤㔷收散㠹㘶攴㥦㜳ㅡ㠶つ愲慣戲搵㘴㙥愰挹摣㠸〱㡡扤挸愳㤰慡㤳㤷㝦搹っ㥣㘸挵㜳敡㌹扥昰戸㜲㔷㔸㉡愲〷挱㘸扢戴㈳㐹ㄲ昱挴戸〳捡㉥攱㠰㐰搱㔱昹戰攷戴搰昱㑦摣㈶㔲㐶摣㔱改挴㤸〱㌷㡤㘸㤴㠱㐸㤵敢敤㥢戲敢㔷搱愲㐲㔳㤶挸㜲㑦搰㐴搴㤱㥦昳㑤㙢摡慣攳挲慢慦㜵摤㤵㠳ㄲㄹ㔲㠲〲㘱㙣ㄹ愷㈲㥣戶搶ㅣ㑢〶㌹㌶㔴㜱户㤶㈵〰搶㘳㙤㈱愱㘷㔲㥡搶㥦敢昵慤搹㌶慦挷㕡攰愰昳敥㙥㜶〷晦㑦㕦㜸收㌴昷㤳捦慢㔴㜴ㄶ㔵㘳ㄶ㐴㄰㈰㜳㍦㠹〱摦攴㠰攷㐱戴㈲㐸㔲ぢ摤㠸ㄲ戸㤳户㈵㔹㜵㘱㐴慣㥢〳㉥㔴㈰㔹㔳ㅢ改敦〰户㝡㡣㙢㜳敤㕢㈸扤ち㝢㤶㔶㍥㡥愳〴搱ㄴ㝣㍡㥤㠵㔲昵攴愵挰㡥捦㠲㤹㔷㤵ち昵ち捡㕣㥦〳戹㥦㙥〱晥㌵挴㤷挴慤㑣ㄲ晦攵昳挶㜹捣㐸攵〵㠱㘰㕢っ戴挳㤶㥣收㔱㌵ㄶ㐰〴㠱づ㤳㝥㐷㡡ㄲ㐴㌷㑣㔳㈹晤〵㤰晤㠶㐵㐱㍣愴づ㔰㡢愸〸〲㈳挶㥣㉤ㅢ㕣㐲晤愶㌶㈸〸愰㘸愲挶㠵㔶㠵㉦㠲㈸慡扤つ㔴摢摢戸㠸慡㜱〹㐴㄰㘱昵ㄸ昰㉤づ昸㌶〷㄰㜴ㄵ昱搳扦〳昲挰㑥㔱㙥㕤ㄸ昵㤰攵㜷㌱〵戲㈴づ㙢㝦愳㐳㤶㉦愲搹昸ㅥ㠸愸㤰昰慤搶慡昰ち㑢愳敦㈵つ㙤㠷扢㉢㝥㌶ㅤ扦ㅡ㙤扡〸戶慣搲昰攲ㅡ㕤㈸慦摡攰づ㝥㠰换敤㙣昲散扢㌵㤷挷摢晥㐳㠹㝢〵㌵㡤㍤㡣㉢摡㉦〱晦㜶㥤捦ㅤ㙣ㅦ㌴摡㠷㘵摤㐴昳愱㜳㑥㍤昰㐳摦㡥㡡㔵挰㠸㈲敦㘹散㔴㙡㜴㐲晢〵㌸昶晣㈶㌷㤶㙤昰㍥㜵㡤㘷㤷晣㤵㠶扦摥㔰慢搱㐲㕥㔷㈹㜹昵昵昱㌳〴摥慡㝣つ㔲㉣搰㤵㔹ち㜴㘷㤶〲㝤㤷愵㐰晦㘵搱㘸攴晢㜵㈶㉥㐴㉣㡢扡戰㠴捣昶昵㠹挷ㄳ㤷㈰㍢㥣㜰敢㈴愹敢昴㐱敤㕤㙣㜱㝦㤳扡㈵挸挹㌴〴挳㈲㤱㈰昹〲晤㑦摤㙦㐲㝡愹㝢捡㤳戵敥㥢㘸晤㌲㥡〷搰慣攲っ慥戸㐳㝤〵㉤㐳㘸改〰ㄷ〵㍡戰攲散愰愲慥㙤搵〵慥㔰晥挷㈶ㄷ㠴㡢攱㈰㐱晦愳㉤㡡户戱ㄱ㕡〰敡㈹㠳㙡愵〶挵㥢㘸愱ㄶ扢戵㐰㉦愴攴㡣㔵㤰挱㑣㠱ㅥ挷㔲戸ㄴ㍦㔳〵扡ㄸ㑢㠱㙥挶㈲攸㉥搴㡣㜸〳散㈸㌵戵挶〰㉤㐶〸㤲㉦搰㘳㔴ㅢ㜷㙦㜰慦〶户㔷愰ㄳ愹昶㜵㌶ㅤ㈰攱㠱慣㐰㜷㔲㡢㜸〵㤵挱捣㌰〵愹攱㐷愸搴㔱慥㥦㙥扤㥣㠹㥦戹搶戳㜰㘶㤸㔲㔷㌳㕥ㄴ㡦扥㌵愱晤昳敡㝢㥦晤敡戹挷摦晤捤㡤搶昳㙡㍣愳㜰收攷㍦㘳昹挷㘹㐱㤱づ攱㤷㍣㔲扤㡥晤昴㍣㔲扤搶敡㐸㥥㈹ぢ㔴㠲㕡晤㌵㔴〶㌳ㅡ㈵昹㕣挲昸㝡愳挷㤱攴攵攵ㄴ㉥㈳㌷㤹挶㌳㐸愷㜱ㄲ捡愶㑦摥ㅥ㉦㥡㌷〵挸㥦㜶ㄵ㡢晦〲㝣扡つ㥥ㅣㅦ挱捦㜸ㅤ㘴㤸㝡扦㌵㘵搱㐸昶愱慣搲ㄹ㡣㐳昹晣戴愰扤昴㔲搶㉢扢㈹㙢戳搵戱攳晣㑢ぢ扢搹昹户攳搶㝣ㄸ挳㌵㥢㜱扡摦㡥㥢㈹㔶㐴㙡挷㜵㔵㤰ㅢ〰㘰つ㜰㙦㍤㠷㔳ㄹ㘰㉡晥愰搳昲㜴㥣搶㠸ち摡㐰挹㔰㙦㑡㈷昶㝣〰攴搴㘷捦㠶㌸㑤㕢㌹摣扤㐵ㄱ晥〸㜴㌷愰㔹愴㥤㉣捤て〶挸扢敥㜴捦㠸捦㔰扥挷㐱㘳㕢ㅥ敤敢攸㌴㜱敥敤ㅤ慣昵ㅦ攱㘳㙤㠰㘲㜵㥣摢戲㘲ㅤ㉡㡥攳搹戵搴つ㉥ㄹ昰㉢㘵晣ㄸて㜵㐱愲攲㈲〸愰ㄲ㌳扥㈲㈹㜱つ㔵㥡㠰晥ㄳ㤰摥㝣㠳㥥㝣摦挰昸摤昹㙡昴㠴愴戰㤸搳愷㈹捤挴㈵㜵㝦㍦㈵搸㉥ㅡ㔷扣㙦㜱搲ㄱて挲昰㕡㝦敤收㈹㘸挴攵摦扡㝢㐱敤敥㈳攷㕢㤸㉡戸つ㈵愲户昹愶㥡㔰㌱摥〱㘹ㄷ愱扡昰搶搵㕡㘸て改晦ㅦ㙦挶つ愵</t>
  </si>
  <si>
    <t>0da78c2c-5d73-418b-adf2-08e79b885805</t>
  </si>
  <si>
    <t>㜸〱敤㕣摦㙦ㅣ㐷ㅤ扦㍤晢捥户㘷㍢㑥㘳㈷㙤晡㈳㜵㝦搲攲攸㥡ㅦ㑤搲慡ち愹㝦搴㠹愹㔳扢㌹㈷ㄵ慡捡戱扥㥢戵户搹ㅦ㘶㜷捦㠹㕢㤵ㄶ愹て〸捡〳攲㠹ち㠱㤰㔰〵㐲〲㤵〷㐴ぢ晣〷ㄴ昱挴ㅢ㔲㜹攱〵ち㤱㤰㜸㉤㥦捦捣敥摤摥㥤㙦敤㕣㕢戸㈰㡦攳昱散捣㜷㘶㘷收晢㜳扥摦搹㘴戴㑣㈶昳㌱ㄲ晦㌲つ戲㜰㜷㜹㉢〸㠵㔳㥡昵㙣㕢㔴㐳换㜳㠳搲戴敦ㅢ㕢㡢㔶㄰づ〰㈰㕦戱搰ㅥ攴㉡㠱昵㡡㈸㔴㌶㠵ㅦ〰㈸㤷挹ㄴち㝡ㄶ敤ㅣ㠴扦晢攳〷㥤扤㐶〶㤱㕤㥡㥤㔹㕡㝤ㄹ愳㤶㐳捦ㄷ㐷㈷慦愸扥㘷捦㤴㑥㤶㥥㍣㝤慣㜴散攸攴㙣摤づ敢扥㌸敢㡡㝡攸ㅢ昶搱挹攵晡慡㙤㔵㥦ㄵ㕢㉢摥㔵攱㥥㌵挵敡愹㔳㘷㑥㥢㈷㥥㍣㝤收昸㠹㈷ㅥㅦ挱㡢㌳㡢戳㌳换扥㌰㠳㑦㘵挴ㅣ愷晢昸㥣愸㕡㕣㤷㄰扥攵慥㤵㘶㘷昰㉦㌱㜷㍣㥤㈹㤵搷㠵〸昹㘲攱ぢ户㉡〲ㅤㅤ㠷㥤改㈰愸㍢ㅢ摣㌸摤㤹挷㌲慢㐶㄰收㥣㔹㘱摢扡ㄳ㡦㕡㜰㤶戰㙦戶戱㌵攲㤴㠵ㅢ㔸愱戵㘹㠵㕢㜹㘷〵〳搵㐶㥤换㠱戸㘴戸㙢攲㌹挳ㄱ㌹攷㝣摤慡つ慡㤴ㄹ昸㕣㍣㐴㜲㘲㜲昱愵改挰㤹㕤㌷㝣㌹愳㠰摢㤲〲㍢敦㔷㕢㘱ㅦ攸㍥㉥愷㉥摦挰㌱ㅦ敡づ㠷㤶㉢㠶摦㠰㥣敡づㄹ㉤扥㜵〶㡦㜵㠷㑦散㔱㙢㥦㐷扢昷㤱㕢搹ち慤つ㐷戴㉤㜷ㄴ㡢搱昳捣㠶㤸ㄵ㤸ㄱ㠱㝡㤱搹㌰戳ㄱ㘴摡攰扦挰㈱挹㡥㙣捡㔶㡣㙣㘵㌵㕢愹㘶㉢戵㙣㐵㘴㉢㘶戶戲㤶慤慣㘷㉢㔶戶昲㜲戶㜲ㄵ㌰㜱㉡っつ㘵愳昴㑦㉤昳敦ㅢ挷㍥㝡晡晤㡦㝥昶捡㉦㕥㥢搱㐷昶〱攸昹㘸㔲㜳扥㜱つ愴搶愴攱ㄳ㈵㜰挴㙥㜸㘲昵搸㐹昳㤴㜹挶㍣㝥扣㜶敡㤸㜱搲挸㜱㔹㈹挸㙦㈱㤴晤㠰ㅤ㌱㕦戰摣㥡㜷㑤攲敥敥ㄹ㈳㄰捤㡤㥢㡡摡㘶扣扡㕢ぢ敥摡扥戱ㅣㅡ愱戸戳扤慤㌹㐸㐷户㌲搸㑡〴昲㝤㐷摡扢㕤㌱散扡㤸扥㙥愹收㝢摡㥡㥤㘵摦㕢敤摥㍡敦㡢慦㌶㕡㍢㘶㌴つ㠱戶㈹挷敥㔸愵㙡㔲昳㥡㥣㕤昷〲攱捡改㑤㌹换㔶昵慡昰换㠲攲㔰搴攴㔲て戲㈹攲晡愹㈵ㄷぢ〵户搶敥㑦搶㥡捦㕣て挱捣愲㠶昹㙥〸㍦摣㕡㌱㔶㙤㜱愸〵㐴扤ㄳつ㠷㕢慡攷扤㙡㍤㤸昵摣搰昷散搶㤶改摡愶〱㐹㔳扢攸搵挴攰㘰㐶ち〵〸摢㠱〱㑤换㝣扥㍢㉦㐸㐴㈴㔰㑣㐶扥愳㤵散㑡㤷戰㍡慣挲ㄶ愴挹散㠳㍢っ挶昹㑡ㄹ㤳挲㠱㠹㌵㔱㜷昰愵㡦散㌰㙣〳㜳㥦㉤㜰㌶㍢ㅥ慤晥㤹㑤攱㠶ㄷっ户㘶ぢ㍦㔵昳㘹㥣㤱㍥㠶㉣㜷〳〲愱敢敥㔱捤㘹搷戵慤摣㌵慢ㄶ慥攷搷㠵戵戶ㅥ愲づ摡戱㔰攰搶㜶㈴晤㌶㔴改〷㤸㡤㈳㉢ㄶ㌳昹〹〲攵㡢㐸㤹ㅣ愵㔳ち㉦户〸㜲昶㙢攱攵ㄱ㜳摥戲㐳愱㠴昲㤸〹㡣㈸慤㈶搱㌷㑡ㄲ昵㡤慡㔲ㄸㄳ收㉣愸搴戰摣㜰慢挹户ㅤ㕣愲㠸㘸㑦ㄶ昴㥤㉣愰㈸㘸㤵〷㈹扣〶愲㘹㤳〶改挰〹㈲㈲ㅢ愴㘸㜶㡣摣㑡㘴㠴㑦㤱ㄱ㠰㑦ㄲ㈱愱㡦㜵㤷ㄱ㈴昶㑥㈲㘵愷慥晣戸㈷捤戶戳攳㤵㌴㍢㠸㡤搳て㌱扢㥤搹ㅤ捣づ㈳搳晥ち〹㐷㈹㠷㜲㙢搲敦挲戳㝥㌷戳㝢㤰㐱㍥改㤴㌹㤱愸愲つ戵ㅢ㍢㤲㜰愳戰㤳愵㔱慣㐴ㄱ㉤攳㠶㥤㌹敡㐸㐴㐷㔶㘷㝦攸摡㐱愹㘳ㅦ敥㑥㥢挹攵㤰㈲㔳㐰㤳㙢摤〱㌴戹ㄱ〴敤㔱㙦摤㡢慥晡㈴戳晢㤰㈹挵㐲㘳㜷㜷搶㍣捤挹㕢挲㈴㔲㠶㔰㡦捡㍤㈲㘲㥡晦㈹〲慥攳攸戲㘷㍦搳ㄴ㥣㌲㙦㜹晢昹㘸㜷摥㡥㤰摥愶㌳昷㜴づ晤㐴㌷㘹㐱摦て昶搲晥摣㔵扦㍣㠸㘶晤㈱㘶て㈳㙢搳㉦㍣㜹摦慣㤷㐰㥡挴㑥〲㜳〷攸㜱㤱ㄶ敥捡搶㠶㤰摡㘷挴㕣㌱晣㌵ㄱ挲㝢戱㌰〷㍢搸昳㝤㘱攳㐰㕢㤳ㄵ㍣扢摣摥㕡ㄹ捣晢㥥挳晡㍤晢㌸戸㈵ㄴ挳攰㘰㜶㈰搳㘶ㅦ愷搸㤹〹㝦㔳㠲㜲愸㝦㑦㜶ㄷㄲ㠹㑥慤攴挵㝥改㘷换㍤㐹搲㠳㈴㜹〴摢慡㍦㡡っ㔲㐲晢㔳㔷㠹㌲㐵戰愳ㄲ慣搵㕡愵㜷㉦攵㘴搲收㍦散㤰㈳挳捡㔹㍢〳摦㐱㌰敡㤴㉤愷㈱㉣㠶㥤㘵攱㔷攱㔷戰㙣㔱㔴㉥㔹㡡㥡㍤㔹㜱㡢挸㡡㠱㠱㡥戳㜴㡡㙦㑤搲㐹㥢㤴㐸攵昶搴挶㤴㜳㜸㤳愸攸㠲愴㔰㐹㜱ぢ㌵㈴㄰㈹㡦戰㝢㈲愶〷ㄱ㔳挲挶改㡦㌱㍢挶散㌸戲摣ㅦ㈰㘹㜶扢昱っ㠳つ㙤搲㥤㕤愹㘴ち㐴㠳㜴て㝥搰㔵㔸㍤捥搷㥣㘲㜶ㅡ㔹㥢昹㐳攷㘳ち㈱㑡㤴㈷〸㤱搶㤲㙥㕥戱挴㌵搲挰㍥ㄳ㐱愵搹㝡㄰㝡づ愳㑡愳收㥣昷㥣ㄷ捥㔹挱〶愲㔰攳㘶㔴㜸㘱㕤戸愰㉥ㅦ戶㑦㕢㥤户戱㈱㙡扡㔹昶敡㄰㙤ぢ㜳晤㜰㈸挷晡㘰㑢捡㜳㜹㔶㐳敡敤㙣㡣㈱㌴㜹㈲㠶慦㤵㥥搸㕤㜹扥㜹攸ㅢ㙢敥攸㡡ㄵ摡㘲搸㔴㑣挷㜲挱挴㉥㈲㙡㔰ㅢ㌲㔷搶㝤㈱收㐶捤昳扥㔵戳㉤㔷㄰ㄹ戰㌱ㄹ愸㕢ㄴ㙢㠸㄰㉣㝢㡣晦㜹敥愸戹攲ㅢ㙥戰㘱㌰㤸戸㜵愰攵㐹㠶㐴㜲收㡣攵〶㜸㡤挴㈲换㘳㘶㜹摤扢㠶㐸㙤摤㜱捦ㅢㅢ㐱㕦㘰㠵㐴慦㤲㐴㡤㤶搵戲㔹慤㤰㉤昴㡡ㅦㅥ挸㌳㤹ㄳ昸ㅤ㘴㈶㜱㤵挹搱㕦㥥愲扤㘹搷㐷昱ㄹ摡改㥣搳〸㈲㐷㡤捡㠱㔴㈹㑣㑥搵㥦㘰㥦㈷㤱㕤㌸㝦㜹愱ㄹ㤵晢〴戱敡ㅣ晤晢㈹ㄲ㕥ㄲ㐵㈳〴㐲敦摣㍥㐵㈸慣㈳摤㠰晦㠰㙦㍥戵ㄳ㕦搱㤴㌰愴扤㝤捤攲㍣㘲㐸㈳收愲戱㉡㙣㐴愲ㅤ㈳摣愷ㅥ㘸挴㍡㠶ㅤ㐴㙤戳㥥攳ㄸ㈴㉣ㄲ㘵戹㙡㤰㝥愷敢愱㜷搱㜲㜵ㄳ㤹愴扥愸捡戸㡥㉡攳扡慣ㅡ㌱㉦㌱㈸㈸换ㅣ换㕢㌳㝣㉢㕣㜷慣㙡㠱てっ摣昵〵㐵㠲挵㈹㜷攳ㄴ㑢㡣挹㌶㕢晥㌲っ戶愰〴㘴㤷㈰㐵戹㜵㐴㍥攸㌶慢攵昱愳昵攸㔶㠲㜸㤱㍥㔲晤㈹㡣㤶㤳㜷㈲㈰㜰㘴扡ㄱ摦扣戸昱㍡㙡㤴㔷㡥㔸㑦㈱ㄱ昸〳ㄳ㈲㥥捥敤扣㜹搹戵㐲㘰㡦ㄸ㥢户挲戹〰㈸㐷㠶愲㍣摣摥㈹戱㥡攸㌴搵搰〹昷㜶㌶戵㈸㠹㈳㥤敤㐹慤昱攰㌶捤㑡㥦㈴搴挸㑥㐰㔲慦㙣㌳挷㝥㔲㌴㥡㔴摢戱慥搱搲㥣愶捤㝤愷っ昹〴㙡㐹搲㑣㐶㍦㉢〹〵㈱㕥㔲〷㌴ㄴ扤昵改攴㤱㠸搵搰〲㈸㔲㑢愹扡搱㈸ㄸ戸㠰ぢ㈷㌵㔱㡣㥥挰摦晢愲攲㔲㍤㙣㘹㌱慥㡦㐷㉤搳戶扤攴挲㐶愸ㅡ㝥慤㑦㔸ㅡ㙢㔳晡㐵㜲㘷慦扡㕦㙤㙦㠲ㄱ㈳㌶㘴㐰㈴挵ぢっ㌶〴㜳㈵㘲愹戴捤㐶戹搵㡤敡〲㥦㉥ち挳㤵ㄸ㈸㠷戵㌹戱㈹㡤戰愶ㅤ㍦㉥㍢㌴捥㡡㔲㡥敡收昴㙡〰㠵ㅥ㔲㡥㐷㈵挹攰扡㜹㠹㑥㈹㕣㕦㠰搸㡤㑡换搵㄰㐱摤挶〰㍣ㄷ昴て㜶戰㈳㉡㘸㐲摢㡣ㄲ㌴㥦㐲戸慤㡢㈰敦昴㠸㔱〸㔲㔳愶㝦㥣搳摥晥ㅥ搳㑦捦㘵攲㐲挴㐴っ㜴愵搸づ㐰㙥㌲㈶㐹㉥ㅡ㡦㐳攵㑡戲㐹愱㌵ㄲ搷搱挰ㄸ愵挱攷㠷戸扦挳㈸搶ㄸ搹挶挶敤戶搰㠲㌶戵户昶㤹ぢ㙥搵慥搷㠴㔴挵戱慣㤶ㅡ戹㉦昰㈵㉦晥㈹㙥㑡搹㤷㘸㔳ㄶ㜰㤰攲㤲㠹愴摥慤㙥晤ぢ攸㉥㠵ㅣ挶㔰戲㡤愱挷ㄴ愷㥣っ㠵㜵摣㔰愰㜵㜸愰㜹㜵㐱㕥㥢㠳㐸敢愸愲㉣㕢挴㑤扣㐶晣㔸㜲㕢〲㙣搱㕢昴㘸戱㈷慡㉥㔸慡慡㉦㜰㠴㜵㉡㠱㤷捦挳ㄸ改㤱㍢㌸㐸收㐶ㄴ搷扤昱扡㝣捣摣㌸ㄷㄹㅦㅡ愳扢㍣〳㘵戰慢㘰㈴㥡摢搹愶捤慤㌱敥㑢扢㕢㝦ㅡ㤹挶〰㌰つ㕡㐰㉡〳㘷〶攵㥤つㅣ㠶㈲㔳㘲愳挹㌰㉡㈳㤴攳㜰搷〳㘹攰㈶ㅥ愳㔷㍣㈸愱㜰㐲㕥〹㡢㙦㈵㑥㌹㌸〰㜹晥愱戶捡㘵㈳挴挵ㄷ昷㜰㕢昵㜴慤㐶㜳ㄷ摥戹扥挰㉡㉥㙤㈸㜳㜴愲敤㍡㤶㕣ㄳ敤扢〷摡ㅡ愲㙢㠲㈷收㑡ㄷ㡣戰扡㕥づ户搴㤵慤㕥㐹㈲昷㍢㜸㈳戶㝤㍢㙤收㐱㤷㔷㔰㌷戹昷挵慢慥㜷捤㤵昳捡〵扣敦㐷㉢㔶ㅦㅡ攲㈴㡢㤹㡦昱㈳㔳㌶㤳晢㉤㐶摣捤戴㌹㐰搳㍤挲㜱㘴㔲搲㘰ㄲ攵ㄴ㍡㠱敤摥戸㉦㐰㍡㤹㘸愳ㄳ㈹〸昶〸挵㕤晢搴〸㐵晢つ搰㑡㘲㔱〷㜲散昹㍢㘰㝤敤㝤搴㄰攱㜸㡥挴㐸敥㍥㤴㔲㔰㈷〵㜹㜴戹㠳㔷㐱晥㝦戰ㄴ㜳昳戶散昴㕦㘰㘶敤扤㜶ㄴㅤ㈱㡡㝥摤㠹㈲㠶㘱㙦㉡攰捤搹敦ㅤ㌵㍦昳㑢扤晦挳愳收ㄷ㠱㘱㈶㘹㡤㈱愴挶㔰㝣挳ㄸ挸㜶ㄸ〳て愱㔹ㅡ〳捦戲て愳昵捡ㄸ㠸扣ㅤㄷ㔱戱戳㌱挰ㄸ㕥㡡挹㤷〸愹㈶ㅣㄸ㍣㙢ㅤ㜲攸〹扢㠰换戵㈲㐰摣ㅥ敡㈹㤸㠵敦改昶捥敡㘵挳㌷㥣挳戲晥扣㉦愰戶晣ㄵ摣搶㤶㕤搸攳捥㙤㕢㘴愷㙤扣ㄲ戱㌷㝤捦㜳戲扢㍢敡挰㤴㑡捡㑤慦ㄵ戴晣㈷昰㠹㘸㍣㈱㘴㕥㥤昸昹昹扦扣昲收㌹摥㑡㡢㘸㌵挷㌰㜰㉦愱㜹㕡づ〸摥㈶㉥㠴ㅣ攴挷㌷ㄷ昱ㄱ㤲戵㘱㡢ㄹ挳㤷昶㑥愰㍢㜱㔱ㄱ㕥㠲㌰ㄵ昱昵㠳㌱㠹晢つ捡㤸㉣戵㌹㌶攵挷㑢搲ㄹ㔸㑡㑣㕣㝡敦攲昰愰搶㔵㘵昵㘸㔷收㝥〹愵㜳㤳ㄳ㘹戵〷㜹扥㘴搲戴㜷摢戵摡㈹㙡㌵㘹㈶㙡㔳㠰㠸愵ㄴ攲っ愴㤰攴㤱㠵㠱㝦㈹愵㤶㔱挸㤵㤰愵㐴搰摡㐳戹㍣昹敦〹〱搱戸摣搷攳㠷㉡搸㐵㘰㌱昶扡昷㝡㜶愵搵ㄹ慢㈶㠶㘴攵改攳㜹ㄴ攴㌱㠵ㄵ㡣搱捡摡㑢㈸挴㈹㜷ㅣ愵㕤㍢㥥昸㤲㔱㐷〵搸ㄴ㘳攷ㅣ㝡搵㡡捥㌳㙥ㅤ㌷㍣愰㘷昲㔲㘱戸〷㔸㡤愳愷㡣挵㈹搰愲慡㘲㍥愶㡡㡤㑥挳㔱ㄳ㜴㤶㝢ㄸ攷㑦〴昹昸㌵㄰摢愷㥡㐳ㅦ㙣㙦愱㡥㜳㠷戰㐰晥挲晥㍡㤲挲搸㜸㉢㌹〶ㄲ㜶㔷㔰〵㜵〵扣㡣㉥搲㥥搷昴㘶㤱敦搲㌴挶愲㘳捥ㅡ攸搴晦㡣㔲㑢捥㕡㈱㌴挳搵㉤晡晦ち㉡㜶搴晦ㅡ㘳㙣ㄲ㘵㉦㐴〵㍥攴ㄸ㈹搹㌱㌸挳ㅤ㠱てㅢ㘱ㅡ㜹〴搶㘵㤱愱㙤㔵㉡攳攳㔴搵㉣㈵㌸㍣㕣㠳敤㔷㈰ㅡ㝤㘹摢づ㜷ㄵ㠰㡣〲攵㝥〲ㄱ搴戵㍦㈷摤㜹㡥捤㝦〹搵ㄳㄷ慤慡敦〵㥥ㄹ㑥㤶ㄱ摣㥤攴昷㘵㈶㙣㥥㘹敤㥤㜶愱昶〰㜶㘲攴㐵昴㔹㕣㠲挰㝥㑥㠴㥦㑥捣㤱ㄱ㠴摤㐵㉣昸愵搱晥㐴ㄸ㠹扡㈱戸捤㝣扥㙥搸昸㌸㜵〹㍥捤㤰㔵㝤愱敡㤴㘷戹晤ㅥ〶㌷づ㌷戱㥥㠵摦㐷搸㈵〴挱攴ㄲ㕥㝣㠹扢摡扥〷慤戰搱摡〲㐲昶收㕢㉢收㝥っ㡣敥敥㉤慤〴挳㜷昲㥢㘳攵昷愰㕦㜴昷㑥㔸㡥㌴づち㡦㍥搵愶戳㙢捡㠶㡢㙣ㄷ昱敤㤷搰㔵㝢㥡ㄹ㝥昵㉦㐷〵㍥㘸昴攴㍤挵挲㡦戰㈴㤲㍥捡㤹晣㔷㤰㜵愷攷ㅦ〲慣挵㍢㐰㝡搶㜸愸㈰〵ㄶ戵ㅦ愰㥤㍢搴㔸愹㈶てづ㘸搳慢挸攲愴昱攰㈰摦晤㝤〰㌷摥㉤㔰摢晤摤㙦㙦晢㙥慡㝣戹戶攴昸晢㘳㤵愱慦愳㔹户㤸扤捣散㉡戲晤戱收ㄸ愳㌰愴㠴挹慢搰挱㝢攷㔰㐶晡㘳昴昷挳㜳ㅦ晣㥥改敦攷㌴㈹晥搰搴扡ち㡡㍦戹㡡敦㈶㔷攱愲戶晢㉡扥戳摤㉡昶㔳㌲㜲㈶晡〶戲搱〱㑤愲㡤捦㉤慢㈲晡㈴㤴㉦愱昶挷㡤㌹慥㌲攵㥢ㅣ㘹昲昰づ㈳ㅤ㌱㜹攵㐹捤㉢㐵㔷㜰㈲ㄷ㙡㕦㌰㝣攴晣敥㉡愵昳㍤㠶攷戵㙦挷扢㝥攱㐲晣挱㔳㌶ちㄸ〱敢捡挸㈴㤵㜰㈳戵户㘲攰㜷㝦搵昴㜷愲〱〹愴愱㠰㐹㑤ㄲ昸㕢㌱昰〹㝣㑣㈵㘱㌲っ晦㌳㝤ㄸ〳㤳敡㈴昰㌷㘳攰扦㥤㌸摣〰㡥㠹㉣ㄲつ愴㠰ㄴ昳㔵ㅡ昴㠹て慢㜹㑥捥㤹㔴㠹挳愶慡愶㌸㤴㜱㕦㕢㉡挵ㄱ摣攴昰昱㘹昳㈲慥㈵攱晥〶㈴愷晡ㅦづㄶ㜰㕤㘹捥〸つ㝣戹扣㠹㐸戱慦换㈷㜶捥㥢㑢㍥㉡㠶捣㠵〰挷愴㕡㕦㤱〸㌴晣愰摡摦ㅤ㍣敡㈹搶㘰㜳㍦攲〸㔷㤶ㄷ㐰㝡搳〸㌲㉡㌲愸㝤㈳挶㙣收㡤㈶捤攸㕢㐰づ㥣㉣挸㔹㈸慡〸捡〴ㅦ㌴戲㌰㔱㥤㝦ㄵ搹㔸晣㕦㐸㑣㙥㑡㉦㐷㔶㝢㌳ㅥ㉦㐹㈹晡㙢散昰㌵㘴〳㜰慦㙡ㄱ㥤戵㡣㥢攳㉢㜷扤㜶捥慣㐷挵昲〶扡㙡㥣て㕦愸㝦㥤㑦㙦㌰攳㔳㉣㤷㔰捥㘸戲愹扤㜶昸㍦㠴㝥捥㝣</t>
  </si>
  <si>
    <t>㜸〱捤㔸㑦㙦ㅢ挷ㄵ攷㉥戹换㕤晥戱ㄹ㕢戶㘳挷㜱搸挰㙤攲㐸㘱㈴慢戲ㄲㄷ㐶㐲㉥㉤㔹㠸㉣㈹㈲㈳㌷〷㘳戱攴捥㡡㙢敤敥搰㌳㑢㐹㜴㑥〵㡡愲㐸ぢ搴㐰㝢㈹搲㑢㑦㐹㔰㌴挸㈱愷ㅥ晡〱㔲㈰挹〷㐸㤰戸㍤〴㉤㜲〸㜲挸㈹㐱晡摥散㔲㈶㈹㍡㤱ㄵ〵昰㐰㥡㥤㤹㌷敦捤捣㥢昷㝥敦つㄳ㔲㈲㤱昸ㄶち㝥戱愴戰㜱扡搶攵㈱昱㑢〶昵㍣搲っ㕤ㅡ昰㔲㤹㌱慢扢攸昲㌰〹ㄳ㔴搳〵㍡㔷㑣敥摥㈲㥡戹㐹ㄸ㠷㐹㑡㈲愱㘹扡っ㜴ㄴ㠲晦㠵㕥㐷㐷慥㕣ち慡㔵愳戲摣戸〱㔲㙢㈱㘵㘴愲戸ㄶ昱㕥㥡㉤㑤㤷㥥扢㌰㔹㥡㥣㈸ㅡㅤ㉦散㌰㜲㈹㈰㥤㤰㔹摥㐴㜱愵搳昰摣收㡢愴㕢愷ㅢ㈴戸攴㤰挶捣捣散〵攷晣㜳ㄷ㘶愷捥㍦晢昳ㅣ㉣㥣㔸㌲㉡㔷㠸搷〶㘹〷㈳㔳〵㤹㡢㐶㘵㠵ㄱ攷㘰㈴㉡愸㠲愹㉡㘹扡愸㉢㐲㤸ㅢ慣㤷㡣ち晣昵改〳㝡戳愵攵㕡㡤〴摣つ摤㑤㌷散攲搹㜴㝦戹搹㔸戳扣づ㔱㝤戱㈱捤㕦戳搸㤲攵㤳扣晦㌲㈷慢㔶戰㑥戰愷昸昳ㅤ搷㑥挱ㅤ㈶捦㡤㕡㈸㔶㔰㘹搹愸ㄸ㉤㡢㠵㐲㈴㉥昰捣愸搹㘲愵㔲摦㔶〴㡦ㄸ㐵攵㐸搹搸㑡挴㥡戸换㌴㔶ㅡ㔴慡づ搵搱㍥捥愲㘰㉤㑥㐹愹慦挰搶晡ㄹ戳㌰㔳㌶㉤搹㙣挸㘶㔳㌶㙤搹㈴戲改挸收扡㙣戶㘴搳㤵捤ㅢ戲戹〱㜳㝡㐵㑢愷攵戸晣敦捣慦晥戸晡搰攱昲㥦㙥扦昶昵㉢户摦晣㑢づ㘵㉤挲搹㑡㑢㈴㍣㄰㈳㔰昰㐴㝢搷㘴づ㘶㉢㝥㜴ㄱ㔵挲㥢㍡摥搲㐲㘰㤳㙤ㄵ㕡㜰㝢㌹摦愰㐱㐸戶挳慡ㄵ㕡㘹㝦挵㘲㈴〸㜵㤸㌴㉥戸愲ㄶ㜲收挵㔸㡦㍢ㄳ昷㐰㐲㐱㌴晢愴㘴挵㐰㈴㐹〲㤷㑢愶愲㕡㔳㐷㌹昱ㄵ㡢户㐲慢攱㤱戳㐳ㄷ㡥㕡〳ㅢ㝢㌹㜴㍤㕥〲㤱昳㡣㜶摡愸捦㠳㤲㈳捣ㄸ捤㐲捤㐳㈵㈰〷扦戰挰ぢ晡㈱昸㘴㜴㈴敡㐸㐴㌸㠲て㤴ㅥ㉤㜷〴㍡㔷㡤㑡㤵晡㤶ㅢㅣ挸搵收㡥㠲挸㤷㘲ぢ慥㌲㙢ぢ扣昱慥攰昳㈵〰愲扤㐰㔱㘳㜲摡㤹㜱㘶㥤愹㈹㝢㘶搲㥡戶ㄴ㌴晦晢昵愶㌱攰挹昹搷摣挰愶㕢挲扤㡥昸攰㍢挲㘵敡摤㌶ㄱ㐳㌹愷㙥戱㜵〲㉥换ㄶ慡㘳㡥㐱ㄹ㈳㥥ㄵㄲ㕢っ㈰㉥㥦ㄸㅣ攴㜳㡣晡㌸㝥扡㘲㜱㜲搷㜵挷㥤㘸愱ち敤〴㌶㝦㘴㌴戱ㄶ㠲攸㔳挳戴扢㐲㜶戱搵〰捥〸ㄷ㍢㍤㌳捣㈶㑣扦扣敤㐶攴㐷㠷挸〰㘸戴㜱㙦敡ㅣ㈳㌷㜷愸扢㜶㔴㠶攰戴㐹㤰扥敢㤴ㄱ㈹摡ㄷ挰て攵㈴㄰摢ㅢ昷㔷摣收〶㘱㌵㠲愱㡤搸攲愸挷㤰㐴挰ㅢ㥢㠴㡦㉦愳敡〱㔱敤挷晢㐷㥤换摢㈱〱㕦戶㘱扦㄰㘵挲㙥ㅤ晤攸昸挰㤴㘸㑤㈰㥣ㅣㄸ㥥愳捤づ㐷㥦㘵搴ㅢ愴㤴敤㑤ぢ搶戴慦㔲㥢愴㔲㜲㌲㤱㑡愴戰㐰昰㑣㈶挱㤱㈷㠷摣㔴㠴ぢ㤴捤晢㜱戹捦㜲㄰㤸愷昷挴㌴㘸㕥挸㌷ち㌰㜶愲扥昴昰愰慦㤴㔶㐱㝢愰㈵㡦愰㈳挹挳㜸搲户搱扢㔶㠳㡢㡣㐴搳攸㐴㝤㍡㐳扢挵搹㑦摥晢㈸㐲散㡥㘵晣戸㤳㘵昹㘸㝣晡换㥢㠰搸㔷慣挰昶〸晢㙥㝤攱㡥㜴昴㙣晤ㄸ㔶挷愱捡㈴㤴晦〲戶摤㔳㤳㤸ㅥ㐹摢㔲㔷搹㜲敤戰愵戶㠸扢摥ち㘱っ戲㉡㑤㐳㌵㤷攲晦昷〰攸摦挲晣㑡㝦ㄸ慢㤳㔰㘵㌲㤹〸㍤搵㡣晥㠸攸㈷㔲㠸慢愳㌶戹ㄳ〵㌰扣㘵ㄶ愹㘵捦㔹㑤挸挶搲㜱㉥愶ㄹ搴㙦㐳㙣㘲〵㥣㘹㠰㙤㠲捤㙦扡㌶㘱ㅡづ搴㈰攷㑢㐱㌲挶㔵攱搹ㅣ㠲㑥㌲愱㈸㔹㙤搴㕡ぢ㍤㔹㘷㘳つ昶攷㤴ぢ扢攴㝦晥搲戳捦㘳捥㤸挹㘰昰搱㑦㘳昵㈸㔴ち㙡昲扥扤攱㌰㌰ㅤ昷㙢㉤扡㜵〵㔴㐹㜸㤴昰㜰㠳戹攱㠹摤挳㄰㐴㉤晦愴ㄸ㥦㘷〴〰㤰搵〱〷挴ㄹ㤱攳搴㐸㡡㘰㍡㈵㡣戱捦つ挷㥤㌵㤷㙣㈱㜸㍦戶㥢〴ㄹ㥢搱攱㈱ㄵ㌱晦捣㙥㝡㤵㉥搱戰敡昲戶㘷㜵捦㡥㈰㐷㤴㙢㉤ㄲ〰㜶㌱㠰戰敦㥢㐴摢㙤㘲㡦搸㘳㡤㜶㔸㤳㉣㔴ㅦ〴昴㠳㥢㡡㡡㈴㠰㑦搲㈴㔵㤶愰散捦昱㈴㜴㠹挴慢㘳㙦捦摦戹昵敢攷㔵㠰㔳〹ㅣ〴㕣㐴㐱㘷摣て㐰㘲㜶㤲ㅦ〸换挷㌰昵扥ち㑦ㄵ户敤㤱㡡挵挰戰㈹攳扡摦㙢㐶㠶搷㤷〴㐷摥昲㈰㈸ㅢ愲㑣ㄴ㕦㑡昷挶搷扥㡤ぢㅢ㐴㘳㐶㑣㤳挶㠶〲㠱㌸㌷愲搳㍥敦㑡昹㌷㘰攲㝤㙥〴戱㉦扤㠹㈹戵㘹㐲㡡ち㍤㉣㤲㜲〷㐴㡤摣ㅦ㐲㙢㉡挰㈷㤲攰捡㙣〴㜴㉢㄰㍢㔷㌸收㍡〲㑣搳㘹㍣㐶〶㐵㘱㤹改㤹㑤㐲㐱昴ㅥㅦ愵慢㈸㈳摤㜹挳㉤搸㄰ㅥ攲㐷㕢づㅦ㙤㜵㐶挴换㑣ㄳㅤ㔰㘱摥扦㐶搹㐶㠳搲つ㝣㈷ㅣㄲ㍤摥㈲㈴挴㔷㔴搶㡦㥥㠲搸〶摢㑦㈶〷㕥㑡戱摥㤱㠸昹戰挸㤵搵㥦㐰㉢㌹挷㥡愲㈷㝤っ攷挷ㄷ搶挴敦摦挸昳敢扦㉢晦晤㑢敤戳搷㝦晢㑢㐵晡㈸㈶晣㜵散慤㡢摤㑦㍥㌵摥昹搷㝦㔶晦㌶昷挵㉤〵〳挸㥥㠲㜷〱㈶ㅥ㜶㜶戰慢敥㠶ㅥ挹㍡㤱㘹㘰㕢㜳〰㡤㈰戱戲搳㑥扤〵愷慥收㥤㜹收摡㥥ㅢ㄰㌴ㅤ㐸㔹昱挵戹㐸搶㈱㠹㕡愱昸扡愵㐱摥愹㌳㉢攰ㄸ㙢㠲㘶昷挸㐰㑦㜸㡢攲㔴摣㠰挳㌲〲㉦戱㝤搸㐱㌸㠷㥢敢昸挱扣搵收て㠲㍢㠹㥦㍡㐰㍤㔰㈲昰㤲㈵㔹㤶㌴㔹摢愷㐷㈴搴㥦㠲愸㐲㥦〷㕥㉣慥㤵㤷㈰捤㤲〵戰挹攷㜱愹〸捦㄰攸昶㥥㔳愱㤹攷挴㑦〸㜱戲㥢ㅣㄵ戳㜷㤲㍥㤱挳晣っ㜸㈴㑣㈹㠴㡦㍣ㄱ㌷戰㔳挰昰㡣搱㕡㝤ㄲ慡㠷㡣㡡ㄹ㤹㙦捦ぢ搴㜳㌰㝣〸㠶晢㌲扢〲㐶㜳攴搱㥦挲ち㥦㑢㤲㔸〱㝢ㄳ㔰昵㑡〱㔷㐲户搵㥦㠶㉡㥦㤴㜰㍥晡愱㡡㔹㔰扥散㜹挵㥥㈷㜱ㅤ㠷搴㘷愰㝡㝡㈱㠸㝦㡣㉡摡挴㉢㠲㘵摤散㤰攲摣昲敡攵㕡扤扣㔸昴愹敤㍡㙥搳戲㘹㘹摢攳摢搲㠷戱㕢摣㜹㙦攱挲敤搷㕥㉤晦昳摤㍦㝣昶㥢て㙦扥㈳㝤㄰ㄳ㠶㝦㘳㈸昴戶愸攰慥㝥㌱ちㄲ㜶㈵戳攳挳㉦㠷换昰ㄲ攸愲づ㤲㤰㐵㈹挲搰㔳昲挵晤挹敡挱㌲㕥㤵昲㍥散晡〷挸挱㍢ㅤ㐴搵挷㘰㐴㥦㐶搱㔸つ㈳㉢㈶㠲㜳㜸㡥愱㠴㌵㥢㐵ㅣ慤晦昹ㅦ㉦㝣㌳㝤扤㥣晤㍦摢㑢㜸晣</t>
  </si>
  <si>
    <t>㜸〱捤㕡㕢㙣ㅣ㔷ㄹ㥥搹摤ㄹ敦慣㜷敤捤愵愵㘹㑢敢戶㐹ぢ㜵扡捡愵㐹㥡㔴㈱慣搷㜶㘲扡㠹㔳慦㤳㠰㑡㔸挶扢㘷攲㘹收攲捥捣㈶摥扥昴ㄵ〹㕥㐰攲愱㈰㠴晡㠴㕡㘸㐱攲㡤〷搴〷摥㈸㐸㍣挱ㅢ㤵㜸攰㠱ち〵㜸㐶攵晢捥捣㕥扤摥戸㙥㤰㝣㈲晦㝢慥晦㥣昳摦捥晦晦㈷㡡慡㈸捡愷㈸晣㘵挹戰昲㜸慤ㅤ㐶挲㉤㔵㝣挷ㄱ㡤挸昶扤戰㔴づ〲戳㕤戵挳㈸㡤〹㝡摤挶㜸愸搵㐳晢㑤㤱慤摦ㄱ㐱㠸㐹㥡愲㘴戳㐶ち攳㐴挲扦㘲愷㘱㜰㔵㍥〳戰㔲㤹㕢㕥㝢ㅤ㔸㙢㤱ㅦ㠸愳㌳搷攳戵攷捦㤴㑥㤶捥㥥㍥㔶㍡㜶㜴愶搲㜲愲㔶㈰捥㝢愲ㄵ〵愶㜳㜴收㙡㙢捤戱ㅢ慦㠸昶慡㝦㕢㜸攷㉤戱㜶敡搴㤹搳搶㠹戳愷捦ㅣ㍦昱搲㡢㜹㝣㔸愹㔶收慥〶挲ちㅦっ㐶㥤ㄸ㤷㉢㜳愵㉢㈲㝡㌰ㄸ㈷㠰昱㜲㘵㙥摥㜷㑤摢㝢㈰㈸㌵搲昴攴扣㘸搸㈴扥㄰㠱敤摤㉡㘱换〳〴㐶敢㑣㘹ㄱ㤴㙥㤸㘱㔴ㄱ㡥戳㈲㉣㙥㈵敦㤲㕡㈲㄰㕥㐳㠴㔳敥挲㘶㐳㌸挹㜰㤸㜵慦㥢挱ㄵ搳ㄵㄹ㔶愶摤㤸㕦㑢㑤攱㐵㜶搴㉥戸搷㐲戱㘲㝡户〴愷㘸敥挵㤶摤捣㘴搴㑣㐶㐹㍦㌷㙡㌳㤲㉢愵挵愰㔱㔹㌷㠳㐸戶挸慦攳愳收昶㐹㠶摣昸挰戶㈸㍤㌳㐳慢挸愲㥡敤扥㈲〲㑦㌸晣〸ㄹ㌷㍢㌴㐹搲㈴㈶㝣㤷㌸㥤搳㤰ㄶ敡㘴㈲敦昲㈸攸㌰戲〴〶㠰㥥〳㐸㕦㉦㕦㌱㈶搹㤵〷㔰㌳晦㠱扥昴㉦攱㔰慡㙥愶敡㙢愹㝡㈳㔵㙦愶敡㈲㔵户㔲昵㕢愹晡㝡慡㙥愷敡慦愷敡户㌱愷㔳戲ㄳㄳ愹愴扣㜳昰摤㜳敤扦㝥㕣昹搵敦晦戶昲昳挵㝢㙦收愷㌰改搵㘴㍢昳㠱㜹ㄷ㍣敤〹换㠹ㄲ昴㘳㈷ㅡ戲㜶散愴㜵捡㍡㘳ㅤ㍦摥㍣㜵捣㍣㘹㙡㍣搰㑥戹㜳㄰㜳昳搶つ摢㙢晡㜷㈵扢昲搶愲敤㐴㈲㤰㡤㘹ぢ㍦戱挸挹㜶挱㕡搸㠴㤶㌶㘲捥ㅥ戴㉡㈲㠸㈰攱㔱扢挷敥挷攷捣㔰昴㥡戳〹敥㌹扦攵㌵挳挷㐶て搶㈲㌳ㄲ㡦づ㡦昵㤰㙣㔹㔶㠳晣㡢㔰㙥改㠹攱㘵搷㑤愷㈵捡㥢㜶㍣晣挵愱㘱㘸㠲扦戶晤攸㘲㈰摥攸㡥㙥搹㔱ㄹ收昱㡥挴扤攵㤴昱㔰扣慦㤹捡扡ㅦち㑦㙥㙦搶扤㙡㌷㙥㡢愰㈶㘸㕣㐵㔳ㅥ昵㈱づ㈵敡㌸扢散攱愰㔰戰收搳晤扤㈴戴昰㥡愲㠹晤㙥㠰捡敤㔵㜳捤ㄱてて㑣㠹扦㠹㠱㐳〳摤㡢㝥愳ㄵ㔶㝣㉦ち㝣㘷㜰愴摣扣㘳挲〴㌴㉦晢㑤㤱㤱㐵㠹愱慡愴搳慡慡㝣㘹㤴㉥ㄱ㜷㐸㙤敢ㄳㄲ敡昴昸挹㝤㐲挴挹㈳戵戴㡢ㄹ㤵㍥㈱攳晣㉦㡦摤㐹扦㄰㜲昶戱戱戳㐷〸㈹ㄷ㍤㌲愸㜸愵ㄵ昰〷㝣㜰〴戵㌲㜵㜸㝢㤴㍤戹扣捦㑥晢戸挲扢㤴戳挷㄰㑤愲敤捡摥晦㜷㜲㉡㜵㈰㌹晤挲ㅤㄸ晡㑢愶搷㜴㐴㌰搶ㄳ㔰戹㈳㘳㥡愰㐸戰㡦㘰㍦挱〱〰敤ㄳ㤸挹㙤㈹㑡㘳慥㙥慡㙤敤慥摤㡣搶昵㜵㘱摦㕡㡦搰〷て㈲㥢㈵戹扦㤹晣㤵攰㐲㝣㥦扥㠴昱㄰挱挳〴㕦〰挸攵ㄴ晤ㄱ晣挲㐴ㅢ㠷昸昳㈸挰㜴攷愶㥢㠹㈵㌳愷㘸戴攲㥦晤慥愱摦㘲挸慢つ㕥㐷愸戹挰ㅢ愶搳愳愸㜱挹っ搷㈳㉡攲搸㐱ㅥ搷㜸㡣攰㜱㠰晣ㄷ〱慡㤷㠴〳㌵㝥㌰づ㡢挶㍢攸扥㤷㈳㜹昳戰㕢㙢㝢㡤昵挰昷攰扡捤㥢㤱㔹㙥挰〳〸㔵㔳㜷慢㝥愵ㄵ改敥㈵ㅢ㍦㜹㜷㐵㙣〸㌳慡挰㐸㐷〵户ち敦㐱㕡搱愵收愶收挶ㄷ晦扣〸ㅢ〶㍤㠴㈵ㄸ愵㑤ㅤ㌵㔸搹扣㑢㌳㈳㌶㈳愲㥥㜰慦㥡昰㌰㈲〳㤳㘶攵慡戸挶㤵〵搹搷㔹㥤㑢㕡挰㔰㤴搵㍥㉣㤳戲㈳挶愴㤰㤰ち散㤲㤲捥㈴㜰㔸㝦慥㐵戶ㄳ㤶ㄲ攲㤶收㝤昸㡥㐲㍡慦㈴扡慥㐳扣昴戱慣ㅡ㔶㜳扡ㄸ换㡤戵ㄸ㉤戶㜲㌱昰㕢ㅢ㜴㌳ㅥㄴㅥ攲㔲㡣㈷〰㝥晡慦昷㕥㍥昲㤳㕦㝥㥡晣扥〵〵㤲挵愰ㄷ㘲㔰摡搹挴㡦㉣挶㔳昸挹㡤ㅢ搳攸慦㡣戴戳摢㜸㐳㔴攸扣㡢搳慥〶㐲扡㜷㔹搹㘸㙦㠸㠲㝢挳て㙥慦昹晥㙤㌲㝦㑡戶挲㜵㈱㈲晡㑣㤳㠹㡢挸扡慡慡改昴㠰㜷搴攷㕣搱摢搲㡦〰ㄴ捡㡥㌳搳挱ㄸ敡捦愲㉢㑤敦敤㌹㔴㕥㔸昲㤲㠰㘲愶㈹㥣㤹つ㌳㜸愳㈵㘶ㄶ㤷㔷ㄶ㙡慢攵敡㡣敢㌷㙤换㙥㤸㑤扦戴改㠴㥢敡㕦㐰ㄲ㝡㘴㐷扦昷戳㐲㜸昳扢攵昷晦㥤晤晢㡦扦昳㜵㑤晤㜳㌲㌰散㘳㘹戴㔸挳㔲㈳㝤挴敥敤搳㜷慦搱ㄶ改搶㌵捦㡥挲㐹慢摣㡡晣㐵㍢㥡て愳扣〵㠰慡㕣昲愸㌴搴㝤㡢㘶慤敢戶戸扢ち扡㍤戹㜵〸敥㜳愵ㄵ㐶扥㔴㠸㈷戶㡥捦晢㔷晣㘸摥づ㌷ㅣ戳㝤㜸挴㜰㍣㜲㘳㕤㜸昰ㅣ〲㌸㄰昷㥢攴㙦㙣㠸收㠸㍤搶晣㔶搰㄰㑢昳㝢挱昷㔰㘳捤㔶㈰㍣搰㙢昵挸昶㜷㙤ㅦ摤㈹慥㈹〸㥣扡扢慢㑢㝦ㅥ敢搵挳㡡㌱㡢㕦挴慢㉡㉥ㄵ攳㈸慡戸㕢㌴摥㘸攳㠵愴捦㥦愱昵捤㔹㘰㙣摣㔷㐸ㅣ收㈵㉦戴㥢㈲㤷戴㉥摢摥㔴㔲㕤㙥㐵〳㈳收收㠱㘴〴㝡戱散㠱昹つ㌳㘸敥〵扥攰㘰㈸㌱㔳㔴ㅤ晦㜶㐷敡ㄸ㡤愲摣敢㈴ㅡ敥扤〵㉡㤳捥㜴ㅡ㐶㥡愸慥㌲愲搲攷ち㔲㜹ぢ㈴㜵户㍢换搶㘵㘱㝡㤲〳戵愸㌹㉦敥㑣挹ㄹ〲攲㡤㤸搵ㄱ〷〶㥢昲愶㌲慣昲㕡攸㍢慤㐸㑣㜵㙢㔲捤つ㙢㐵㌸㈶摤晡㝣户㜶戵ㄱ㈱昰改攲愳换扥㜷戸〳㡡㘴ㄲづ愹㤲㐷晡ㄸ挱ㅤ㍣〴㌵㘸㤷ㅣ挵ㅤ㙣挹昲捦ぢ敡㡦摥㘶㜹昷㠲搲愹㤰户㘰㉥ㅤ㡥㥤晢敤搴愲〳㥤㜰㌲戶㙦搲㜴攵㍢㝤㜴㤹ぢ㤶戴㝡㠸㡢㤹慥㤸愶摡㌸挸㈱㐵戸ㄱㅣ愷㍤㘵㉤㜹つ愷搵ㄴ㔵㜳㑤㌸ㅤ㡢敤〷敥ㅥ攱㤷㑣慦挵扣ㅡ㐳㤷㈴㤸㔹㐲㡥慤ㄳ㈵散摡挸㈹挶ぢ㈰慢㜴ㅥ㠰㈳㘶ぢ摤昳捦ㅣ㈰搱〷搹摦ぢ敦㘵〶〸㈶㙤㑢ㄷ㙤ㄹ摤挵㙥㡣㈵戵慤㙦㕡搵慦晡㠸㝦㥢㝤㕤㤷散戸㙢捦攸㤴㘴㤱慥敢扢扤㕡晥昸挱㥦㡣戳攷敥㝤〸㥡愱摣㝢敢晤ㄷ㝦昸昶攱ㅦ㝣㝣㠱㔷っㄵ㠳戱捣戰愳搹攷㠲挸㕢㕦ㅡ㐰㕥㐳搳戴㕥戱换戰㙡㐷㡥㤸戴攴戸慣㘷愹づ愴收㠴戵扡づ愷㙤扥㘰㕤っ散愶㘳㝢㠲敥〷昲㌱捣扡㔵挵㉤㘴づ慥晡愱捤㘴㙥挱㕡つ㑣㉦㠴㘳㠵散㕦㝢晦㐰㑢㌲㑢戳收㙣て捡ㄳ㝦㤳昵㘹慢戶敥摦㐵㍥戸攵㝡ㄷ捤㡤㜰㑦㌰㡡㔱㘱㕣㘲㡤㑡愹愹㤴㥡㑤㘵㜷㝢㐷㐹㔷㥡㡥㠰㜲〲㘸㔳〴〹扢ㄸ㜵㡥搱㔷㜲㉡挹摤㔰㕦戹慦㠱晣敡挸挰戱㥢㔰愷つ㌶㡥㜱捤㜱㠰㑢ㄷ慦㉤昵㌲㝥㥦㈳㉢慥㌱㑡ㅥ㜳ㄱ㐸挱攸㈶ㄷ㈸㤰㔳戱戰戰㡦戲㘳㐸㥥戳㌵㉣㠰㌹㑢捥愱㉣攲敥攴㜴㔶ㄷㄱ昸攵愱晡㌰扣〸㤷㘱㜱愷攲〶㕤㌹搷㜴挲㘴慣攲扢慥㐹攱愲㘰搶㘰戵㐵㔶晡搵戰㈵㠶〵㈰㈵㌰改㌲㌷搱㘵㙥捡㉥㕣挶㑣ㄸ捡㍡㜱昹户捣挰㡥搶㕤扢㤱㘵㠳㐹扤㍤㈱㤵㄰㈰ㄹ愴㠲愰㉣㔲㌴攱愴づ〷攷㜱㍣〹㘶㤷㄰㌷㤰㜴㘴㍥㘴㌷㈵㙦㜰㜵㤷搹ㄸ〸慦㐱慦搶㌸〹愰挹搷ㄷ㠶挹㉣㝤慥ㄷ㝡愴ㄹ㔲㤹㌸攱戰昱㘲㔲㘱㈳挳㍣挵搸㄰㤹㘱㕣慥敡㥢捤㐵攴㝤晤㘰㈲㜹挳挹㠲戵㌴㉡㐱㤱㐹㤱ち㌲㡡挸㔴摥㠱〷ㅣ㘴搹㔱㐳挲㈱挳㜴㡡ㅥ昳㤰戴㔱㌴㙤㌲㍢敡㕢㑢ㅤ㕣㠷㤳昰戱晦㉤㙡㘹ぢ晥㑦㕥㝤改〲㑦㥢换搱㠹㌰㑥ㄱ㥣〶㔰㤹㙥攱㜹㠶㈶㥣攱㠴㤷〰㌴挶摤挳㕡戲㙤ち㠱㉦㉥㥡换搴㐶搶攵㜱攰㙣攸㐸㜸㈰㐵〲㤲攸㤳㔹愶ㄸ㡣戳〰㝦昸攸愳昳昸㔱搴愷〰㍡摦愷㔸㈴ㅢ㍣㠷慡昱㌲㠰挶搸㘳㘷搱づ愹㕥散ぢ㐱愹愳攱㍥敢搵㤶改攰㔹㘶ㄹ㥥㔰挴慥扤愰〴㤹搸ㅦㅤ㝥㜱ㄸ㝣慤㐱㈰㈷㡦昰摡㑤㘶㐰㠶㘹㌰㌸㌷㌹㕢挸㤹扢昳㔷㜳摡敦㤰て搸搹㔷愸〵ㄳ㜷㤸捥慡搷㤱收㐱㡢㡣㡦㔵㠶昱愱㔴ㄹ昲㤷ㄵ晥㘹昴戱挶㕣㄰㐳づㅤ㤷ㅣ攸〹㌴㑤搷慣挳愷搵㔱㥡㌰㜸㑦㝣㠵㕦攴㘵㈱昷㜰㈱愹㐸戹愴捡摦搷捡㐸ㄹ戴㘸㙦㙡㔱摢㠱㡤㘷㤵㈹㥤戸㐶愱㐶扣㡡㍥㙣捦て攰慥㘶㠶㔳戸摤戵捣㡣㑣ㅥㅣ㑡㤹换㘵ㅣ愱㌹搳㍥〴挹户㕤捦ㄳ昴愸捣㌵㉣㝡ㄹ攰攰㘵扢ㄱ昸愱㙦㐵㌳㌵㜸㉡㌳㝣㐴戱攰戳㤶戵摦〲攳挸㙦昲㘰ㄹ㡦㉦㤲㤲㜱戹摢㥥㝦搷㤳扢搱㐲扥㈵㐹㝡㑤㑣昰㌳昴㘴㘵㜹〶㔴㉣搲昴㜱戱㔱〱㈸愴㡢戴ㅤ㉣㐵摡て㤶㈲㡤〵㑢㤱〶㠳㘵㥡㉡㑥㉣ㄴ㡤〷㕡㡡㌴っ攴愶㍥て戰慦㌲㔷ㅦ㝣㝣搵ㄷ搰㥤㐷户㌴愱㉢㜸㠶搱ㄷ搱㌳㠵㥥㍥㈷愴㐸换㐲㉣挶㐵〲愶挰攵㤳㘶㤱㌲㉢捦晡㌵㔴ち㘹㔵㑡ㄳ㐷㕦〱㘰愱つ㉤㔲慡攴慣㉡㉡㠵戴㐶挲扣扣㝤㐲愶敦挳戳㄰昴㠱㈷慡〵㍣㌹戵㠹㌴つ挳慦挹㑤㘷㔲攷㜶㠷㡢挶㠲扥㤲晣晢㌵攴攰㜳攰ㄹ㤴㍤㘲㝣ㄲ㝦挶ㄵ〰㤵㌴㘳攲搴㌸㐲昰㉣挱㜳〰敡〷昸攴挸㐴攳晢挹挰㜰愲㔱㈵㤵㐹㍣昵ㄷ㤸挱ㅤ㌳搹㤱㑤愵㡢ㅤ㜲㙢愴昰昳摢㤳㈳昶㤱㝡㉦㥢㑣㝥㘸ㄶ搵㜵搲㡡ㅦㄶ㐹ㄴ㤹㘰㜲愴慣攷攱㉥〵㜸㕢慣挲晦㠷㤳㠴愷昱㐴㝥㄰ㄷ昰摡敡㕣挸㠶㙣㜱戱㙥㉤〷戸愱㈷慣愵㄰㔱㐶㌳㡢㤴㝤㠴户㕥㙦㉦㕣㈳戰㍥ㄹちて挴㠷㔹挱搴㐸挵愷㐶て㕦攰㝤愱㔴㡦ㅥ㥤㔰㍡㐵㉦㙢㜷㤷㠸㝥つㅦ敢㍤㌲㐹㑢ㄳ愶搴昷挰㕡ㅡ愶摣㍦㑥ㅣ㑡搲昳㈹挵戸㠱戹㔲㝣㔴㜹〶㠴㝥挶㌷搸挵㍣扥〴㡡㐶㜹ㅢ㍥ㄴ㑤昰㈲㔷っ㍤㡤㑤㑥昲愴慢㙦晦收慢晦㍤㜹戳慣ㄱ晢㡥㡦㑤㜱摦攵㠵昳ㅡ㤶慡摣户㌴愰㝣㤵㘳㐵晥挹㈱㌴㡣㥢〰㉣㌴ㅡ㐵㑥㤱搶攳㕢愸挰㥥㜲㤰敤㐲㐶㘵㡦搴㠷㜷ㄲ㝤㘰㜴㙢㝣ㅢ㐰㈵㤰〴㌳搹㤲〰ㄵ㘳㡤慤攴慦挸㠶挴摣㐰〵㜶㠹㍦㘳㠲攸ㅥ攷攵㝦攷㜰㤹戴愳っ攴摣〵慦ㄵ扦㔶改㉥挳㕡㙦㕦㜲㍦捦㜶攷散敦昶㜴攷㑥㜵扢攴㥡㐳戱㠳捡㤷㍦㑥㤹敤㈱㝤㘸㜸㐴捥挷挶戹㜷攵改敤戵扤戳㐱㥡愳慣扡攳㠹搹昸ㅤ戶㠹㔵戴昴慡搱慢戱愹戱戹〳㘴㈴昳㉥㘵㐴昰㍢ㄲ愰㘲攰愲㤶㤷㑦ㅡ扦㐵㌶㜸㙥攳ㄶ挱㍡㠱つ㤰搳搸㝥㘶㝢㕡挸慢㠲〴愱㍦㡦愷㐹㐶㤵〵㌷㑥㐸挸㌱㍣捡㜲㜸㉢㌳昷戳㝢㜶㘰㙡㉥敥㈲㥣㡥慢㕤慥㑥㈶㐳ㄴ㠳捦捡㔲㜵〲㈷攳ㅦ㜶昸挴昶㐷攱ㄷ㘲㤶敥㙣㔶捣㑦晤㜵愰㑤㔷㙢㔵攳㌶㉡㌹㝥㐴敤慢捡戶㑡㝡㤲㤰扡〳㤰扥㠶挹㉥㉡挹攴㕥ㄵ㝤㜸㌳㈵摤攵㘴てㄵ㝤戵扣㜲㜱㘱搵昰㔱㑦收昷慡攸㔳搴㘹㝥㤷㐲愱戳挹㌲㑤㡣㠳㍤㕣㌳搰㌳昹㍦づ〴ㅦ㌹</t>
  </si>
  <si>
    <t>DEMANDA TOTAL</t>
  </si>
  <si>
    <t>DEMANDA ANUAL</t>
  </si>
  <si>
    <t>Alquiler de Restaurant MENSUAL</t>
  </si>
</sst>
</file>

<file path=xl/styles.xml><?xml version="1.0" encoding="utf-8"?>
<styleSheet xmlns="http://schemas.openxmlformats.org/spreadsheetml/2006/main">
  <numFmts count="16">
    <numFmt numFmtId="43" formatCode="_-* #,##0.00\ _€_-;\-* #,##0.00\ _€_-;_-* &quot;-&quot;??\ _€_-;_-@_-"/>
    <numFmt numFmtId="164" formatCode="&quot;$&quot;\ #,##0_);[Red]\(&quot;$&quot;\ #,##0\)"/>
    <numFmt numFmtId="165" formatCode="&quot;$&quot;\ #,##0.00_);[Red]\(&quot;$&quot;\ #,##0.00\)"/>
    <numFmt numFmtId="166" formatCode="_(&quot;$&quot;\ * #,##0.00_);_(&quot;$&quot;\ * \(#,##0.00\);_(&quot;$&quot;\ * &quot;-&quot;??_);_(@_)"/>
    <numFmt numFmtId="167" formatCode="&quot;$&quot;#,##0;[Red]\-&quot;$&quot;#,##0"/>
    <numFmt numFmtId="168" formatCode="_-&quot;$&quot;* #,##0.00_-;\-&quot;$&quot;* #,##0.00_-;_-&quot;$&quot;* &quot;-&quot;??_-;_-@_-"/>
    <numFmt numFmtId="169" formatCode="#,##0.00\ &quot;€&quot;"/>
    <numFmt numFmtId="170" formatCode="_ [$$-300A]\ * #,##0.00_ ;_ [$$-300A]\ * \-#,##0.00_ ;_ [$$-300A]\ * &quot;-&quot;??_ ;_ @_ "/>
    <numFmt numFmtId="171" formatCode="&quot;$&quot;\ #,##0.00"/>
    <numFmt numFmtId="172" formatCode="_-[$$-300A]\ * #,##0.00_ ;_-[$$-300A]\ * \-#,##0.00\ ;_-[$$-300A]\ * &quot;-&quot;??_ ;_-@_ "/>
    <numFmt numFmtId="173" formatCode="&quot;$&quot;#,##0.00"/>
    <numFmt numFmtId="174" formatCode="[$$-300A]\ #,##0.00"/>
    <numFmt numFmtId="175" formatCode="[$$-409]#,##0.00;[Red][$$-409]#,##0.00"/>
    <numFmt numFmtId="176" formatCode="[$$-409]#,##0;[Red][$$-409]#,##0"/>
    <numFmt numFmtId="177" formatCode="_([$$-300A]\ * #,##0.00_);_([$$-300A]\ * \(#,##0.00\);_([$$-300A]\ * &quot;-&quot;??_);_(@_)"/>
    <numFmt numFmtId="178" formatCode="0.00000000"/>
  </numFmts>
  <fonts count="67">
    <font>
      <sz val="11"/>
      <color theme="1"/>
      <name val="Calibri"/>
      <family val="2"/>
      <scheme val="minor"/>
    </font>
    <font>
      <sz val="11"/>
      <color indexed="8"/>
      <name val="Calibri"/>
      <family val="2"/>
    </font>
    <font>
      <sz val="10"/>
      <color indexed="8"/>
      <name val="Calibri"/>
      <family val="2"/>
    </font>
    <font>
      <b/>
      <sz val="11"/>
      <color indexed="8"/>
      <name val="Calibri"/>
      <family val="2"/>
    </font>
    <font>
      <sz val="11"/>
      <color indexed="9"/>
      <name val="Calibri"/>
      <family val="2"/>
    </font>
    <font>
      <b/>
      <sz val="11"/>
      <color indexed="9"/>
      <name val="Calibri"/>
      <family val="2"/>
    </font>
    <font>
      <b/>
      <sz val="10"/>
      <color indexed="8"/>
      <name val="Calibri"/>
      <family val="2"/>
    </font>
    <font>
      <b/>
      <sz val="14"/>
      <color indexed="9"/>
      <name val="Calibri"/>
      <family val="2"/>
    </font>
    <font>
      <sz val="12"/>
      <name val="Calibri"/>
      <family val="2"/>
    </font>
    <font>
      <sz val="11"/>
      <name val="Calibri"/>
      <family val="2"/>
    </font>
    <font>
      <b/>
      <sz val="11"/>
      <name val="Calibri"/>
      <family val="2"/>
    </font>
    <font>
      <b/>
      <sz val="12"/>
      <name val="Calibri"/>
      <family val="2"/>
    </font>
    <font>
      <sz val="15"/>
      <color indexed="8"/>
      <name val="Calibri"/>
      <family val="2"/>
    </font>
    <font>
      <b/>
      <sz val="12"/>
      <color indexed="18"/>
      <name val="Calibri"/>
      <family val="2"/>
    </font>
    <font>
      <sz val="12"/>
      <color indexed="8"/>
      <name val="Calibri"/>
      <family val="2"/>
    </font>
    <font>
      <sz val="12"/>
      <color indexed="9"/>
      <name val="Calibri"/>
      <family val="2"/>
    </font>
    <font>
      <b/>
      <sz val="12"/>
      <color indexed="9"/>
      <name val="Calibri"/>
      <family val="2"/>
    </font>
    <font>
      <b/>
      <u/>
      <sz val="13"/>
      <name val="Arial"/>
      <family val="2"/>
    </font>
    <font>
      <b/>
      <sz val="10"/>
      <name val="Arial"/>
      <family val="2"/>
    </font>
    <font>
      <b/>
      <sz val="22"/>
      <color indexed="18"/>
      <name val="Calibri"/>
      <family val="2"/>
    </font>
    <font>
      <b/>
      <sz val="18"/>
      <color indexed="8"/>
      <name val="Calibri"/>
      <family val="2"/>
    </font>
    <font>
      <sz val="18"/>
      <color indexed="8"/>
      <name val="Calibri"/>
      <family val="2"/>
    </font>
    <font>
      <b/>
      <i/>
      <sz val="18"/>
      <color indexed="8"/>
      <name val="Calibri"/>
      <family val="2"/>
    </font>
    <font>
      <sz val="18"/>
      <color indexed="9"/>
      <name val="Calibri"/>
      <family val="2"/>
    </font>
    <font>
      <b/>
      <sz val="12"/>
      <color indexed="8"/>
      <name val="Calibri"/>
      <family val="2"/>
    </font>
    <font>
      <b/>
      <u/>
      <sz val="12"/>
      <name val="Arial"/>
      <family val="2"/>
    </font>
    <font>
      <u/>
      <sz val="12"/>
      <name val="Arial"/>
      <family val="2"/>
    </font>
    <font>
      <sz val="12"/>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b/>
      <sz val="11"/>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0"/>
      <color theme="1"/>
      <name val="Calibri"/>
      <family val="2"/>
      <scheme val="minor"/>
    </font>
    <font>
      <b/>
      <i/>
      <sz val="11"/>
      <color theme="1"/>
      <name val="Calibri"/>
      <family val="2"/>
      <scheme val="minor"/>
    </font>
    <font>
      <sz val="12"/>
      <color theme="1"/>
      <name val="Calibri"/>
      <family val="2"/>
      <scheme val="minor"/>
    </font>
    <font>
      <b/>
      <sz val="12"/>
      <color theme="0"/>
      <name val="Calibri"/>
      <family val="2"/>
    </font>
    <font>
      <b/>
      <sz val="10"/>
      <color theme="1"/>
      <name val="Arial"/>
      <family val="2"/>
    </font>
    <font>
      <b/>
      <sz val="18"/>
      <color theme="0"/>
      <name val="Calibri"/>
      <family val="2"/>
    </font>
    <font>
      <b/>
      <i/>
      <sz val="22"/>
      <color theme="0"/>
      <name val="Calibri"/>
      <family val="2"/>
    </font>
    <font>
      <b/>
      <i/>
      <sz val="18"/>
      <color theme="0"/>
      <name val="Calibri"/>
      <family val="2"/>
    </font>
    <font>
      <sz val="16"/>
      <color theme="1"/>
      <name val="Calibri"/>
      <family val="2"/>
      <scheme val="minor"/>
    </font>
    <font>
      <sz val="18"/>
      <color theme="1"/>
      <name val="Calibri"/>
      <family val="2"/>
      <scheme val="minor"/>
    </font>
    <font>
      <sz val="20"/>
      <color theme="1"/>
      <name val="Calibri"/>
      <family val="2"/>
      <scheme val="minor"/>
    </font>
    <font>
      <b/>
      <sz val="18"/>
      <color theme="0"/>
      <name val="Calibri"/>
      <family val="2"/>
      <scheme val="minor"/>
    </font>
    <font>
      <i/>
      <sz val="11"/>
      <color theme="1"/>
      <name val="Calibri"/>
      <family val="2"/>
      <scheme val="minor"/>
    </font>
    <font>
      <b/>
      <sz val="11"/>
      <color theme="3" tint="-0.249977111117893"/>
      <name val="Calibri"/>
      <family val="2"/>
      <scheme val="minor"/>
    </font>
    <font>
      <b/>
      <sz val="12"/>
      <color rgb="FFFF0000"/>
      <name val="Calibri"/>
      <family val="2"/>
      <scheme val="minor"/>
    </font>
    <font>
      <b/>
      <sz val="11"/>
      <color theme="1"/>
      <name val="Times New Roman"/>
      <family val="1"/>
    </font>
    <font>
      <b/>
      <i/>
      <sz val="12"/>
      <color theme="1" tint="4.9989318521683403E-2"/>
      <name val="Calibri"/>
      <family val="2"/>
    </font>
    <font>
      <sz val="12"/>
      <color theme="1" tint="4.9989318521683403E-2"/>
      <name val="Calibri"/>
      <family val="2"/>
    </font>
    <font>
      <b/>
      <sz val="12"/>
      <color theme="1" tint="4.9989318521683403E-2"/>
      <name val="Calibri"/>
      <family val="2"/>
    </font>
    <font>
      <b/>
      <sz val="12"/>
      <color theme="1" tint="4.9989318521683403E-2"/>
      <name val="Calibri"/>
      <family val="2"/>
      <scheme val="minor"/>
    </font>
    <font>
      <sz val="12"/>
      <color theme="3" tint="-0.249977111117893"/>
      <name val="Calibri"/>
      <family val="2"/>
      <scheme val="minor"/>
    </font>
    <font>
      <b/>
      <i/>
      <sz val="12"/>
      <color theme="3" tint="-0.249977111117893"/>
      <name val="Calibri"/>
      <family val="2"/>
      <scheme val="minor"/>
    </font>
    <font>
      <b/>
      <sz val="12"/>
      <color theme="3" tint="-0.249977111117893"/>
      <name val="Calibri"/>
      <family val="2"/>
      <scheme val="minor"/>
    </font>
    <font>
      <b/>
      <sz val="12"/>
      <color theme="3"/>
      <name val="Calibri"/>
      <family val="2"/>
      <scheme val="minor"/>
    </font>
    <font>
      <b/>
      <sz val="22"/>
      <color theme="5" tint="-0.249977111117893"/>
      <name val="Calibri"/>
      <family val="2"/>
    </font>
    <font>
      <b/>
      <sz val="12"/>
      <color theme="0"/>
      <name val="Arial"/>
      <family val="2"/>
    </font>
    <font>
      <b/>
      <sz val="10"/>
      <color theme="0"/>
      <name val="Arial"/>
      <family val="2"/>
    </font>
  </fonts>
  <fills count="36">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rgb="FFA5A5A5"/>
      </patternFill>
    </fill>
    <fill>
      <patternFill patternType="solid">
        <fgColor theme="5"/>
      </patternFill>
    </fill>
    <fill>
      <patternFill patternType="solid">
        <fgColor theme="6"/>
      </patternFill>
    </fill>
    <fill>
      <patternFill patternType="solid">
        <fgColor rgb="FFFFFF00"/>
        <bgColor indexed="64"/>
      </patternFill>
    </fill>
    <fill>
      <patternFill patternType="solid">
        <fgColor theme="1" tint="0.44999542222357858"/>
        <bgColor theme="1" tint="0.44999542222357858"/>
      </patternFill>
    </fill>
    <fill>
      <patternFill patternType="solid">
        <fgColor theme="1" tint="0.249977111117893"/>
        <bgColor theme="1" tint="0.249977111117893"/>
      </patternFill>
    </fill>
    <fill>
      <patternFill patternType="solid">
        <fgColor rgb="FF548DD4"/>
        <bgColor indexed="64"/>
      </patternFill>
    </fill>
    <fill>
      <patternFill patternType="solid">
        <fgColor rgb="FF95B3D7"/>
        <bgColor indexed="64"/>
      </patternFill>
    </fill>
    <fill>
      <patternFill patternType="solid">
        <fgColor theme="9" tint="0.59999389629810485"/>
        <bgColor indexed="64"/>
      </patternFill>
    </fill>
    <fill>
      <patternFill patternType="solid">
        <fgColor rgb="FF92D050"/>
        <bgColor indexed="64"/>
      </patternFill>
    </fill>
    <fill>
      <patternFill patternType="solid">
        <fgColor rgb="FF9BBB59"/>
        <bgColor indexed="64"/>
      </patternFill>
    </fill>
    <fill>
      <patternFill patternType="solid">
        <fgColor rgb="FFE3E739"/>
        <bgColor indexed="64"/>
      </patternFill>
    </fill>
    <fill>
      <patternFill patternType="solid">
        <fgColor rgb="FFEAF1DD"/>
        <bgColor indexed="64"/>
      </patternFill>
    </fill>
    <fill>
      <patternFill patternType="solid">
        <fgColor theme="9" tint="0.79998168889431442"/>
        <bgColor indexed="64"/>
      </patternFill>
    </fill>
    <fill>
      <patternFill patternType="solid">
        <fgColor rgb="FFF79646"/>
        <bgColor indexed="64"/>
      </patternFill>
    </fill>
    <fill>
      <patternFill patternType="solid">
        <fgColor rgb="FFFDE9D9"/>
        <bgColor indexed="64"/>
      </patternFill>
    </fill>
    <fill>
      <patternFill patternType="solid">
        <fgColor theme="9" tint="0.39997558519241921"/>
        <bgColor indexed="64"/>
      </patternFill>
    </fill>
    <fill>
      <patternFill patternType="solid">
        <fgColor theme="7"/>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00FF00"/>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30" fillId="4" borderId="43" applyNumberFormat="0" applyAlignment="0" applyProtection="0"/>
    <xf numFmtId="0" fontId="29" fillId="5" borderId="0" applyNumberFormat="0" applyBorder="0" applyAlignment="0" applyProtection="0"/>
    <xf numFmtId="0" fontId="29" fillId="6" borderId="0" applyNumberFormat="0" applyBorder="0" applyAlignment="0" applyProtection="0"/>
    <xf numFmtId="166" fontId="28" fillId="0" borderId="0" applyFont="0" applyFill="0" applyBorder="0" applyAlignment="0" applyProtection="0"/>
    <xf numFmtId="9" fontId="28" fillId="0" borderId="0" applyFont="0" applyFill="0" applyBorder="0" applyAlignment="0" applyProtection="0"/>
  </cellStyleXfs>
  <cellXfs count="348">
    <xf numFmtId="0" fontId="0" fillId="0" borderId="0" xfId="0"/>
    <xf numFmtId="0" fontId="0" fillId="0" borderId="1" xfId="0" applyBorder="1"/>
    <xf numFmtId="0" fontId="0" fillId="0" borderId="2" xfId="0" applyBorder="1"/>
    <xf numFmtId="164" fontId="0" fillId="0" borderId="1" xfId="0" applyNumberFormat="1" applyBorder="1"/>
    <xf numFmtId="164" fontId="0" fillId="0" borderId="2" xfId="0" applyNumberFormat="1" applyBorder="1"/>
    <xf numFmtId="0" fontId="0" fillId="0" borderId="3" xfId="0" applyBorder="1"/>
    <xf numFmtId="0" fontId="0" fillId="0" borderId="4" xfId="0" applyBorder="1"/>
    <xf numFmtId="0" fontId="0" fillId="0" borderId="5" xfId="0" applyBorder="1"/>
    <xf numFmtId="165" fontId="0" fillId="0" borderId="5" xfId="0" applyNumberFormat="1" applyBorder="1"/>
    <xf numFmtId="0" fontId="32" fillId="0" borderId="6" xfId="0" applyFont="1" applyBorder="1"/>
    <xf numFmtId="0" fontId="32" fillId="0" borderId="7" xfId="0" applyFont="1" applyBorder="1" applyAlignment="1">
      <alignment horizontal="center"/>
    </xf>
    <xf numFmtId="0" fontId="32" fillId="0" borderId="8" xfId="0" applyFont="1" applyBorder="1" applyAlignment="1">
      <alignment horizontal="center"/>
    </xf>
    <xf numFmtId="0" fontId="32" fillId="0" borderId="9" xfId="0" applyFont="1" applyBorder="1" applyAlignment="1">
      <alignment horizontal="center"/>
    </xf>
    <xf numFmtId="0" fontId="0" fillId="0" borderId="10" xfId="0" applyBorder="1"/>
    <xf numFmtId="164" fontId="0" fillId="0" borderId="11" xfId="0" applyNumberFormat="1" applyBorder="1"/>
    <xf numFmtId="0" fontId="0" fillId="0" borderId="12" xfId="0" applyBorder="1"/>
    <xf numFmtId="0" fontId="32" fillId="0" borderId="12" xfId="0" applyFont="1" applyBorder="1" applyAlignment="1">
      <alignment horizontal="center"/>
    </xf>
    <xf numFmtId="164" fontId="32" fillId="0" borderId="11" xfId="0" applyNumberFormat="1" applyFont="1" applyBorder="1"/>
    <xf numFmtId="0" fontId="0" fillId="0" borderId="11" xfId="0" applyBorder="1"/>
    <xf numFmtId="0" fontId="32" fillId="0" borderId="12" xfId="0" applyFont="1" applyBorder="1"/>
    <xf numFmtId="164" fontId="32" fillId="0" borderId="11" xfId="0" applyNumberFormat="1" applyFont="1" applyBorder="1" applyAlignment="1">
      <alignment horizontal="center"/>
    </xf>
    <xf numFmtId="0" fontId="32" fillId="0" borderId="13" xfId="0" applyFont="1" applyBorder="1"/>
    <xf numFmtId="0" fontId="0" fillId="0" borderId="14" xfId="0" applyBorder="1"/>
    <xf numFmtId="165" fontId="32" fillId="0" borderId="15" xfId="0" applyNumberFormat="1" applyFont="1" applyBorder="1" applyAlignment="1">
      <alignment horizontal="center"/>
    </xf>
    <xf numFmtId="10" fontId="28" fillId="0" borderId="0" xfId="5" applyNumberFormat="1" applyFont="1"/>
    <xf numFmtId="10" fontId="0" fillId="0" borderId="0" xfId="0" applyNumberFormat="1"/>
    <xf numFmtId="169" fontId="2" fillId="0" borderId="3" xfId="0" applyNumberFormat="1" applyFont="1" applyBorder="1" applyAlignment="1">
      <alignment horizontal="center" wrapText="1"/>
    </xf>
    <xf numFmtId="170" fontId="0" fillId="0" borderId="3" xfId="0" applyNumberFormat="1" applyBorder="1"/>
    <xf numFmtId="0" fontId="32" fillId="7" borderId="0" xfId="0" applyFont="1" applyFill="1"/>
    <xf numFmtId="0" fontId="32" fillId="0" borderId="0" xfId="0" applyFont="1"/>
    <xf numFmtId="164" fontId="0" fillId="0" borderId="0" xfId="0" applyNumberFormat="1"/>
    <xf numFmtId="165" fontId="0" fillId="0" borderId="0" xfId="0" applyNumberFormat="1"/>
    <xf numFmtId="0" fontId="3" fillId="0" borderId="7" xfId="0" applyFont="1" applyBorder="1"/>
    <xf numFmtId="0" fontId="0" fillId="0" borderId="9" xfId="0" applyBorder="1"/>
    <xf numFmtId="0" fontId="33" fillId="0" borderId="4" xfId="0" applyFont="1" applyBorder="1"/>
    <xf numFmtId="0" fontId="6" fillId="0" borderId="4" xfId="0" applyFont="1" applyBorder="1"/>
    <xf numFmtId="170" fontId="2" fillId="0" borderId="5" xfId="0" applyNumberFormat="1" applyFont="1" applyBorder="1"/>
    <xf numFmtId="0" fontId="6" fillId="2" borderId="6" xfId="0" applyFont="1" applyFill="1" applyBorder="1"/>
    <xf numFmtId="170" fontId="3" fillId="0" borderId="16" xfId="0" applyNumberFormat="1" applyFont="1" applyBorder="1"/>
    <xf numFmtId="0" fontId="0" fillId="0" borderId="12" xfId="0" applyFont="1" applyBorder="1" applyAlignment="1">
      <alignment horizontal="left"/>
    </xf>
    <xf numFmtId="0" fontId="0" fillId="0" borderId="12" xfId="0" applyBorder="1" applyAlignment="1">
      <alignment horizontal="left"/>
    </xf>
    <xf numFmtId="171" fontId="0" fillId="0" borderId="0" xfId="0" applyNumberFormat="1"/>
    <xf numFmtId="0" fontId="0" fillId="0" borderId="17" xfId="0" applyBorder="1"/>
    <xf numFmtId="167" fontId="0" fillId="0" borderId="0" xfId="0" applyNumberFormat="1"/>
    <xf numFmtId="0" fontId="7" fillId="3" borderId="0" xfId="0" applyFont="1" applyFill="1"/>
    <xf numFmtId="0" fontId="4" fillId="3" borderId="0" xfId="0" applyFont="1" applyFill="1"/>
    <xf numFmtId="0" fontId="4" fillId="0" borderId="0" xfId="0" applyFont="1"/>
    <xf numFmtId="0" fontId="8" fillId="0" borderId="3" xfId="0" applyFont="1" applyBorder="1"/>
    <xf numFmtId="166" fontId="9" fillId="0" borderId="3" xfId="0" applyNumberFormat="1" applyFont="1" applyBorder="1"/>
    <xf numFmtId="165" fontId="9" fillId="0" borderId="3" xfId="0" applyNumberFormat="1" applyFont="1" applyBorder="1"/>
    <xf numFmtId="0" fontId="9" fillId="0" borderId="3" xfId="0" applyFont="1" applyBorder="1"/>
    <xf numFmtId="10" fontId="9" fillId="0" borderId="3" xfId="0" applyNumberFormat="1" applyFont="1" applyBorder="1"/>
    <xf numFmtId="0" fontId="5" fillId="6" borderId="1" xfId="3" applyFont="1" applyBorder="1"/>
    <xf numFmtId="165" fontId="5" fillId="6" borderId="1" xfId="3" applyNumberFormat="1" applyFont="1" applyBorder="1"/>
    <xf numFmtId="0" fontId="29" fillId="8" borderId="0" xfId="0" applyFont="1" applyFill="1"/>
    <xf numFmtId="166" fontId="4" fillId="8" borderId="0" xfId="4" applyNumberFormat="1" applyFont="1" applyFill="1"/>
    <xf numFmtId="0" fontId="29" fillId="9" borderId="0" xfId="0" applyFont="1" applyFill="1"/>
    <xf numFmtId="166" fontId="4" fillId="9" borderId="0" xfId="4" applyNumberFormat="1" applyFont="1" applyFill="1"/>
    <xf numFmtId="9" fontId="4" fillId="8" borderId="0" xfId="5" applyNumberFormat="1" applyFont="1" applyFill="1"/>
    <xf numFmtId="9" fontId="4" fillId="9" borderId="0" xfId="5" applyNumberFormat="1" applyFont="1" applyFill="1"/>
    <xf numFmtId="0" fontId="0" fillId="0" borderId="0" xfId="0" applyBorder="1"/>
    <xf numFmtId="0" fontId="10" fillId="0" borderId="0" xfId="0" applyFont="1" applyFill="1"/>
    <xf numFmtId="172" fontId="0" fillId="0" borderId="0" xfId="0" applyNumberFormat="1"/>
    <xf numFmtId="0" fontId="34" fillId="0" borderId="18" xfId="0" applyFont="1" applyBorder="1"/>
    <xf numFmtId="170" fontId="34" fillId="0" borderId="3" xfId="0" applyNumberFormat="1" applyFont="1" applyBorder="1"/>
    <xf numFmtId="0" fontId="34" fillId="0" borderId="0" xfId="0" applyFont="1" applyFill="1" applyBorder="1"/>
    <xf numFmtId="170" fontId="34" fillId="0" borderId="0" xfId="0" applyNumberFormat="1" applyFont="1" applyFill="1" applyBorder="1"/>
    <xf numFmtId="0" fontId="3" fillId="0" borderId="0" xfId="0" applyFont="1" applyFill="1" applyBorder="1"/>
    <xf numFmtId="170" fontId="3" fillId="0" borderId="0" xfId="0" applyNumberFormat="1" applyFont="1" applyFill="1" applyBorder="1"/>
    <xf numFmtId="0" fontId="10" fillId="0" borderId="7" xfId="0" applyFont="1" applyBorder="1"/>
    <xf numFmtId="0" fontId="10" fillId="0" borderId="8" xfId="0" applyFont="1" applyBorder="1" applyAlignment="1">
      <alignment horizontal="center"/>
    </xf>
    <xf numFmtId="0" fontId="10" fillId="0" borderId="9" xfId="0" applyFont="1" applyBorder="1" applyAlignment="1">
      <alignment horizontal="center"/>
    </xf>
    <xf numFmtId="0" fontId="34" fillId="0" borderId="4" xfId="0" applyFont="1" applyBorder="1"/>
    <xf numFmtId="170" fontId="34" fillId="0" borderId="5" xfId="0" applyNumberFormat="1" applyFont="1" applyBorder="1"/>
    <xf numFmtId="0" fontId="34" fillId="0" borderId="6" xfId="0" applyFont="1" applyBorder="1"/>
    <xf numFmtId="170" fontId="34" fillId="0" borderId="17" xfId="0" applyNumberFormat="1" applyFont="1" applyBorder="1"/>
    <xf numFmtId="170" fontId="35" fillId="0" borderId="16" xfId="0" applyNumberFormat="1" applyFont="1" applyBorder="1"/>
    <xf numFmtId="0" fontId="35" fillId="7" borderId="43" xfId="1" applyFont="1" applyFill="1"/>
    <xf numFmtId="0" fontId="35" fillId="0" borderId="19" xfId="0" applyFont="1" applyBorder="1"/>
    <xf numFmtId="0" fontId="10" fillId="7" borderId="20" xfId="0" applyFont="1" applyFill="1" applyBorder="1"/>
    <xf numFmtId="0" fontId="1" fillId="0" borderId="0" xfId="0" applyFont="1"/>
    <xf numFmtId="0" fontId="3" fillId="0" borderId="0" xfId="0" applyFont="1"/>
    <xf numFmtId="166" fontId="1" fillId="0" borderId="0" xfId="4" applyFont="1"/>
    <xf numFmtId="166" fontId="4" fillId="8" borderId="0" xfId="5" applyNumberFormat="1" applyFont="1" applyFill="1"/>
    <xf numFmtId="173" fontId="4" fillId="9" borderId="0" xfId="5" applyNumberFormat="1" applyFont="1" applyFill="1"/>
    <xf numFmtId="173" fontId="4" fillId="8" borderId="0" xfId="5" applyNumberFormat="1" applyFont="1" applyFill="1"/>
    <xf numFmtId="0" fontId="34" fillId="0" borderId="3" xfId="0" applyFont="1" applyBorder="1"/>
    <xf numFmtId="165" fontId="34" fillId="0" borderId="3" xfId="0" applyNumberFormat="1" applyFont="1" applyBorder="1"/>
    <xf numFmtId="168" fontId="34" fillId="0" borderId="3" xfId="0" applyNumberFormat="1" applyFont="1" applyBorder="1"/>
    <xf numFmtId="0" fontId="0" fillId="0" borderId="0" xfId="0" applyFill="1" applyBorder="1"/>
    <xf numFmtId="0" fontId="0" fillId="0" borderId="12" xfId="0" applyFill="1" applyBorder="1" applyAlignment="1">
      <alignment horizontal="left"/>
    </xf>
    <xf numFmtId="0" fontId="32" fillId="0" borderId="0" xfId="0" applyFont="1" applyBorder="1" applyAlignment="1">
      <alignment horizontal="center" vertical="center"/>
    </xf>
    <xf numFmtId="170" fontId="0" fillId="0" borderId="0" xfId="0" applyNumberFormat="1" applyBorder="1"/>
    <xf numFmtId="0" fontId="32" fillId="0" borderId="0" xfId="0" applyFont="1" applyFill="1" applyBorder="1"/>
    <xf numFmtId="170" fontId="0" fillId="0" borderId="0" xfId="0" applyNumberFormat="1" applyFill="1" applyBorder="1"/>
    <xf numFmtId="0" fontId="3" fillId="0" borderId="8" xfId="0" applyFont="1" applyBorder="1"/>
    <xf numFmtId="0" fontId="3" fillId="0" borderId="9" xfId="0" applyFont="1" applyBorder="1"/>
    <xf numFmtId="170" fontId="0" fillId="0" borderId="5" xfId="0" applyNumberFormat="1" applyBorder="1"/>
    <xf numFmtId="170" fontId="0" fillId="0" borderId="5" xfId="0" applyNumberFormat="1" applyFont="1" applyBorder="1"/>
    <xf numFmtId="170" fontId="0" fillId="0" borderId="5" xfId="0" applyNumberFormat="1" applyFill="1" applyBorder="1"/>
    <xf numFmtId="0" fontId="32" fillId="0" borderId="6" xfId="0" applyFont="1" applyFill="1" applyBorder="1"/>
    <xf numFmtId="170" fontId="0" fillId="0" borderId="16" xfId="0" applyNumberFormat="1" applyBorder="1"/>
    <xf numFmtId="170" fontId="3" fillId="0" borderId="0" xfId="0" applyNumberFormat="1" applyFont="1" applyBorder="1"/>
    <xf numFmtId="166" fontId="0" fillId="0" borderId="3" xfId="0" applyNumberFormat="1" applyBorder="1"/>
    <xf numFmtId="0" fontId="12" fillId="0" borderId="0" xfId="0" applyFont="1"/>
    <xf numFmtId="0" fontId="5" fillId="6" borderId="0" xfId="3" applyFont="1"/>
    <xf numFmtId="10" fontId="5" fillId="6" borderId="0" xfId="3" applyNumberFormat="1" applyFont="1"/>
    <xf numFmtId="166" fontId="0" fillId="0" borderId="0" xfId="0" applyNumberFormat="1"/>
    <xf numFmtId="9" fontId="0" fillId="0" borderId="0" xfId="0" applyNumberFormat="1"/>
    <xf numFmtId="10" fontId="28" fillId="0" borderId="0" xfId="5" applyNumberFormat="1" applyFont="1"/>
    <xf numFmtId="0" fontId="0" fillId="0" borderId="21" xfId="0" applyBorder="1"/>
    <xf numFmtId="0" fontId="0" fillId="0" borderId="22" xfId="0" applyBorder="1"/>
    <xf numFmtId="0" fontId="0" fillId="10" borderId="23" xfId="0" applyFill="1" applyBorder="1" applyAlignment="1">
      <alignment horizontal="center" vertical="center"/>
    </xf>
    <xf numFmtId="0" fontId="36" fillId="10" borderId="24" xfId="0" applyFont="1" applyFill="1" applyBorder="1" applyAlignment="1">
      <alignment horizontal="center" vertical="center"/>
    </xf>
    <xf numFmtId="0" fontId="36" fillId="10" borderId="25" xfId="0" applyFont="1" applyFill="1" applyBorder="1" applyAlignment="1">
      <alignment horizontal="center" vertical="center"/>
    </xf>
    <xf numFmtId="3" fontId="37" fillId="11" borderId="26" xfId="0" applyNumberFormat="1" applyFont="1" applyFill="1" applyBorder="1" applyAlignment="1">
      <alignment horizontal="center" vertical="center"/>
    </xf>
    <xf numFmtId="9" fontId="37" fillId="11" borderId="26" xfId="0" applyNumberFormat="1" applyFont="1" applyFill="1" applyBorder="1" applyAlignment="1">
      <alignment horizontal="center" vertical="center"/>
    </xf>
    <xf numFmtId="0" fontId="37" fillId="11" borderId="26" xfId="0" applyFont="1" applyFill="1" applyBorder="1" applyAlignment="1">
      <alignment horizontal="center" vertical="center" wrapText="1"/>
    </xf>
    <xf numFmtId="0" fontId="36" fillId="12" borderId="0" xfId="0" applyFont="1" applyFill="1" applyBorder="1" applyAlignment="1">
      <alignment horizontal="center" vertical="center"/>
    </xf>
    <xf numFmtId="0" fontId="38" fillId="13" borderId="23" xfId="0" applyFont="1" applyFill="1" applyBorder="1" applyAlignment="1">
      <alignment horizontal="center"/>
    </xf>
    <xf numFmtId="0" fontId="38" fillId="13" borderId="24" xfId="0" applyFont="1" applyFill="1" applyBorder="1" applyAlignment="1">
      <alignment horizontal="center"/>
    </xf>
    <xf numFmtId="0" fontId="38" fillId="14" borderId="23" xfId="0" applyFont="1" applyFill="1" applyBorder="1" applyAlignment="1">
      <alignment horizontal="center"/>
    </xf>
    <xf numFmtId="0" fontId="38" fillId="14" borderId="24" xfId="0" applyFont="1" applyFill="1" applyBorder="1" applyAlignment="1">
      <alignment horizontal="center"/>
    </xf>
    <xf numFmtId="0" fontId="39" fillId="15" borderId="26" xfId="0" applyFont="1" applyFill="1" applyBorder="1" applyAlignment="1">
      <alignment horizontal="center"/>
    </xf>
    <xf numFmtId="9" fontId="39" fillId="15" borderId="26" xfId="0" applyNumberFormat="1" applyFont="1" applyFill="1" applyBorder="1" applyAlignment="1">
      <alignment horizontal="center"/>
    </xf>
    <xf numFmtId="0" fontId="39" fillId="16" borderId="26" xfId="0" applyFont="1" applyFill="1" applyBorder="1" applyAlignment="1">
      <alignment horizontal="center"/>
    </xf>
    <xf numFmtId="9" fontId="39" fillId="16" borderId="26" xfId="0" applyNumberFormat="1" applyFont="1" applyFill="1" applyBorder="1" applyAlignment="1">
      <alignment horizontal="center"/>
    </xf>
    <xf numFmtId="0" fontId="38" fillId="13" borderId="25" xfId="0" applyFont="1" applyFill="1" applyBorder="1" applyAlignment="1">
      <alignment horizontal="center"/>
    </xf>
    <xf numFmtId="0" fontId="38" fillId="14" borderId="25" xfId="0" applyFont="1" applyFill="1" applyBorder="1" applyAlignment="1">
      <alignment horizontal="center"/>
    </xf>
    <xf numFmtId="1" fontId="0" fillId="17" borderId="3" xfId="0" applyNumberFormat="1" applyFill="1" applyBorder="1"/>
    <xf numFmtId="1" fontId="0" fillId="0" borderId="3" xfId="0" applyNumberFormat="1" applyBorder="1"/>
    <xf numFmtId="1" fontId="0" fillId="0" borderId="0" xfId="0" applyNumberFormat="1"/>
    <xf numFmtId="0" fontId="38" fillId="18" borderId="23" xfId="0" applyFont="1" applyFill="1" applyBorder="1" applyAlignment="1">
      <alignment horizontal="center"/>
    </xf>
    <xf numFmtId="0" fontId="38" fillId="18" borderId="24" xfId="0" applyFont="1" applyFill="1" applyBorder="1" applyAlignment="1">
      <alignment horizontal="center"/>
    </xf>
    <xf numFmtId="0" fontId="39" fillId="19" borderId="26" xfId="0" applyFont="1" applyFill="1" applyBorder="1" applyAlignment="1">
      <alignment horizontal="center"/>
    </xf>
    <xf numFmtId="9" fontId="39" fillId="19" borderId="26" xfId="0" applyNumberFormat="1" applyFont="1" applyFill="1" applyBorder="1" applyAlignment="1">
      <alignment horizontal="center"/>
    </xf>
    <xf numFmtId="0" fontId="38" fillId="18" borderId="25" xfId="0" applyFont="1" applyFill="1" applyBorder="1" applyAlignment="1">
      <alignment horizontal="center"/>
    </xf>
    <xf numFmtId="0" fontId="38" fillId="18" borderId="25" xfId="0" applyFont="1" applyFill="1" applyBorder="1" applyAlignment="1">
      <alignment horizontal="center" wrapText="1"/>
    </xf>
    <xf numFmtId="0" fontId="0" fillId="20" borderId="3" xfId="0" applyFill="1" applyBorder="1" applyAlignment="1">
      <alignment horizontal="center"/>
    </xf>
    <xf numFmtId="1" fontId="0" fillId="17" borderId="3" xfId="0" applyNumberFormat="1" applyFill="1" applyBorder="1" applyAlignment="1">
      <alignment horizontal="center"/>
    </xf>
    <xf numFmtId="0" fontId="0" fillId="21" borderId="3" xfId="0" applyFill="1" applyBorder="1" applyAlignment="1">
      <alignment horizontal="center"/>
    </xf>
    <xf numFmtId="0" fontId="0" fillId="21" borderId="18" xfId="0" applyFill="1" applyBorder="1" applyAlignment="1">
      <alignment horizontal="center"/>
    </xf>
    <xf numFmtId="172" fontId="0" fillId="22" borderId="3" xfId="0" applyNumberFormat="1" applyFill="1" applyBorder="1" applyAlignment="1">
      <alignment horizontal="center"/>
    </xf>
    <xf numFmtId="0" fontId="0" fillId="21" borderId="3" xfId="0" applyFill="1" applyBorder="1"/>
    <xf numFmtId="172" fontId="0" fillId="22" borderId="3" xfId="0" applyNumberFormat="1" applyFill="1" applyBorder="1"/>
    <xf numFmtId="0" fontId="9" fillId="0" borderId="18" xfId="0" applyFont="1" applyBorder="1"/>
    <xf numFmtId="170" fontId="9" fillId="0" borderId="27" xfId="0" applyNumberFormat="1" applyFont="1" applyBorder="1"/>
    <xf numFmtId="0" fontId="34" fillId="0" borderId="28" xfId="0" applyFont="1" applyBorder="1"/>
    <xf numFmtId="3" fontId="9" fillId="0" borderId="28" xfId="0" applyNumberFormat="1" applyFont="1" applyBorder="1"/>
    <xf numFmtId="3" fontId="9" fillId="0" borderId="29" xfId="0" applyNumberFormat="1" applyFont="1" applyBorder="1"/>
    <xf numFmtId="170" fontId="9" fillId="0" borderId="3" xfId="0" applyNumberFormat="1" applyFont="1" applyBorder="1"/>
    <xf numFmtId="170" fontId="35" fillId="0" borderId="1" xfId="0" applyNumberFormat="1" applyFont="1" applyBorder="1"/>
    <xf numFmtId="170" fontId="10" fillId="0" borderId="1" xfId="0" applyNumberFormat="1" applyFont="1" applyBorder="1"/>
    <xf numFmtId="170" fontId="10" fillId="0" borderId="30" xfId="0" applyNumberFormat="1" applyFont="1" applyBorder="1"/>
    <xf numFmtId="0" fontId="32" fillId="23" borderId="3" xfId="0" applyFont="1" applyFill="1" applyBorder="1"/>
    <xf numFmtId="0" fontId="0" fillId="0" borderId="0" xfId="0" applyAlignment="1">
      <alignment horizontal="center" vertical="center"/>
    </xf>
    <xf numFmtId="174" fontId="0" fillId="0" borderId="3" xfId="0" applyNumberFormat="1" applyBorder="1"/>
    <xf numFmtId="174" fontId="0" fillId="0" borderId="0" xfId="0" applyNumberFormat="1"/>
    <xf numFmtId="0" fontId="40" fillId="0" borderId="0" xfId="0" applyFont="1" applyBorder="1"/>
    <xf numFmtId="174" fontId="0" fillId="0" borderId="0" xfId="0" applyNumberFormat="1" applyBorder="1"/>
    <xf numFmtId="0" fontId="0" fillId="0" borderId="0" xfId="0" applyAlignment="1">
      <alignment horizontal="center"/>
    </xf>
    <xf numFmtId="0" fontId="32" fillId="23" borderId="27" xfId="0" applyFont="1" applyFill="1" applyBorder="1" applyAlignment="1">
      <alignment horizontal="center"/>
    </xf>
    <xf numFmtId="0" fontId="41" fillId="24" borderId="18" xfId="0" applyFont="1" applyFill="1" applyBorder="1" applyAlignment="1">
      <alignment horizontal="center"/>
    </xf>
    <xf numFmtId="0" fontId="41" fillId="24" borderId="3" xfId="0" applyFont="1" applyFill="1" applyBorder="1" applyAlignment="1">
      <alignment horizontal="center"/>
    </xf>
    <xf numFmtId="9" fontId="28" fillId="0" borderId="3" xfId="5" applyFont="1" applyBorder="1" applyAlignment="1">
      <alignment horizontal="center"/>
    </xf>
    <xf numFmtId="0" fontId="0" fillId="0" borderId="3" xfId="0" applyBorder="1" applyAlignment="1">
      <alignment horizontal="center"/>
    </xf>
    <xf numFmtId="0" fontId="32" fillId="0" borderId="3" xfId="0" applyFont="1" applyBorder="1" applyAlignment="1">
      <alignment horizontal="center"/>
    </xf>
    <xf numFmtId="174" fontId="32" fillId="0" borderId="3" xfId="0" applyNumberFormat="1" applyFont="1" applyBorder="1"/>
    <xf numFmtId="174" fontId="32" fillId="0" borderId="3" xfId="0" applyNumberFormat="1" applyFont="1" applyBorder="1" applyAlignment="1">
      <alignment horizontal="center"/>
    </xf>
    <xf numFmtId="174" fontId="0" fillId="0" borderId="3" xfId="0" applyNumberFormat="1" applyFont="1" applyBorder="1"/>
    <xf numFmtId="171" fontId="0" fillId="0" borderId="0" xfId="0" applyNumberFormat="1" applyFill="1" applyBorder="1"/>
    <xf numFmtId="1" fontId="0" fillId="7" borderId="0" xfId="0" applyNumberFormat="1" applyFill="1"/>
    <xf numFmtId="0" fontId="9" fillId="0" borderId="19" xfId="0" applyFont="1" applyBorder="1"/>
    <xf numFmtId="0" fontId="9" fillId="0" borderId="1" xfId="0" applyFont="1" applyBorder="1"/>
    <xf numFmtId="170" fontId="9" fillId="0" borderId="1" xfId="0" applyNumberFormat="1" applyFont="1" applyBorder="1"/>
    <xf numFmtId="0" fontId="9" fillId="0" borderId="30" xfId="0" applyFont="1" applyBorder="1"/>
    <xf numFmtId="0" fontId="42" fillId="0" borderId="0" xfId="0" applyFont="1"/>
    <xf numFmtId="0" fontId="43" fillId="0" borderId="0" xfId="0" applyFont="1" applyBorder="1" applyAlignment="1">
      <alignment horizontal="center"/>
    </xf>
    <xf numFmtId="0" fontId="15" fillId="6" borderId="0" xfId="3" applyFont="1" applyBorder="1"/>
    <xf numFmtId="170" fontId="15" fillId="6" borderId="0" xfId="3" applyNumberFormat="1" applyFont="1" applyBorder="1"/>
    <xf numFmtId="0" fontId="15" fillId="5" borderId="0" xfId="2" applyFont="1" applyBorder="1"/>
    <xf numFmtId="170" fontId="15" fillId="5" borderId="0" xfId="2" applyNumberFormat="1" applyFont="1" applyBorder="1"/>
    <xf numFmtId="170" fontId="15" fillId="0" borderId="0" xfId="2" applyNumberFormat="1" applyFont="1" applyFill="1" applyBorder="1"/>
    <xf numFmtId="0" fontId="0" fillId="21" borderId="3" xfId="0" applyFill="1" applyBorder="1" applyAlignment="1">
      <alignment horizontal="left"/>
    </xf>
    <xf numFmtId="0" fontId="32" fillId="23" borderId="3" xfId="0" applyFont="1" applyFill="1" applyBorder="1" applyAlignment="1">
      <alignment horizontal="center" vertical="center" wrapText="1" shrinkToFit="1"/>
    </xf>
    <xf numFmtId="0" fontId="0" fillId="0" borderId="3" xfId="0" applyFill="1" applyBorder="1"/>
    <xf numFmtId="171" fontId="0" fillId="0" borderId="3" xfId="0" applyNumberFormat="1" applyBorder="1"/>
    <xf numFmtId="0" fontId="18" fillId="0" borderId="3" xfId="0" applyFont="1" applyBorder="1"/>
    <xf numFmtId="175" fontId="0" fillId="0" borderId="3" xfId="0" applyNumberFormat="1" applyBorder="1"/>
    <xf numFmtId="175" fontId="18" fillId="0" borderId="3" xfId="0" applyNumberFormat="1" applyFont="1" applyBorder="1"/>
    <xf numFmtId="176" fontId="34" fillId="0" borderId="3" xfId="0" applyNumberFormat="1" applyFont="1" applyBorder="1"/>
    <xf numFmtId="172" fontId="15" fillId="5" borderId="0" xfId="2" applyNumberFormat="1" applyFont="1" applyBorder="1"/>
    <xf numFmtId="175" fontId="0" fillId="0" borderId="0" xfId="0" applyNumberFormat="1"/>
    <xf numFmtId="165" fontId="32" fillId="7" borderId="16" xfId="0" applyNumberFormat="1" applyFont="1" applyFill="1" applyBorder="1"/>
    <xf numFmtId="171" fontId="32" fillId="7" borderId="16" xfId="0" applyNumberFormat="1" applyFont="1" applyFill="1" applyBorder="1"/>
    <xf numFmtId="0" fontId="0" fillId="0" borderId="11" xfId="0" applyFill="1" applyBorder="1"/>
    <xf numFmtId="174" fontId="0" fillId="0" borderId="0" xfId="0" applyNumberFormat="1" applyFill="1" applyBorder="1"/>
    <xf numFmtId="0" fontId="33" fillId="0" borderId="0" xfId="0" applyFont="1" applyFill="1" applyBorder="1" applyAlignment="1">
      <alignment horizontal="center" vertical="center" wrapText="1" shrinkToFit="1"/>
    </xf>
    <xf numFmtId="174" fontId="0" fillId="20" borderId="3" xfId="0" applyNumberFormat="1" applyFill="1" applyBorder="1"/>
    <xf numFmtId="0" fontId="18" fillId="0" borderId="0" xfId="0" applyFont="1" applyFill="1" applyBorder="1" applyAlignment="1">
      <alignment horizontal="center"/>
    </xf>
    <xf numFmtId="9" fontId="28" fillId="0" borderId="0" xfId="5" applyFont="1" applyAlignment="1">
      <alignment horizontal="center"/>
    </xf>
    <xf numFmtId="164" fontId="0" fillId="0" borderId="11" xfId="0" applyNumberFormat="1" applyFill="1" applyBorder="1"/>
    <xf numFmtId="164" fontId="32" fillId="0" borderId="11" xfId="0" applyNumberFormat="1" applyFont="1" applyFill="1" applyBorder="1"/>
    <xf numFmtId="0" fontId="0" fillId="0" borderId="2" xfId="0" applyBorder="1" applyAlignment="1">
      <alignment horizontal="center"/>
    </xf>
    <xf numFmtId="38" fontId="0" fillId="0" borderId="2" xfId="0" applyNumberFormat="1" applyBorder="1" applyAlignment="1">
      <alignment horizontal="center"/>
    </xf>
    <xf numFmtId="0" fontId="0" fillId="0" borderId="0" xfId="0" applyFill="1"/>
    <xf numFmtId="165" fontId="0" fillId="0" borderId="0" xfId="0" applyNumberFormat="1" applyFill="1"/>
    <xf numFmtId="0" fontId="0" fillId="0" borderId="0" xfId="0" applyFill="1" applyBorder="1" applyAlignment="1">
      <alignment horizontal="left"/>
    </xf>
    <xf numFmtId="2" fontId="0" fillId="0" borderId="0" xfId="0" applyNumberFormat="1" applyFill="1" applyBorder="1" applyAlignment="1">
      <alignment horizontal="center"/>
    </xf>
    <xf numFmtId="1" fontId="0" fillId="0" borderId="0" xfId="0" applyNumberFormat="1" applyFill="1" applyBorder="1" applyAlignment="1">
      <alignment horizontal="center"/>
    </xf>
    <xf numFmtId="2" fontId="0" fillId="0" borderId="0" xfId="0" applyNumberFormat="1" applyFill="1" applyBorder="1"/>
    <xf numFmtId="171" fontId="18" fillId="0" borderId="31" xfId="0" applyNumberFormat="1" applyFont="1" applyFill="1" applyBorder="1"/>
    <xf numFmtId="171" fontId="18" fillId="0" borderId="31" xfId="0" applyNumberFormat="1" applyFont="1" applyFill="1" applyBorder="1" applyAlignment="1">
      <alignment horizontal="center"/>
    </xf>
    <xf numFmtId="1" fontId="0" fillId="0" borderId="0" xfId="0" applyNumberFormat="1" applyFill="1"/>
    <xf numFmtId="2" fontId="0" fillId="0" borderId="0" xfId="0" applyNumberFormat="1" applyFill="1"/>
    <xf numFmtId="165" fontId="29" fillId="0" borderId="0" xfId="3" applyNumberFormat="1" applyFill="1"/>
    <xf numFmtId="43" fontId="0" fillId="0" borderId="0" xfId="0" applyNumberFormat="1"/>
    <xf numFmtId="0" fontId="11" fillId="0" borderId="32" xfId="0" applyFont="1" applyBorder="1" applyAlignment="1">
      <alignment horizontal="center"/>
    </xf>
    <xf numFmtId="0" fontId="11" fillId="0" borderId="33" xfId="0" applyFont="1" applyBorder="1" applyAlignment="1">
      <alignment horizontal="center"/>
    </xf>
    <xf numFmtId="0" fontId="34" fillId="0" borderId="34" xfId="0" applyFont="1" applyBorder="1"/>
    <xf numFmtId="165" fontId="34" fillId="0" borderId="35" xfId="0" applyNumberFormat="1" applyFont="1" applyBorder="1"/>
    <xf numFmtId="0" fontId="34" fillId="0" borderId="36" xfId="0" applyFont="1" applyBorder="1"/>
    <xf numFmtId="165" fontId="34" fillId="0" borderId="37" xfId="0" applyNumberFormat="1" applyFont="1" applyBorder="1"/>
    <xf numFmtId="168" fontId="34" fillId="0" borderId="37" xfId="0" applyNumberFormat="1" applyFont="1" applyBorder="1"/>
    <xf numFmtId="165" fontId="34" fillId="0" borderId="38" xfId="0" applyNumberFormat="1" applyFont="1" applyBorder="1"/>
    <xf numFmtId="0" fontId="34" fillId="0" borderId="0" xfId="0" applyFont="1" applyBorder="1"/>
    <xf numFmtId="0" fontId="11" fillId="0" borderId="39" xfId="0" applyFont="1" applyBorder="1" applyAlignment="1">
      <alignment horizontal="center"/>
    </xf>
    <xf numFmtId="166" fontId="34" fillId="0" borderId="35" xfId="4" applyFont="1" applyBorder="1"/>
    <xf numFmtId="0" fontId="16" fillId="0" borderId="0" xfId="0" applyFont="1" applyBorder="1" applyAlignment="1">
      <alignment horizontal="center"/>
    </xf>
    <xf numFmtId="0" fontId="16" fillId="0" borderId="0" xfId="0" applyFont="1" applyAlignment="1">
      <alignment horizontal="center"/>
    </xf>
    <xf numFmtId="165" fontId="34" fillId="0" borderId="0" xfId="0" applyNumberFormat="1" applyFont="1" applyBorder="1"/>
    <xf numFmtId="165" fontId="0" fillId="0" borderId="0" xfId="0" applyNumberFormat="1" applyBorder="1"/>
    <xf numFmtId="43" fontId="0" fillId="0" borderId="3" xfId="0" applyNumberFormat="1" applyBorder="1"/>
    <xf numFmtId="165" fontId="0" fillId="0" borderId="3" xfId="0" applyNumberFormat="1" applyBorder="1"/>
    <xf numFmtId="0" fontId="0" fillId="0" borderId="0" xfId="0" applyNumberFormat="1" applyFill="1"/>
    <xf numFmtId="0" fontId="0" fillId="25" borderId="3" xfId="0" applyFill="1" applyBorder="1"/>
    <xf numFmtId="0" fontId="44" fillId="25" borderId="3" xfId="0" applyFont="1" applyFill="1" applyBorder="1"/>
    <xf numFmtId="175" fontId="0" fillId="25" borderId="3" xfId="0" applyNumberFormat="1" applyFont="1" applyFill="1" applyBorder="1"/>
    <xf numFmtId="0" fontId="40" fillId="0" borderId="3" xfId="0" applyFont="1" applyBorder="1" applyAlignment="1">
      <alignment horizontal="left" vertical="center" wrapText="1"/>
    </xf>
    <xf numFmtId="0" fontId="0" fillId="25" borderId="0" xfId="0" applyFont="1" applyFill="1"/>
    <xf numFmtId="1" fontId="0" fillId="25" borderId="0" xfId="0" applyNumberFormat="1" applyFont="1" applyFill="1" applyAlignment="1">
      <alignment horizontal="center"/>
    </xf>
    <xf numFmtId="2" fontId="0" fillId="25" borderId="0" xfId="0" applyNumberFormat="1" applyFont="1" applyFill="1" applyAlignment="1">
      <alignment horizontal="center"/>
    </xf>
    <xf numFmtId="0" fontId="29" fillId="26" borderId="0" xfId="0" applyFont="1" applyFill="1"/>
    <xf numFmtId="0" fontId="29" fillId="26" borderId="0" xfId="0" applyFont="1" applyFill="1" applyAlignment="1">
      <alignment horizontal="center"/>
    </xf>
    <xf numFmtId="0" fontId="0" fillId="25" borderId="40" xfId="0" applyFont="1" applyFill="1" applyBorder="1"/>
    <xf numFmtId="1" fontId="0" fillId="25" borderId="40" xfId="0" applyNumberFormat="1" applyFont="1" applyFill="1" applyBorder="1" applyAlignment="1">
      <alignment horizontal="center"/>
    </xf>
    <xf numFmtId="0" fontId="0" fillId="25" borderId="40" xfId="0" applyFont="1" applyFill="1" applyBorder="1" applyAlignment="1">
      <alignment horizontal="center"/>
    </xf>
    <xf numFmtId="1" fontId="29" fillId="26" borderId="40" xfId="0" applyNumberFormat="1" applyFont="1" applyFill="1" applyBorder="1" applyAlignment="1">
      <alignment horizontal="center"/>
    </xf>
    <xf numFmtId="0" fontId="45" fillId="0" borderId="0" xfId="0" applyFont="1" applyBorder="1" applyAlignment="1">
      <alignment horizontal="center"/>
    </xf>
    <xf numFmtId="0" fontId="20" fillId="27" borderId="0" xfId="0" applyFont="1" applyFill="1" applyBorder="1"/>
    <xf numFmtId="170" fontId="21" fillId="27" borderId="0" xfId="0" applyNumberFormat="1" applyFont="1" applyFill="1"/>
    <xf numFmtId="0" fontId="21" fillId="27" borderId="0" xfId="0" applyFont="1" applyFill="1" applyBorder="1"/>
    <xf numFmtId="166" fontId="21" fillId="27" borderId="0" xfId="0" applyNumberFormat="1" applyFont="1" applyFill="1" applyBorder="1"/>
    <xf numFmtId="0" fontId="22" fillId="27" borderId="0" xfId="0" applyFont="1" applyFill="1" applyBorder="1"/>
    <xf numFmtId="170" fontId="21" fillId="27" borderId="0" xfId="0" applyNumberFormat="1" applyFont="1" applyFill="1" applyBorder="1"/>
    <xf numFmtId="0" fontId="23" fillId="28" borderId="0" xfId="3" applyFont="1" applyFill="1" applyBorder="1"/>
    <xf numFmtId="170" fontId="23" fillId="28" borderId="0" xfId="3" applyNumberFormat="1" applyFont="1" applyFill="1" applyBorder="1"/>
    <xf numFmtId="0" fontId="46" fillId="0" borderId="0" xfId="0" applyFont="1" applyBorder="1" applyAlignment="1">
      <alignment horizontal="center"/>
    </xf>
    <xf numFmtId="0" fontId="47" fillId="0" borderId="0" xfId="0" applyFont="1" applyBorder="1" applyAlignment="1">
      <alignment horizontal="center"/>
    </xf>
    <xf numFmtId="0" fontId="22" fillId="29" borderId="0" xfId="0" applyFont="1" applyFill="1" applyBorder="1" applyAlignment="1">
      <alignment horizontal="left" indent="2"/>
    </xf>
    <xf numFmtId="170" fontId="20" fillId="29" borderId="0" xfId="0" applyNumberFormat="1" applyFont="1" applyFill="1" applyBorder="1"/>
    <xf numFmtId="0" fontId="23" fillId="28" borderId="0" xfId="3" applyFont="1" applyFill="1" applyBorder="1" applyAlignment="1">
      <alignment horizontal="center"/>
    </xf>
    <xf numFmtId="170" fontId="21" fillId="27" borderId="0" xfId="3" applyNumberFormat="1" applyFont="1" applyFill="1" applyBorder="1"/>
    <xf numFmtId="0" fontId="20" fillId="27" borderId="0" xfId="3" applyFont="1" applyFill="1" applyBorder="1" applyAlignment="1">
      <alignment horizontal="left"/>
    </xf>
    <xf numFmtId="0" fontId="21" fillId="27" borderId="0" xfId="3" applyFont="1" applyFill="1" applyBorder="1" applyAlignment="1">
      <alignment horizontal="left"/>
    </xf>
    <xf numFmtId="172" fontId="48" fillId="0" borderId="0" xfId="0" applyNumberFormat="1" applyFont="1"/>
    <xf numFmtId="0" fontId="48" fillId="0" borderId="0" xfId="0" applyFont="1"/>
    <xf numFmtId="2" fontId="48" fillId="0" borderId="0" xfId="0" applyNumberFormat="1" applyFont="1"/>
    <xf numFmtId="0" fontId="49" fillId="0" borderId="0" xfId="0" applyFont="1"/>
    <xf numFmtId="172" fontId="49" fillId="0" borderId="0" xfId="0" applyNumberFormat="1" applyFont="1"/>
    <xf numFmtId="2" fontId="49" fillId="0" borderId="0" xfId="0" applyNumberFormat="1" applyFont="1"/>
    <xf numFmtId="0" fontId="50" fillId="0" borderId="0" xfId="0" applyFont="1"/>
    <xf numFmtId="172" fontId="51" fillId="26" borderId="0" xfId="0" applyNumberFormat="1" applyFont="1" applyFill="1"/>
    <xf numFmtId="172" fontId="49" fillId="30" borderId="0" xfId="0" applyNumberFormat="1" applyFont="1" applyFill="1"/>
    <xf numFmtId="177" fontId="0" fillId="0" borderId="0" xfId="0" applyNumberFormat="1"/>
    <xf numFmtId="0" fontId="0" fillId="0" borderId="0" xfId="0" quotePrefix="1"/>
    <xf numFmtId="172" fontId="0" fillId="31" borderId="0" xfId="0" applyNumberFormat="1" applyFill="1"/>
    <xf numFmtId="10" fontId="3" fillId="7" borderId="0" xfId="5" applyNumberFormat="1" applyFont="1" applyFill="1"/>
    <xf numFmtId="1" fontId="0" fillId="0" borderId="0" xfId="0" applyNumberFormat="1" applyBorder="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1" fontId="52" fillId="0" borderId="0" xfId="0" applyNumberFormat="1" applyFont="1" applyBorder="1" applyAlignment="1">
      <alignment horizontal="center"/>
    </xf>
    <xf numFmtId="1" fontId="52" fillId="0" borderId="0" xfId="0" applyNumberFormat="1" applyFont="1" applyFill="1" applyAlignment="1">
      <alignment horizontal="center"/>
    </xf>
    <xf numFmtId="0" fontId="52" fillId="0" borderId="0" xfId="0" applyFont="1" applyAlignment="1">
      <alignment horizontal="center"/>
    </xf>
    <xf numFmtId="0" fontId="53" fillId="20" borderId="3" xfId="0" applyFont="1" applyFill="1" applyBorder="1" applyAlignment="1">
      <alignment horizontal="center"/>
    </xf>
    <xf numFmtId="0" fontId="54" fillId="0" borderId="0" xfId="0" applyFont="1"/>
    <xf numFmtId="0" fontId="55" fillId="10" borderId="24" xfId="0" applyFont="1" applyFill="1" applyBorder="1" applyAlignment="1">
      <alignment horizontal="center" vertical="center" wrapText="1"/>
    </xf>
    <xf numFmtId="10" fontId="28" fillId="0" borderId="0" xfId="5" applyNumberFormat="1" applyFont="1" applyFill="1"/>
    <xf numFmtId="10" fontId="0" fillId="0" borderId="0" xfId="0" applyNumberFormat="1" applyFill="1"/>
    <xf numFmtId="0" fontId="0" fillId="32" borderId="0" xfId="0" applyFill="1"/>
    <xf numFmtId="0" fontId="17" fillId="0" borderId="0" xfId="0" applyFont="1" applyAlignment="1">
      <alignment horizontal="center" wrapText="1"/>
    </xf>
    <xf numFmtId="0" fontId="42" fillId="27" borderId="3" xfId="0" applyFont="1" applyFill="1" applyBorder="1" applyAlignment="1">
      <alignment horizontal="center"/>
    </xf>
    <xf numFmtId="0" fontId="27" fillId="27" borderId="3" xfId="0" applyFont="1" applyFill="1" applyBorder="1" applyAlignment="1">
      <alignment horizontal="center"/>
    </xf>
    <xf numFmtId="2" fontId="42" fillId="33" borderId="3" xfId="0" applyNumberFormat="1" applyFont="1" applyFill="1" applyBorder="1" applyAlignment="1">
      <alignment horizontal="center"/>
    </xf>
    <xf numFmtId="0" fontId="14" fillId="34" borderId="0" xfId="0" applyFont="1" applyFill="1" applyBorder="1"/>
    <xf numFmtId="170" fontId="14" fillId="34" borderId="0" xfId="0" applyNumberFormat="1" applyFont="1" applyFill="1" applyBorder="1"/>
    <xf numFmtId="166" fontId="15" fillId="34" borderId="0" xfId="4" applyFont="1" applyFill="1" applyBorder="1"/>
    <xf numFmtId="0" fontId="56" fillId="34" borderId="0" xfId="0" applyFont="1" applyFill="1" applyBorder="1"/>
    <xf numFmtId="0" fontId="57" fillId="34" borderId="0" xfId="0" applyFont="1" applyFill="1" applyBorder="1"/>
    <xf numFmtId="0" fontId="58" fillId="34" borderId="0" xfId="0" applyFont="1" applyFill="1" applyBorder="1"/>
    <xf numFmtId="170" fontId="59" fillId="34" borderId="0" xfId="0" applyNumberFormat="1" applyFont="1" applyFill="1"/>
    <xf numFmtId="0" fontId="24" fillId="34" borderId="0" xfId="0" applyFont="1" applyFill="1" applyBorder="1"/>
    <xf numFmtId="166" fontId="24" fillId="34" borderId="0" xfId="0" applyNumberFormat="1" applyFont="1" applyFill="1" applyBorder="1"/>
    <xf numFmtId="172" fontId="14" fillId="34" borderId="0" xfId="0" applyNumberFormat="1" applyFont="1" applyFill="1" applyBorder="1"/>
    <xf numFmtId="170" fontId="14" fillId="34" borderId="0" xfId="0" applyNumberFormat="1" applyFont="1" applyFill="1"/>
    <xf numFmtId="170" fontId="14" fillId="34" borderId="0" xfId="4" applyNumberFormat="1" applyFont="1" applyFill="1" applyBorder="1"/>
    <xf numFmtId="166" fontId="57" fillId="34" borderId="0" xfId="4" applyFont="1" applyFill="1" applyBorder="1"/>
    <xf numFmtId="10" fontId="57" fillId="34" borderId="0" xfId="5" applyNumberFormat="1" applyFont="1" applyFill="1" applyBorder="1"/>
    <xf numFmtId="2" fontId="57" fillId="34" borderId="0" xfId="4" applyNumberFormat="1" applyFont="1" applyFill="1" applyBorder="1"/>
    <xf numFmtId="170" fontId="57" fillId="34" borderId="0" xfId="0" applyNumberFormat="1" applyFont="1" applyFill="1" applyBorder="1"/>
    <xf numFmtId="10" fontId="57" fillId="34" borderId="0" xfId="4" applyNumberFormat="1" applyFont="1" applyFill="1" applyBorder="1"/>
    <xf numFmtId="170" fontId="57" fillId="34" borderId="0" xfId="0" applyNumberFormat="1" applyFont="1" applyFill="1"/>
    <xf numFmtId="170" fontId="57" fillId="34" borderId="0" xfId="4" applyNumberFormat="1" applyFont="1" applyFill="1" applyBorder="1"/>
    <xf numFmtId="166" fontId="58" fillId="34" borderId="0" xfId="0" applyNumberFormat="1" applyFont="1" applyFill="1" applyBorder="1"/>
    <xf numFmtId="0" fontId="32" fillId="24" borderId="3" xfId="0" applyFont="1" applyFill="1" applyBorder="1" applyAlignment="1">
      <alignment horizontal="center"/>
    </xf>
    <xf numFmtId="2" fontId="42" fillId="0" borderId="0" xfId="0" applyNumberFormat="1" applyFont="1"/>
    <xf numFmtId="0" fontId="42" fillId="24" borderId="0" xfId="0" applyFont="1" applyFill="1"/>
    <xf numFmtId="0" fontId="60" fillId="24" borderId="0" xfId="0" applyFont="1" applyFill="1"/>
    <xf numFmtId="1" fontId="60" fillId="24" borderId="0" xfId="0" applyNumberFormat="1" applyFont="1" applyFill="1"/>
    <xf numFmtId="0" fontId="61" fillId="24" borderId="0" xfId="0" applyFont="1" applyFill="1" applyAlignment="1">
      <alignment horizontal="center"/>
    </xf>
    <xf numFmtId="0" fontId="62" fillId="24" borderId="0" xfId="0" applyFont="1" applyFill="1"/>
    <xf numFmtId="0" fontId="62" fillId="0" borderId="0" xfId="0" applyFont="1" applyAlignment="1">
      <alignment horizontal="center"/>
    </xf>
    <xf numFmtId="172" fontId="0" fillId="24" borderId="3" xfId="0" applyNumberFormat="1" applyFill="1" applyBorder="1" applyAlignment="1">
      <alignment horizontal="center"/>
    </xf>
    <xf numFmtId="172" fontId="0" fillId="24" borderId="3" xfId="0" applyNumberFormat="1" applyFill="1" applyBorder="1"/>
    <xf numFmtId="0" fontId="31" fillId="24" borderId="3" xfId="0" applyFont="1" applyFill="1" applyBorder="1" applyAlignment="1">
      <alignment horizontal="center"/>
    </xf>
    <xf numFmtId="0" fontId="31" fillId="24" borderId="18" xfId="0" applyFont="1" applyFill="1" applyBorder="1" applyAlignment="1">
      <alignment horizontal="center"/>
    </xf>
    <xf numFmtId="0" fontId="32" fillId="0" borderId="0" xfId="0" applyFont="1" applyAlignment="1">
      <alignment horizontal="center"/>
    </xf>
    <xf numFmtId="178" fontId="0" fillId="0" borderId="3" xfId="0" applyNumberFormat="1" applyBorder="1"/>
    <xf numFmtId="0" fontId="42" fillId="0" borderId="0" xfId="0" applyFont="1" applyAlignment="1">
      <alignment horizontal="center"/>
    </xf>
    <xf numFmtId="0" fontId="63" fillId="0" borderId="0" xfId="0" applyFont="1"/>
    <xf numFmtId="0" fontId="0" fillId="24" borderId="0" xfId="0" applyFill="1"/>
    <xf numFmtId="2" fontId="42" fillId="24" borderId="0" xfId="0" applyNumberFormat="1" applyFont="1" applyFill="1"/>
    <xf numFmtId="0" fontId="32" fillId="0" borderId="41" xfId="0" applyFont="1" applyBorder="1" applyAlignment="1">
      <alignment horizontal="center"/>
    </xf>
    <xf numFmtId="0" fontId="32" fillId="0" borderId="42" xfId="0" applyFont="1" applyBorder="1" applyAlignment="1">
      <alignment horizontal="center"/>
    </xf>
    <xf numFmtId="0" fontId="38" fillId="12" borderId="3" xfId="0" applyFont="1" applyFill="1" applyBorder="1" applyAlignment="1">
      <alignment horizontal="center"/>
    </xf>
    <xf numFmtId="0" fontId="32" fillId="0" borderId="0" xfId="0" applyFont="1" applyBorder="1" applyAlignment="1">
      <alignment horizontal="center"/>
    </xf>
    <xf numFmtId="0" fontId="32" fillId="23" borderId="3" xfId="0" applyFont="1" applyFill="1" applyBorder="1" applyAlignment="1">
      <alignment horizontal="center" vertical="center" wrapText="1" shrinkToFit="1"/>
    </xf>
    <xf numFmtId="0" fontId="32" fillId="24" borderId="0" xfId="0" applyFont="1" applyFill="1" applyAlignment="1">
      <alignment horizontal="center"/>
    </xf>
    <xf numFmtId="0" fontId="32" fillId="24" borderId="3" xfId="0" applyFont="1" applyFill="1" applyBorder="1" applyAlignment="1">
      <alignment horizontal="center"/>
    </xf>
    <xf numFmtId="174" fontId="0" fillId="0" borderId="0" xfId="0" applyNumberFormat="1" applyFill="1" applyBorder="1" applyAlignment="1">
      <alignment horizontal="center"/>
    </xf>
    <xf numFmtId="0" fontId="33" fillId="0" borderId="0" xfId="0" applyFont="1" applyFill="1" applyBorder="1" applyAlignment="1">
      <alignment horizontal="center" vertical="center" wrapText="1" shrinkToFit="1"/>
    </xf>
    <xf numFmtId="0" fontId="64" fillId="0" borderId="0" xfId="0" applyFont="1" applyAlignment="1">
      <alignment horizontal="center"/>
    </xf>
    <xf numFmtId="0" fontId="19" fillId="0" borderId="0" xfId="0" applyFont="1" applyAlignment="1">
      <alignment horizontal="center"/>
    </xf>
    <xf numFmtId="0" fontId="13" fillId="0" borderId="0" xfId="0" applyFont="1" applyAlignment="1">
      <alignment horizontal="center"/>
    </xf>
    <xf numFmtId="0" fontId="65" fillId="35" borderId="3" xfId="0" applyFont="1" applyFill="1" applyBorder="1" applyAlignment="1">
      <alignment horizontal="center" vertical="justify" wrapText="1"/>
    </xf>
    <xf numFmtId="0" fontId="25" fillId="0" borderId="0" xfId="0" applyFont="1" applyAlignment="1">
      <alignment horizontal="center" wrapText="1"/>
    </xf>
    <xf numFmtId="0" fontId="26" fillId="0" borderId="0" xfId="0" applyFont="1" applyAlignment="1">
      <alignment horizontal="center" wrapText="1"/>
    </xf>
    <xf numFmtId="0" fontId="66" fillId="35" borderId="0" xfId="0" applyFont="1" applyFill="1" applyAlignment="1">
      <alignment horizontal="center"/>
    </xf>
  </cellXfs>
  <cellStyles count="6">
    <cellStyle name="Celda de comprobación" xfId="1" builtinId="23"/>
    <cellStyle name="Énfasis2" xfId="2" builtinId="33"/>
    <cellStyle name="Énfasis3" xfId="3" builtinId="37"/>
    <cellStyle name="Moneda" xfId="4" builtinId="4"/>
    <cellStyle name="Normal" xfId="0" builtinId="0"/>
    <cellStyle name="Porcentual" xfId="5" builtinId="5"/>
  </cellStyles>
  <dxfs count="160">
    <dxf>
      <font>
        <b val="0"/>
        <i val="0"/>
        <strike val="0"/>
        <condense val="0"/>
        <extend val="0"/>
        <outline val="0"/>
        <shadow val="0"/>
        <u val="none"/>
        <vertAlign val="baseline"/>
        <sz val="12"/>
        <color rgb="FF000000"/>
        <name val="Calibri"/>
        <scheme val="none"/>
      </font>
      <alignment vertical="top" textRotation="0" wrapText="0" indent="0" relativeIndent="0" justifyLastLine="0" shrinkToFit="0" readingOrder="0"/>
    </dxf>
    <dxf>
      <font>
        <b/>
        <i val="0"/>
        <strike val="0"/>
        <condense val="0"/>
        <extend val="0"/>
        <outline val="0"/>
        <shadow val="0"/>
        <u val="none"/>
        <vertAlign val="baseline"/>
        <sz val="12"/>
        <color theme="0"/>
        <name val="Calibri"/>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theme="0"/>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9"/>
        <name val="Calibri"/>
        <scheme val="none"/>
      </font>
    </dxf>
    <dxf>
      <font>
        <b val="0"/>
        <i val="0"/>
        <strike val="0"/>
        <condense val="0"/>
        <extend val="0"/>
        <outline val="0"/>
        <shadow val="0"/>
        <u val="none"/>
        <vertAlign val="baseline"/>
        <sz val="12"/>
        <color indexed="9"/>
        <name val="Calibri"/>
        <scheme val="none"/>
      </font>
      <border diagonalUp="0" diagonalDown="0" outline="0">
        <left/>
        <right/>
        <top/>
        <bottom/>
      </border>
    </dxf>
    <dxf>
      <font>
        <b val="0"/>
        <i val="0"/>
        <strike val="0"/>
        <condense val="0"/>
        <extend val="0"/>
        <outline val="0"/>
        <shadow val="0"/>
        <u val="none"/>
        <vertAlign val="baseline"/>
        <sz val="12"/>
        <color indexed="8"/>
        <name val="Calibri"/>
        <scheme val="none"/>
      </font>
    </dxf>
    <dxf>
      <font>
        <b val="0"/>
        <i val="0"/>
        <strike val="0"/>
        <condense val="0"/>
        <extend val="0"/>
        <outline val="0"/>
        <shadow val="0"/>
        <u val="none"/>
        <vertAlign val="baseline"/>
        <sz val="12"/>
        <color indexed="8"/>
        <name val="Calibri"/>
        <scheme val="none"/>
      </font>
      <border diagonalUp="0" diagonalDown="0" outline="0">
        <left/>
        <right/>
        <top/>
        <bottom/>
      </border>
    </dxf>
    <dxf>
      <font>
        <b val="0"/>
        <i val="0"/>
        <strike val="0"/>
        <condense val="0"/>
        <extend val="0"/>
        <outline val="0"/>
        <shadow val="0"/>
        <u val="none"/>
        <vertAlign val="baseline"/>
        <sz val="18"/>
        <color rgb="FF000000"/>
        <name val="Calibri"/>
        <scheme val="none"/>
      </font>
      <fill>
        <patternFill>
          <fgColor rgb="FF000000"/>
          <bgColor rgb="FF8DB4E3"/>
        </patternFill>
      </fill>
    </dxf>
    <dxf>
      <font>
        <b/>
        <i/>
        <strike val="0"/>
        <condense val="0"/>
        <extend val="0"/>
        <outline val="0"/>
        <shadow val="0"/>
        <u val="none"/>
        <vertAlign val="baseline"/>
        <sz val="18"/>
        <color theme="0"/>
        <name val="Calibri"/>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fill>
        <patternFill>
          <fgColor indexed="64"/>
          <bgColor theme="3" tint="0.59999389629810485"/>
        </patternFill>
      </fill>
    </dxf>
    <dxf>
      <font>
        <b val="0"/>
        <i val="0"/>
        <strike val="0"/>
        <condense val="0"/>
        <extend val="0"/>
        <outline val="0"/>
        <shadow val="0"/>
        <u val="none"/>
        <vertAlign val="baseline"/>
        <sz val="12"/>
        <color indexed="8"/>
        <name val="Calibri"/>
        <scheme val="none"/>
      </font>
      <alignment vertical="top" textRotation="0" wrapText="0" indent="0" relativeIndent="0" justifyLastLine="0" shrinkToFit="0" readingOrder="0"/>
    </dxf>
    <dxf>
      <font>
        <b/>
        <i val="0"/>
        <strike val="0"/>
        <condense val="0"/>
        <extend val="0"/>
        <outline val="0"/>
        <shadow val="0"/>
        <u val="none"/>
        <vertAlign val="baseline"/>
        <sz val="12"/>
        <color theme="0"/>
        <name val="Calibri"/>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9"/>
        <name val="Calibri"/>
        <scheme val="none"/>
      </font>
    </dxf>
    <dxf>
      <font>
        <b val="0"/>
        <i val="0"/>
        <strike val="0"/>
        <condense val="0"/>
        <extend val="0"/>
        <outline val="0"/>
        <shadow val="0"/>
        <u val="none"/>
        <vertAlign val="baseline"/>
        <sz val="12"/>
        <color indexed="8"/>
        <name val="Calibri"/>
        <scheme val="none"/>
      </font>
    </dxf>
    <dxf>
      <font>
        <b val="0"/>
        <i val="0"/>
        <strike val="0"/>
        <condense val="0"/>
        <extend val="0"/>
        <outline val="0"/>
        <shadow val="0"/>
        <u val="none"/>
        <vertAlign val="baseline"/>
        <sz val="12"/>
        <color indexed="8"/>
        <name val="Calibri"/>
        <scheme val="none"/>
      </font>
      <alignment vertical="top" textRotation="0" wrapText="0" indent="0" relativeIndent="0" justifyLastLine="0" shrinkToFit="0" readingOrder="0"/>
    </dxf>
    <dxf>
      <font>
        <b/>
        <i val="0"/>
        <strike val="0"/>
        <condense val="0"/>
        <extend val="0"/>
        <outline val="0"/>
        <shadow val="0"/>
        <u val="none"/>
        <vertAlign val="baseline"/>
        <sz val="12"/>
        <color theme="0"/>
        <name val="Calibri"/>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8"/>
        <name val="Calibri"/>
        <scheme val="none"/>
      </font>
      <numFmt numFmtId="170" formatCode="_ [$$-300A]\ * #,##0.00_ ;_ [$$-300A]\ * \-#,##0.00_ ;_ [$$-300A]\ * &quot;-&quot;??_ ;_ @_ "/>
    </dxf>
    <dxf>
      <font>
        <b val="0"/>
        <i val="0"/>
        <strike val="0"/>
        <condense val="0"/>
        <extend val="0"/>
        <outline val="0"/>
        <shadow val="0"/>
        <u val="none"/>
        <vertAlign val="baseline"/>
        <sz val="12"/>
        <color indexed="8"/>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theme="0"/>
        <name val="Calibri"/>
        <scheme val="none"/>
      </font>
      <numFmt numFmtId="170" formatCode="_ [$$-300A]\ * #,##0.00_ ;_ [$$-300A]\ * \-#,##0.00_ ;_ [$$-300A]\ * &quot;-&quot;??_ ;_ @_ "/>
      <border diagonalUp="0" diagonalDown="0" outline="0">
        <left/>
        <right/>
        <top/>
        <bottom/>
      </border>
    </dxf>
    <dxf>
      <font>
        <b val="0"/>
        <i val="0"/>
        <strike val="0"/>
        <condense val="0"/>
        <extend val="0"/>
        <outline val="0"/>
        <shadow val="0"/>
        <u val="none"/>
        <vertAlign val="baseline"/>
        <sz val="12"/>
        <color indexed="9"/>
        <name val="Calibri"/>
        <scheme val="none"/>
      </font>
    </dxf>
    <dxf>
      <font>
        <b val="0"/>
        <i val="0"/>
        <strike val="0"/>
        <condense val="0"/>
        <extend val="0"/>
        <outline val="0"/>
        <shadow val="0"/>
        <u val="none"/>
        <vertAlign val="baseline"/>
        <sz val="12"/>
        <color indexed="9"/>
        <name val="Calibri"/>
        <scheme val="none"/>
      </font>
      <border diagonalUp="0" diagonalDown="0" outline="0">
        <left/>
        <right/>
        <top/>
        <bottom/>
      </border>
    </dxf>
    <dxf>
      <font>
        <b val="0"/>
        <i val="0"/>
        <strike val="0"/>
        <condense val="0"/>
        <extend val="0"/>
        <outline val="0"/>
        <shadow val="0"/>
        <u val="none"/>
        <vertAlign val="baseline"/>
        <sz val="12"/>
        <color indexed="8"/>
        <name val="Calibri"/>
        <scheme val="none"/>
      </font>
    </dxf>
    <dxf>
      <font>
        <b val="0"/>
        <i val="0"/>
        <strike val="0"/>
        <condense val="0"/>
        <extend val="0"/>
        <outline val="0"/>
        <shadow val="0"/>
        <u val="none"/>
        <vertAlign val="baseline"/>
        <sz val="12"/>
        <color indexed="8"/>
        <name val="Calibri"/>
        <scheme val="none"/>
      </font>
      <border diagonalUp="0" diagonalDown="0" outline="0">
        <left/>
        <right/>
        <top/>
        <bottom/>
      </border>
    </dxf>
    <dxf>
      <font>
        <b val="0"/>
        <i val="0"/>
        <strike val="0"/>
        <condense val="0"/>
        <extend val="0"/>
        <outline val="0"/>
        <shadow val="0"/>
        <u val="none"/>
        <vertAlign val="baseline"/>
        <sz val="18"/>
        <color rgb="FF000000"/>
        <name val="Calibri"/>
        <scheme val="none"/>
      </font>
      <fill>
        <patternFill>
          <fgColor indexed="64"/>
          <bgColor theme="3" tint="0.59999389629810485"/>
        </patternFill>
      </fill>
    </dxf>
    <dxf>
      <font>
        <b/>
        <i val="0"/>
        <strike val="0"/>
        <condense val="0"/>
        <extend val="0"/>
        <outline val="0"/>
        <shadow val="0"/>
        <u val="none"/>
        <vertAlign val="baseline"/>
        <sz val="18"/>
        <color theme="0"/>
        <name val="Calibri"/>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numFmt numFmtId="170" formatCode="_ [$$-300A]\ * #,##0.00_ ;_ [$$-300A]\ * \-#,##0.00_ ;_ [$$-300A]\ * &quot;-&quot;??_ ;_ @_ "/>
      <fill>
        <patternFill>
          <fgColor indexed="64"/>
          <bgColor theme="3" tint="0.59999389629810485"/>
        </patternFill>
      </fill>
    </dxf>
    <dxf>
      <font>
        <b val="0"/>
        <i val="0"/>
        <strike val="0"/>
        <condense val="0"/>
        <extend val="0"/>
        <outline val="0"/>
        <shadow val="0"/>
        <u val="none"/>
        <vertAlign val="baseline"/>
        <sz val="18"/>
        <color indexed="8"/>
        <name val="Calibri"/>
        <scheme val="none"/>
      </font>
      <fill>
        <patternFill>
          <fgColor indexed="64"/>
          <bgColor theme="3" tint="0.59999389629810485"/>
        </patternFill>
      </fill>
    </dxf>
    <dxf>
      <font>
        <b/>
        <i val="0"/>
        <strike val="0"/>
        <condense val="0"/>
        <extend val="0"/>
        <outline val="0"/>
        <shadow val="0"/>
        <u val="none"/>
        <vertAlign val="baseline"/>
        <sz val="12"/>
        <color indexed="9"/>
        <name val="Calibri"/>
        <scheme val="none"/>
      </font>
      <alignment horizontal="center" vertical="bottom" textRotation="0" wrapText="0" indent="0" relativeIndent="0" justifyLastLine="0" shrinkToFit="0" mergeCell="0" readingOrder="0"/>
    </dxf>
    <dxf>
      <numFmt numFmtId="35" formatCode="_-* #,##0.00\ _€_-;\-* #,##0.00\ _€_-;_-* &quot;-&quot;??\ _€_-;_-@_-"/>
    </dxf>
    <dxf>
      <numFmt numFmtId="35" formatCode="_-* #,##0.00\ _€_-;\-* #,##0.00\ _€_-;_-* &quot;-&quot;??\ _€_-;_-@_-"/>
    </dxf>
    <dxf>
      <numFmt numFmtId="35" formatCode="_-* #,##0.00\ _€_-;\-* #,##0.00\ _€_-;_-* &quot;-&quot;??\ _€_-;_-@_-"/>
    </dxf>
    <dxf>
      <numFmt numFmtId="35" formatCode="_-* #,##0.00\ _€_-;\-* #,##0.00\ _€_-;_-* &quot;-&quot;??\ _€_-;_-@_-"/>
      <fill>
        <patternFill patternType="none">
          <fgColor indexed="64"/>
          <bgColor indexed="65"/>
        </patternFill>
      </fill>
    </dxf>
    <dxf>
      <numFmt numFmtId="35" formatCode="_-* #,##0.00\ _€_-;\-* #,##0.00\ _€_-;_-* &quot;-&quot;??\ _€_-;_-@_-"/>
      <fill>
        <patternFill patternType="none">
          <fgColor indexed="64"/>
          <bgColor indexed="65"/>
        </patternFill>
      </fill>
    </dxf>
    <dxf>
      <numFmt numFmtId="166" formatCode="_(&quot;$&quot;\ * #,##0.00_);_(&quot;$&quot;\ * \(#,##0.00\);_(&quot;$&quot;\ * &quot;-&quot;??_);_(@_)"/>
    </dxf>
    <dxf>
      <numFmt numFmtId="165" formatCode="&quot;$&quot;\ #,##0.00_);[Red]\(&quot;$&quot;\ #,##0.00\)"/>
    </dxf>
    <dxf>
      <numFmt numFmtId="165" formatCode="&quot;$&quot;\ #,##0.00_);[Red]\(&quot;$&quot;\ #,##0.00\)"/>
    </dxf>
    <dxf>
      <border outline="0">
        <bottom style="thin">
          <color indexed="64"/>
        </bottom>
      </border>
    </dxf>
    <dxf>
      <font>
        <strike val="0"/>
        <outline val="0"/>
        <shadow val="0"/>
        <u val="none"/>
        <vertAlign val="baseline"/>
        <color theme="0"/>
        <name val="Calibri"/>
        <scheme val="none"/>
      </font>
    </dxf>
    <dxf>
      <font>
        <strike val="0"/>
        <outline val="0"/>
        <shadow val="0"/>
        <u val="none"/>
        <vertAlign val="baseline"/>
        <color theme="0"/>
        <name val="Calibri"/>
        <scheme val="none"/>
      </font>
    </dxf>
    <dxf>
      <font>
        <strike val="0"/>
        <outline val="0"/>
        <shadow val="0"/>
        <u val="none"/>
        <vertAlign val="baseline"/>
        <color theme="0"/>
        <name val="Calibri"/>
        <scheme val="none"/>
      </font>
    </dxf>
    <dxf>
      <font>
        <b val="0"/>
        <i val="0"/>
        <strike val="0"/>
        <condense val="0"/>
        <extend val="0"/>
        <outline val="0"/>
        <shadow val="0"/>
        <u val="none"/>
        <vertAlign val="baseline"/>
        <sz val="12"/>
        <color theme="0"/>
        <name val="Calibri"/>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dxf>
    <dxf>
      <font>
        <b/>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val="0"/>
        <i val="0"/>
        <strike val="0"/>
        <condense val="0"/>
        <extend val="0"/>
        <outline val="0"/>
        <shadow val="0"/>
        <u val="none"/>
        <vertAlign val="baseline"/>
        <sz val="11"/>
        <color indexed="8"/>
        <name val="Calibri"/>
        <scheme val="none"/>
      </font>
    </dxf>
    <dxf>
      <font>
        <b/>
        <i val="0"/>
        <strike val="0"/>
        <condense val="0"/>
        <extend val="0"/>
        <outline val="0"/>
        <shadow val="0"/>
        <u val="none"/>
        <vertAlign val="baseline"/>
        <sz val="11"/>
        <color indexed="8"/>
        <name val="Calibri"/>
        <scheme val="none"/>
      </font>
    </dxf>
    <dxf>
      <numFmt numFmtId="166" formatCode="_(&quot;$&quot;\ * #,##0.00_);_(&quot;$&quot;\ * \(#,##0.00\);_(&quot;$&quot;\ * &quot;-&quot;??_);_(@_)"/>
    </dxf>
    <dxf>
      <border>
        <top style="thin">
          <color indexed="64"/>
        </top>
      </border>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1"/>
        <color auto="1"/>
        <name val="Calibri"/>
        <scheme val="none"/>
      </font>
    </dxf>
    <dxf>
      <font>
        <strike val="0"/>
        <outline val="0"/>
        <shadow val="0"/>
        <u val="none"/>
        <vertAlign val="baseline"/>
        <sz val="11"/>
        <color auto="1"/>
        <name val="Calibri"/>
        <scheme val="none"/>
      </font>
      <border diagonalUp="0" diagonalDown="0">
        <left style="thin">
          <color indexed="64"/>
        </left>
        <right style="thin">
          <color indexed="64"/>
        </right>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outline="0">
        <left style="thin">
          <color indexed="64"/>
        </left>
        <right style="thin">
          <color indexed="64"/>
        </right>
        <top/>
        <bottom/>
      </border>
    </dxf>
    <dxf>
      <font>
        <strike val="0"/>
        <outline val="0"/>
        <shadow val="0"/>
        <u val="none"/>
        <vertAlign val="baseline"/>
        <sz val="11"/>
        <color auto="1"/>
        <name val="Calibri"/>
        <scheme val="none"/>
      </font>
      <numFmt numFmtId="170" formatCode="_ [$$-300A]\ * #,##0.00_ ;_ [$$-300A]\ * \-#,##0.00_ ;_ [$$-300A]\ * &quot;-&quot;??_ ;_ @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170" formatCode="_ [$$-300A]\ * #,##0.00_ ;_ [$$-300A]\ * \-#,##0.00_ ;_ [$$-300A]\ * &quot;-&quot;??_ ;_ @_ "/>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indexed="8"/>
        <name val="Calibri"/>
        <scheme val="none"/>
      </font>
    </dxf>
    <dxf>
      <font>
        <strike val="0"/>
        <outline val="0"/>
        <shadow val="0"/>
        <u val="none"/>
        <vertAlign val="baseline"/>
        <sz val="11"/>
        <color auto="1"/>
        <name val="Calibri"/>
        <scheme val="none"/>
      </font>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font>
        <b/>
        <i val="0"/>
        <strike val="0"/>
        <outline val="0"/>
        <shadow val="0"/>
        <u val="none"/>
        <vertAlign val="baseline"/>
        <sz val="11"/>
        <color auto="1"/>
        <name val="Calibri"/>
        <scheme val="none"/>
      </font>
    </dxf>
    <dxf>
      <numFmt numFmtId="170" formatCode="_ [$$-300A]\ * #,##0.00_ ;_ [$$-300A]\ * \-#,##0.00_ ;_ [$$-300A]\ * &quot;-&quot;??_ ;_ @_ "/>
      <border diagonalUp="0" diagonalDown="0">
        <left style="thin">
          <color indexed="64"/>
        </left>
        <right/>
        <top style="thin">
          <color indexed="64"/>
        </top>
        <bottom style="thin">
          <color indexed="64"/>
        </bottom>
      </border>
    </dxf>
    <dxf>
      <numFmt numFmtId="170" formatCode="_ [$$-300A]\ * #,##0.00_ ;_ [$$-300A]\ * \-#,##0.00_ ;_ [$$-300A]\ * &quot;-&quot;??_ ;_ @_ "/>
      <border diagonalUp="0" diagonalDown="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pia%20de%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personal\Escritorio\Fwd_%20Re_%20asunto%20tesis\Inversion%20del%20parque%20FORES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puestos"/>
      <sheetName val="Flujo de Caja"/>
      <sheetName val="Demanda"/>
      <sheetName val="Ingreso Esperado"/>
      <sheetName val="Inversion"/>
      <sheetName val="C.O."/>
      <sheetName val="C.N.O."/>
      <sheetName val="Capital de trabajo "/>
      <sheetName val="Rol de Pagos"/>
      <sheetName val="Depreciación "/>
      <sheetName val="Préstamo"/>
      <sheetName val="Costo de Capital"/>
    </sheetNames>
    <sheetDataSet>
      <sheetData sheetId="0">
        <row r="45">
          <cell r="B45">
            <v>0.25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puestos "/>
      <sheetName val="Inversion "/>
      <sheetName val="CNO"/>
      <sheetName val="CO"/>
      <sheetName val="Cap Trab"/>
      <sheetName val="Prestamo"/>
      <sheetName val="Dep"/>
      <sheetName val="Rol de pagos "/>
      <sheetName val="Costo de Capital "/>
      <sheetName val="Ingresos"/>
      <sheetName val="Demanda"/>
      <sheetName val="FC Inv"/>
      <sheetName val="P&amp;G"/>
      <sheetName val="BG"/>
    </sheetNames>
    <sheetDataSet>
      <sheetData sheetId="0"/>
      <sheetData sheetId="1"/>
      <sheetData sheetId="2"/>
      <sheetData sheetId="3"/>
      <sheetData sheetId="4"/>
      <sheetData sheetId="5">
        <row r="6">
          <cell r="N6">
            <v>549070.87611634715</v>
          </cell>
          <cell r="O6">
            <v>511910.36936665594</v>
          </cell>
          <cell r="P6">
            <v>470290.6018070018</v>
          </cell>
          <cell r="Q6">
            <v>423676.46214018919</v>
          </cell>
          <cell r="R6">
            <v>371468.62571335898</v>
          </cell>
          <cell r="S6">
            <v>312995.84891530918</v>
          </cell>
          <cell r="T6">
            <v>247506.33890149338</v>
          </cell>
          <cell r="U6">
            <v>174158.08768601966</v>
          </cell>
          <cell r="V6">
            <v>92008.046324689101</v>
          </cell>
        </row>
      </sheetData>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4" name="Tabla3" displayName="Tabla3" ref="A5:C12" totalsRowShown="0" headerRowDxfId="156" headerRowBorderDxfId="155" totalsRowBorderDxfId="154">
  <tableColumns count="3">
    <tableColumn id="1" name="ALMUERZO DEL PERSONAL " dataDxfId="159"/>
    <tableColumn id="2" name="Valor Unitario " dataDxfId="158"/>
    <tableColumn id="4" name="Numero de Guías" dataDxfId="157"/>
  </tableColumns>
  <tableStyleInfo showFirstColumn="0" showLastColumn="0" showRowStripes="1" showColumnStripes="0"/>
</table>
</file>

<file path=xl/tables/table10.xml><?xml version="1.0" encoding="utf-8"?>
<table xmlns="http://schemas.openxmlformats.org/spreadsheetml/2006/main" id="85" name="Tabla186" displayName="Tabla186" ref="A3:L23" totalsRowShown="0" headerRowDxfId="39" dataDxfId="38">
  <tableColumns count="12">
    <tableColumn id="1" name="AÑO" dataDxfId="51"/>
    <tableColumn id="2" name="0" dataDxfId="50" dataCellStyle="Moneda"/>
    <tableColumn id="3" name="1" dataDxfId="49"/>
    <tableColumn id="4" name="2" dataDxfId="48"/>
    <tableColumn id="5" name="3" dataDxfId="47"/>
    <tableColumn id="6" name="4" dataDxfId="46"/>
    <tableColumn id="7" name="5" dataDxfId="45"/>
    <tableColumn id="8" name="6" dataDxfId="44"/>
    <tableColumn id="9" name="7" dataDxfId="43"/>
    <tableColumn id="10" name="8" dataDxfId="42"/>
    <tableColumn id="11" name="9" dataDxfId="41"/>
    <tableColumn id="12" name="10" dataDxfId="40"/>
  </tableColumns>
  <tableStyleInfo name="TableStyleDark1" showFirstColumn="0" showLastColumn="0" showRowStripes="0" showColumnStripes="0"/>
</table>
</file>

<file path=xl/tables/table11.xml><?xml version="1.0" encoding="utf-8"?>
<table xmlns="http://schemas.openxmlformats.org/spreadsheetml/2006/main" id="8" name="Tabla17071" displayName="Tabla17071" ref="A4:K29" totalsRowShown="0" headerRowDxfId="26" dataDxfId="25">
  <tableColumns count="11">
    <tableColumn id="1" name="AÑO" dataDxfId="37"/>
    <tableColumn id="3" name="1" dataDxfId="36"/>
    <tableColumn id="4" name="2" dataDxfId="35"/>
    <tableColumn id="5" name="3" dataDxfId="34"/>
    <tableColumn id="6" name="4" dataDxfId="33"/>
    <tableColumn id="7" name="5" dataDxfId="32"/>
    <tableColumn id="8" name="6" dataDxfId="31"/>
    <tableColumn id="9" name="7" dataDxfId="30"/>
    <tableColumn id="10" name="8" dataDxfId="29"/>
    <tableColumn id="11" name="9" dataDxfId="28"/>
    <tableColumn id="12" name="10" dataDxfId="27"/>
  </tableColumns>
  <tableStyleInfo name="TableStyleDark1" showFirstColumn="0" showLastColumn="0" showRowStripes="0" showColumnStripes="0"/>
</table>
</file>

<file path=xl/tables/table12.xml><?xml version="1.0" encoding="utf-8"?>
<table xmlns="http://schemas.openxmlformats.org/spreadsheetml/2006/main" id="9" name="Tabla110" displayName="Tabla110" ref="A21:L44" totalsRowShown="0" headerRowDxfId="1" dataDxfId="0">
  <tableColumns count="12">
    <tableColumn id="1" name="AÑO" dataDxfId="23" totalsRowDxfId="24"/>
    <tableColumn id="2" name="0" dataDxfId="21" totalsRowDxfId="22" dataCellStyle="Moneda"/>
    <tableColumn id="3" name="1" totalsRowDxfId="20"/>
    <tableColumn id="4" name="2" dataDxfId="18" totalsRowDxfId="19"/>
    <tableColumn id="5" name="3" dataDxfId="16" totalsRowDxfId="17"/>
    <tableColumn id="6" name="4" dataDxfId="14" totalsRowDxfId="15"/>
    <tableColumn id="7" name="5" dataDxfId="12" totalsRowDxfId="13"/>
    <tableColumn id="8" name="6" dataDxfId="10" totalsRowDxfId="11"/>
    <tableColumn id="9" name="7" dataDxfId="8" totalsRowDxfId="9"/>
    <tableColumn id="10" name="8" dataDxfId="6" totalsRowDxfId="7"/>
    <tableColumn id="11" name="9" dataDxfId="4" totalsRowDxfId="5"/>
    <tableColumn id="12" name="10" dataDxfId="2" totalsRowDxfId="3"/>
  </tableColumns>
  <tableStyleInfo name="TableStyleDark1" showFirstColumn="0" showLastColumn="0" showRowStripes="0" showColumnStripes="0"/>
</table>
</file>

<file path=xl/tables/table2.xml><?xml version="1.0" encoding="utf-8"?>
<table xmlns="http://schemas.openxmlformats.org/spreadsheetml/2006/main" id="3" name="Tabla12" displayName="Tabla12" ref="A2:K6" headerRowCount="0" totalsRowCount="1" headerRowDxfId="121" dataDxfId="120" tableBorderDxfId="119" totalsRowBorderDxfId="118">
  <tableColumns count="11">
    <tableColumn id="1" name="Columna1" headerRowDxfId="151" dataDxfId="152" totalsRowDxfId="153"/>
    <tableColumn id="2" name="Columna2" totalsRowFunction="custom" dataDxfId="149" totalsRowDxfId="150">
      <totalsRowFormula>B5/12</totalsRowFormula>
    </tableColumn>
    <tableColumn id="3" name="Columna3" headerRowDxfId="146" dataDxfId="147" totalsRowDxfId="148"/>
    <tableColumn id="4" name="Columna4" headerRowDxfId="143" dataDxfId="144" totalsRowDxfId="145"/>
    <tableColumn id="5" name="Columna5" headerRowDxfId="140" dataDxfId="141" totalsRowDxfId="142"/>
    <tableColumn id="6" name="Columna6" headerRowDxfId="137" dataDxfId="138" totalsRowDxfId="139"/>
    <tableColumn id="7" name="Columna7" headerRowDxfId="134" dataDxfId="135" totalsRowDxfId="136"/>
    <tableColumn id="8" name="Columna8" headerRowDxfId="131" dataDxfId="132" totalsRowDxfId="133"/>
    <tableColumn id="9" name="Columna9" headerRowDxfId="128" dataDxfId="129" totalsRowDxfId="130"/>
    <tableColumn id="10" name="Columna10" headerRowDxfId="125" dataDxfId="126" totalsRowDxfId="127"/>
    <tableColumn id="11" name="Columna11" headerRowDxfId="122" dataDxfId="123" totalsRowDxfId="124"/>
  </tableColumns>
  <tableStyleInfo showFirstColumn="0" showLastColumn="0" showRowStripes="1" showColumnStripes="0"/>
</table>
</file>

<file path=xl/tables/table3.xml><?xml version="1.0" encoding="utf-8"?>
<table xmlns="http://schemas.openxmlformats.org/spreadsheetml/2006/main" id="19" name="Tabla19" displayName="Tabla19" ref="B4:C8" headerRowCount="0" totalsRowShown="0">
  <tableColumns count="2">
    <tableColumn id="1" name="Columna1"/>
    <tableColumn id="2" name="Columna2"/>
  </tableColumns>
  <tableStyleInfo showFirstColumn="0" showLastColumn="0" showRowStripes="1" showColumnStripes="0"/>
</table>
</file>

<file path=xl/tables/table4.xml><?xml version="1.0" encoding="utf-8"?>
<table xmlns="http://schemas.openxmlformats.org/spreadsheetml/2006/main" id="20" name="Tabla18" displayName="Tabla18" ref="B14:C19" headerRowCount="0" totalsRowShown="0">
  <tableColumns count="2">
    <tableColumn id="1" name="Columna1"/>
    <tableColumn id="2" name="Columna2" headerRowDxfId="117"/>
  </tableColumns>
  <tableStyleInfo showFirstColumn="0" showLastColumn="0" showRowStripes="1" showColumnStripes="0"/>
</table>
</file>

<file path=xl/tables/table5.xml><?xml version="1.0" encoding="utf-8"?>
<table xmlns="http://schemas.openxmlformats.org/spreadsheetml/2006/main" id="5" name="Tabla2" displayName="Tabla2" ref="A1:K7" totalsRowShown="0" headerRowDxfId="105" dataDxfId="104">
  <tableColumns count="11">
    <tableColumn id="1" name="AÑOS" dataDxfId="116"/>
    <tableColumn id="2" name="1" dataDxfId="115" dataCellStyle="Moneda"/>
    <tableColumn id="3" name="2" dataDxfId="114" dataCellStyle="Moneda"/>
    <tableColumn id="4" name="3" dataDxfId="113" dataCellStyle="Moneda"/>
    <tableColumn id="5" name="4" dataDxfId="112" dataCellStyle="Moneda"/>
    <tableColumn id="6" name="5" dataDxfId="111" dataCellStyle="Moneda"/>
    <tableColumn id="7" name="6" dataDxfId="110" dataCellStyle="Moneda"/>
    <tableColumn id="8" name="7" dataDxfId="109" dataCellStyle="Moneda"/>
    <tableColumn id="9" name="8" dataDxfId="108" dataCellStyle="Moneda"/>
    <tableColumn id="10" name="9" dataDxfId="107" dataCellStyle="Moneda"/>
    <tableColumn id="11" name="10" dataDxfId="106" dataCellStyle="Moneda"/>
  </tableColumns>
  <tableStyleInfo name="TableStyleMedium18" showFirstColumn="0" showLastColumn="0" showRowStripes="1" showColumnStripes="0"/>
</table>
</file>

<file path=xl/tables/table6.xml><?xml version="1.0" encoding="utf-8"?>
<table xmlns="http://schemas.openxmlformats.org/spreadsheetml/2006/main" id="2" name="Tabla16" displayName="Tabla16" ref="A2:B11" headerRowCount="0" totalsRowShown="0" headerRowDxfId="101" dataDxfId="100" tableBorderDxfId="99">
  <tableColumns count="2">
    <tableColumn id="1" name="Columna1" dataDxfId="103"/>
    <tableColumn id="2" name="Columna2" dataDxfId="102"/>
  </tableColumns>
  <tableStyleInfo name="TableStyleMedium8" showFirstColumn="0" showLastColumn="0" showRowStripes="1" showColumnStripes="0"/>
</table>
</file>

<file path=xl/tables/table7.xml><?xml version="1.0" encoding="utf-8"?>
<table xmlns="http://schemas.openxmlformats.org/spreadsheetml/2006/main" id="6" name="Tabla17" displayName="Tabla17" ref="E4:N63" totalsRowShown="0" headerRowDxfId="90">
  <tableColumns count="10">
    <tableColumn id="1" name="NPER"/>
    <tableColumn id="2" name="PAGO" dataDxfId="98"/>
    <tableColumn id="3" name="INTERES"/>
    <tableColumn id="4" name="AMORTIZ" dataDxfId="97"/>
    <tableColumn id="5" name="SALDO " dataDxfId="96"/>
    <tableColumn id="6" name="Columna1" dataDxfId="95"/>
    <tableColumn id="7" name="Columna2" dataDxfId="94"/>
    <tableColumn id="8" name="Columna3" dataDxfId="93"/>
    <tableColumn id="9" name="Columna4" dataDxfId="92"/>
    <tableColumn id="10" name="Columna5" dataDxfId="91"/>
  </tableColumns>
  <tableStyleInfo showFirstColumn="0" showLastColumn="0" showRowStripes="1" showColumnStripes="0"/>
</table>
</file>

<file path=xl/tables/table8.xml><?xml version="1.0" encoding="utf-8"?>
<table xmlns="http://schemas.openxmlformats.org/spreadsheetml/2006/main" id="7" name="Tabla170" displayName="Tabla170" ref="A4:K19" totalsRowShown="0" headerRowDxfId="78" dataDxfId="77">
  <tableColumns count="11">
    <tableColumn id="1" name="AÑO" dataDxfId="89"/>
    <tableColumn id="3" name="1" dataDxfId="88"/>
    <tableColumn id="4" name="2" dataDxfId="87"/>
    <tableColumn id="5" name="3" dataDxfId="86"/>
    <tableColumn id="6" name="4" dataDxfId="85"/>
    <tableColumn id="7" name="5" dataDxfId="84"/>
    <tableColumn id="8" name="6" dataDxfId="83"/>
    <tableColumn id="9" name="7" dataDxfId="82"/>
    <tableColumn id="10" name="8" dataDxfId="81"/>
    <tableColumn id="11" name="9" dataDxfId="80"/>
    <tableColumn id="12" name="10" dataDxfId="79"/>
  </tableColumns>
  <tableStyleInfo name="TableStyleDark1" showFirstColumn="0" showLastColumn="0" showRowStripes="0" showColumnStripes="0"/>
</table>
</file>

<file path=xl/tables/table9.xml><?xml version="1.0" encoding="utf-8"?>
<table xmlns="http://schemas.openxmlformats.org/spreadsheetml/2006/main" id="1" name="Tabla1" displayName="Tabla1" ref="A3:L26" totalsRowShown="0" headerRowDxfId="53" dataDxfId="52">
  <tableColumns count="12">
    <tableColumn id="1" name="AÑO" dataDxfId="75" totalsRowDxfId="76"/>
    <tableColumn id="2" name="0" dataDxfId="73" totalsRowDxfId="74" dataCellStyle="Moneda"/>
    <tableColumn id="3" name="1" totalsRowDxfId="72"/>
    <tableColumn id="4" name="2" dataDxfId="70" totalsRowDxfId="71"/>
    <tableColumn id="5" name="3" dataDxfId="68" totalsRowDxfId="69"/>
    <tableColumn id="6" name="4" dataDxfId="66" totalsRowDxfId="67"/>
    <tableColumn id="7" name="5" dataDxfId="64" totalsRowDxfId="65"/>
    <tableColumn id="8" name="6" dataDxfId="62" totalsRowDxfId="63"/>
    <tableColumn id="9" name="7" dataDxfId="60" totalsRowDxfId="61"/>
    <tableColumn id="10" name="8" dataDxfId="58" totalsRowDxfId="59"/>
    <tableColumn id="11" name="9" dataDxfId="56" totalsRowDxfId="57"/>
    <tableColumn id="12" name="10" dataDxfId="54" totalsRowDxfId="55"/>
  </tableColumns>
  <tableStyleInfo name="TableStyleDark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G72"/>
  <sheetViews>
    <sheetView topLeftCell="A36" workbookViewId="0">
      <selection activeCell="D50" sqref="D50"/>
    </sheetView>
  </sheetViews>
  <sheetFormatPr baseColWidth="10" defaultRowHeight="14.3"/>
  <cols>
    <col min="1" max="1" width="36.875" customWidth="1"/>
    <col min="2" max="2" width="13.875" bestFit="1" customWidth="1"/>
    <col min="3" max="3" width="16.625" bestFit="1" customWidth="1"/>
    <col min="5" max="5" width="25.25" bestFit="1" customWidth="1"/>
  </cols>
  <sheetData>
    <row r="2" spans="1:7" ht="14.95" thickBot="1"/>
    <row r="3" spans="1:7" ht="15.65" thickTop="1" thickBot="1">
      <c r="A3" s="77" t="s">
        <v>108</v>
      </c>
    </row>
    <row r="4" spans="1:7" ht="15.65" thickTop="1" thickBot="1">
      <c r="A4" s="61"/>
    </row>
    <row r="5" spans="1:7" ht="15.65" thickTop="1" thickBot="1">
      <c r="A5" s="69" t="s">
        <v>175</v>
      </c>
      <c r="B5" s="70" t="s">
        <v>143</v>
      </c>
      <c r="C5" s="71" t="s">
        <v>144</v>
      </c>
      <c r="D5" s="60"/>
    </row>
    <row r="6" spans="1:7" ht="14.95" thickTop="1">
      <c r="A6" s="72" t="s">
        <v>164</v>
      </c>
      <c r="B6" s="64">
        <v>2</v>
      </c>
      <c r="C6" s="73">
        <v>18</v>
      </c>
      <c r="D6" s="62"/>
      <c r="E6" s="32" t="s">
        <v>84</v>
      </c>
      <c r="F6" s="95" t="s">
        <v>85</v>
      </c>
      <c r="G6" s="96" t="s">
        <v>86</v>
      </c>
    </row>
    <row r="7" spans="1:7">
      <c r="A7" s="72" t="s">
        <v>142</v>
      </c>
      <c r="B7" s="64"/>
      <c r="C7" s="73">
        <f>C6*B6*6*4</f>
        <v>864</v>
      </c>
      <c r="D7" s="62"/>
      <c r="E7" s="6" t="s">
        <v>56</v>
      </c>
      <c r="F7" s="27">
        <v>400</v>
      </c>
      <c r="G7" s="97">
        <f t="shared" ref="G7:G24" si="0">+F7*12</f>
        <v>4800</v>
      </c>
    </row>
    <row r="8" spans="1:7" ht="14.95" thickBot="1">
      <c r="A8" s="74" t="s">
        <v>145</v>
      </c>
      <c r="B8" s="75"/>
      <c r="C8" s="76">
        <f>C7*12</f>
        <v>10368</v>
      </c>
      <c r="D8" s="62"/>
      <c r="E8" s="6" t="s">
        <v>57</v>
      </c>
      <c r="F8" s="27">
        <v>300</v>
      </c>
      <c r="G8" s="97">
        <f t="shared" si="0"/>
        <v>3600</v>
      </c>
    </row>
    <row r="9" spans="1:7" ht="14.95" thickTop="1">
      <c r="A9" s="65"/>
      <c r="B9" s="66"/>
      <c r="C9" s="66"/>
      <c r="D9" s="62"/>
      <c r="E9" s="6" t="s">
        <v>58</v>
      </c>
      <c r="F9" s="27">
        <v>300</v>
      </c>
      <c r="G9" s="97">
        <f t="shared" si="0"/>
        <v>3600</v>
      </c>
    </row>
    <row r="10" spans="1:7">
      <c r="A10" s="93"/>
      <c r="B10" s="89"/>
      <c r="C10" s="89"/>
      <c r="D10" s="62"/>
      <c r="E10" s="6" t="s">
        <v>59</v>
      </c>
      <c r="F10" s="27">
        <v>300</v>
      </c>
      <c r="G10" s="97">
        <f t="shared" si="0"/>
        <v>3600</v>
      </c>
    </row>
    <row r="11" spans="1:7">
      <c r="A11" s="89"/>
      <c r="B11" s="94"/>
      <c r="C11" s="94"/>
      <c r="D11" s="62"/>
      <c r="E11" s="6" t="s">
        <v>60</v>
      </c>
      <c r="F11" s="27">
        <v>300</v>
      </c>
      <c r="G11" s="97">
        <f t="shared" si="0"/>
        <v>3600</v>
      </c>
    </row>
    <row r="12" spans="1:7">
      <c r="A12" s="67"/>
      <c r="B12" s="68"/>
      <c r="C12" s="68"/>
      <c r="D12" s="62"/>
      <c r="E12" s="6" t="s">
        <v>61</v>
      </c>
      <c r="F12" s="27">
        <v>300</v>
      </c>
      <c r="G12" s="97">
        <f t="shared" si="0"/>
        <v>3600</v>
      </c>
    </row>
    <row r="13" spans="1:7">
      <c r="E13" s="6" t="s">
        <v>62</v>
      </c>
      <c r="F13" s="27">
        <v>225</v>
      </c>
      <c r="G13" s="97">
        <f t="shared" si="0"/>
        <v>2700</v>
      </c>
    </row>
    <row r="14" spans="1:7">
      <c r="E14" s="6" t="s">
        <v>63</v>
      </c>
      <c r="F14" s="27">
        <v>218</v>
      </c>
      <c r="G14" s="97">
        <f t="shared" si="0"/>
        <v>2616</v>
      </c>
    </row>
    <row r="15" spans="1:7">
      <c r="E15" s="6" t="s">
        <v>166</v>
      </c>
      <c r="F15" s="27">
        <v>218</v>
      </c>
      <c r="G15" s="97">
        <f t="shared" si="0"/>
        <v>2616</v>
      </c>
    </row>
    <row r="16" spans="1:7">
      <c r="E16" s="6" t="s">
        <v>167</v>
      </c>
      <c r="F16" s="27">
        <v>218</v>
      </c>
      <c r="G16" s="97">
        <f t="shared" si="0"/>
        <v>2616</v>
      </c>
    </row>
    <row r="17" spans="1:7">
      <c r="E17" s="6" t="s">
        <v>66</v>
      </c>
      <c r="F17" s="27">
        <v>218</v>
      </c>
      <c r="G17" s="97">
        <f t="shared" si="0"/>
        <v>2616</v>
      </c>
    </row>
    <row r="18" spans="1:7">
      <c r="E18" s="6" t="s">
        <v>172</v>
      </c>
      <c r="F18" s="27">
        <v>218</v>
      </c>
      <c r="G18" s="97">
        <f t="shared" si="0"/>
        <v>2616</v>
      </c>
    </row>
    <row r="19" spans="1:7">
      <c r="E19" s="6" t="s">
        <v>64</v>
      </c>
      <c r="F19" s="27">
        <v>218</v>
      </c>
      <c r="G19" s="97">
        <f t="shared" si="0"/>
        <v>2616</v>
      </c>
    </row>
    <row r="20" spans="1:7">
      <c r="E20" s="6" t="s">
        <v>173</v>
      </c>
      <c r="F20" s="27">
        <v>218</v>
      </c>
      <c r="G20" s="97">
        <f t="shared" si="0"/>
        <v>2616</v>
      </c>
    </row>
    <row r="21" spans="1:7">
      <c r="E21" s="6" t="s">
        <v>169</v>
      </c>
      <c r="F21" s="27">
        <v>218</v>
      </c>
      <c r="G21" s="97">
        <f t="shared" si="0"/>
        <v>2616</v>
      </c>
    </row>
    <row r="22" spans="1:7">
      <c r="E22" s="6" t="s">
        <v>65</v>
      </c>
      <c r="F22" s="27">
        <v>218</v>
      </c>
      <c r="G22" s="98">
        <f t="shared" si="0"/>
        <v>2616</v>
      </c>
    </row>
    <row r="23" spans="1:7">
      <c r="E23" s="6" t="s">
        <v>170</v>
      </c>
      <c r="F23" s="27">
        <v>218</v>
      </c>
      <c r="G23" s="98">
        <f t="shared" si="0"/>
        <v>2616</v>
      </c>
    </row>
    <row r="24" spans="1:7">
      <c r="E24" s="6" t="s">
        <v>171</v>
      </c>
      <c r="F24" s="103">
        <v>218</v>
      </c>
      <c r="G24" s="99">
        <f t="shared" si="0"/>
        <v>2616</v>
      </c>
    </row>
    <row r="25" spans="1:7" ht="14.95" thickBot="1">
      <c r="E25" s="100" t="s">
        <v>174</v>
      </c>
      <c r="F25" s="42"/>
      <c r="G25" s="101">
        <f>SUM(G7:G24)</f>
        <v>54276</v>
      </c>
    </row>
    <row r="26" spans="1:7" ht="14.95" thickTop="1">
      <c r="A26" s="28" t="s">
        <v>67</v>
      </c>
    </row>
    <row r="27" spans="1:7">
      <c r="E27" s="60"/>
      <c r="F27" s="92"/>
      <c r="G27" s="92"/>
    </row>
    <row r="28" spans="1:7">
      <c r="A28" s="29" t="s">
        <v>68</v>
      </c>
      <c r="E28" s="60"/>
      <c r="F28" s="92"/>
      <c r="G28" s="92"/>
    </row>
    <row r="29" spans="1:7">
      <c r="A29" t="s">
        <v>69</v>
      </c>
      <c r="B29" s="30">
        <v>100</v>
      </c>
      <c r="C29" s="30"/>
      <c r="E29" s="67"/>
      <c r="F29" s="60"/>
      <c r="G29" s="102"/>
    </row>
    <row r="30" spans="1:7">
      <c r="A30" t="s">
        <v>70</v>
      </c>
      <c r="B30" s="30">
        <f>B29*12</f>
        <v>1200</v>
      </c>
      <c r="C30" s="30"/>
    </row>
    <row r="32" spans="1:7">
      <c r="A32" s="29" t="s">
        <v>71</v>
      </c>
    </row>
    <row r="33" spans="1:6">
      <c r="A33" t="s">
        <v>72</v>
      </c>
      <c r="B33" s="31">
        <v>0.15</v>
      </c>
      <c r="C33" s="31"/>
      <c r="E33" s="29" t="s">
        <v>80</v>
      </c>
    </row>
    <row r="34" spans="1:6">
      <c r="A34" t="s">
        <v>4</v>
      </c>
      <c r="B34">
        <v>550</v>
      </c>
      <c r="E34" t="s">
        <v>79</v>
      </c>
      <c r="F34" s="30">
        <v>31800</v>
      </c>
    </row>
    <row r="35" spans="1:6">
      <c r="A35" t="s">
        <v>73</v>
      </c>
      <c r="B35" s="31">
        <f>B33*B34</f>
        <v>82.5</v>
      </c>
      <c r="C35" s="31"/>
    </row>
    <row r="36" spans="1:6">
      <c r="A36" t="s">
        <v>74</v>
      </c>
      <c r="B36" s="31">
        <f>B35*12</f>
        <v>990</v>
      </c>
      <c r="C36" s="31"/>
    </row>
    <row r="37" spans="1:6">
      <c r="B37" s="31"/>
      <c r="C37" s="31"/>
    </row>
    <row r="38" spans="1:6">
      <c r="A38" s="29" t="s">
        <v>75</v>
      </c>
    </row>
    <row r="39" spans="1:6">
      <c r="A39" t="s">
        <v>76</v>
      </c>
      <c r="B39">
        <v>267</v>
      </c>
    </row>
    <row r="40" spans="1:6">
      <c r="A40" t="s">
        <v>77</v>
      </c>
      <c r="B40" s="31">
        <v>0.63</v>
      </c>
      <c r="C40" s="31"/>
    </row>
    <row r="41" spans="1:6">
      <c r="A41" t="s">
        <v>73</v>
      </c>
      <c r="B41" s="31">
        <f>B40*B39</f>
        <v>168.21</v>
      </c>
      <c r="C41" s="31"/>
    </row>
    <row r="42" spans="1:6">
      <c r="A42" t="s">
        <v>70</v>
      </c>
      <c r="B42" s="31">
        <f>B41*12</f>
        <v>2018.52</v>
      </c>
      <c r="C42" s="31"/>
    </row>
    <row r="44" spans="1:6">
      <c r="A44" s="29" t="s">
        <v>78</v>
      </c>
    </row>
    <row r="45" spans="1:6">
      <c r="A45" t="s">
        <v>73</v>
      </c>
      <c r="B45" s="30">
        <v>25</v>
      </c>
      <c r="C45" s="30"/>
    </row>
    <row r="46" spans="1:6">
      <c r="A46" t="s">
        <v>70</v>
      </c>
      <c r="B46" s="30">
        <f>B45*12</f>
        <v>300</v>
      </c>
      <c r="C46" s="30"/>
    </row>
    <row r="48" spans="1:6">
      <c r="A48" s="29" t="s">
        <v>81</v>
      </c>
    </row>
    <row r="49" spans="1:3">
      <c r="A49" t="s">
        <v>82</v>
      </c>
      <c r="B49" s="30">
        <v>50</v>
      </c>
      <c r="C49" s="30"/>
    </row>
    <row r="50" spans="1:3">
      <c r="A50" t="s">
        <v>83</v>
      </c>
      <c r="B50" s="30">
        <f>B49*12</f>
        <v>600</v>
      </c>
      <c r="C50" s="30"/>
    </row>
    <row r="52" spans="1:3">
      <c r="A52" s="29" t="s">
        <v>120</v>
      </c>
    </row>
    <row r="53" spans="1:3">
      <c r="A53" t="s">
        <v>121</v>
      </c>
      <c r="B53" s="43">
        <v>25000</v>
      </c>
      <c r="C53" s="43"/>
    </row>
    <row r="55" spans="1:3">
      <c r="A55" t="s">
        <v>135</v>
      </c>
    </row>
    <row r="56" spans="1:3">
      <c r="A56" s="54" t="s">
        <v>136</v>
      </c>
      <c r="B56" s="55"/>
      <c r="C56" s="55">
        <f>'Inversion '!F61</f>
        <v>825083.5</v>
      </c>
    </row>
    <row r="57" spans="1:3">
      <c r="A57" s="56" t="s">
        <v>137</v>
      </c>
      <c r="B57" s="57"/>
      <c r="C57" s="57">
        <f>'Capital de Trabajo '!B14</f>
        <v>7703.4648551864784</v>
      </c>
    </row>
    <row r="58" spans="1:3">
      <c r="A58" s="54" t="s">
        <v>138</v>
      </c>
      <c r="B58" s="58">
        <v>1</v>
      </c>
      <c r="C58" s="83">
        <f>C56+C57</f>
        <v>832786.96485518652</v>
      </c>
    </row>
    <row r="59" spans="1:3">
      <c r="A59" s="56" t="s">
        <v>139</v>
      </c>
      <c r="B59" s="59">
        <v>0.4</v>
      </c>
      <c r="C59" s="84">
        <f>C58*B59</f>
        <v>333114.78594207461</v>
      </c>
    </row>
    <row r="60" spans="1:3">
      <c r="A60" s="54" t="s">
        <v>140</v>
      </c>
      <c r="B60" s="58">
        <v>0.6</v>
      </c>
      <c r="C60" s="85">
        <f>C58*B60</f>
        <v>499672.17891311191</v>
      </c>
    </row>
    <row r="62" spans="1:3">
      <c r="A62" t="s">
        <v>255</v>
      </c>
    </row>
    <row r="63" spans="1:3">
      <c r="A63" s="80" t="s">
        <v>256</v>
      </c>
      <c r="B63" s="108">
        <v>0.25</v>
      </c>
    </row>
    <row r="64" spans="1:3">
      <c r="A64" s="80" t="s">
        <v>283</v>
      </c>
      <c r="B64" s="25">
        <v>0.115</v>
      </c>
    </row>
    <row r="65" spans="1:3">
      <c r="A65" s="80" t="s">
        <v>257</v>
      </c>
      <c r="B65" s="25">
        <f>+Prestamo!B9</f>
        <v>0.12</v>
      </c>
    </row>
    <row r="66" spans="1:3">
      <c r="A66" s="80" t="s">
        <v>258</v>
      </c>
      <c r="B66" s="25">
        <f>+'Costo de Capital '!C19</f>
        <v>0.17049</v>
      </c>
    </row>
    <row r="69" spans="1:3">
      <c r="A69" s="80" t="s">
        <v>280</v>
      </c>
      <c r="B69" s="30">
        <v>5</v>
      </c>
      <c r="C69" t="s">
        <v>277</v>
      </c>
    </row>
    <row r="70" spans="1:3">
      <c r="A70" s="80" t="s">
        <v>281</v>
      </c>
      <c r="B70" s="30">
        <v>20</v>
      </c>
      <c r="C70" t="s">
        <v>278</v>
      </c>
    </row>
    <row r="71" spans="1:3">
      <c r="A71" s="80" t="s">
        <v>282</v>
      </c>
      <c r="B71" s="30">
        <v>300</v>
      </c>
      <c r="C71" t="s">
        <v>276</v>
      </c>
    </row>
    <row r="72" spans="1:3">
      <c r="A72" s="80" t="s">
        <v>279</v>
      </c>
      <c r="C72" t="s">
        <v>276</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dimension ref="A2:N63"/>
  <sheetViews>
    <sheetView topLeftCell="A3" workbookViewId="0">
      <selection activeCell="I9" sqref="I9"/>
    </sheetView>
  </sheetViews>
  <sheetFormatPr baseColWidth="10" defaultRowHeight="14.3"/>
  <cols>
    <col min="1" max="1" width="20.75" bestFit="1" customWidth="1"/>
    <col min="2" max="2" width="14.625" bestFit="1" customWidth="1"/>
    <col min="4" max="4" width="17.875" customWidth="1"/>
    <col min="5" max="5" width="13.875" customWidth="1"/>
    <col min="6" max="6" width="14.375" customWidth="1"/>
    <col min="7" max="7" width="15" customWidth="1"/>
    <col min="8" max="8" width="12.25" bestFit="1" customWidth="1"/>
    <col min="9" max="9" width="15.625" bestFit="1" customWidth="1"/>
    <col min="10" max="10" width="13.875" bestFit="1" customWidth="1"/>
    <col min="11" max="12" width="12.25" bestFit="1" customWidth="1"/>
    <col min="13" max="13" width="12.375" customWidth="1"/>
    <col min="14" max="14" width="13.125" customWidth="1"/>
  </cols>
  <sheetData>
    <row r="2" spans="1:14" ht="19.05">
      <c r="A2" s="44" t="s">
        <v>127</v>
      </c>
      <c r="B2" s="45"/>
    </row>
    <row r="3" spans="1:14" ht="14.95" thickBot="1">
      <c r="A3" s="46"/>
      <c r="B3" s="46"/>
    </row>
    <row r="4" spans="1:14" ht="16.3">
      <c r="A4" s="47" t="s">
        <v>128</v>
      </c>
      <c r="B4" s="48">
        <f>'Supuestos '!C58</f>
        <v>832786.96485518652</v>
      </c>
      <c r="E4" s="217" t="s">
        <v>132</v>
      </c>
      <c r="F4" s="218" t="s">
        <v>131</v>
      </c>
      <c r="G4" s="218" t="s">
        <v>151</v>
      </c>
      <c r="H4" s="218" t="s">
        <v>152</v>
      </c>
      <c r="I4" s="226" t="s">
        <v>153</v>
      </c>
      <c r="J4" s="228" t="s">
        <v>309</v>
      </c>
      <c r="K4" s="229" t="s">
        <v>310</v>
      </c>
      <c r="L4" s="229" t="s">
        <v>311</v>
      </c>
      <c r="M4" s="229" t="s">
        <v>312</v>
      </c>
      <c r="N4" s="229" t="s">
        <v>313</v>
      </c>
    </row>
    <row r="5" spans="1:14" ht="16.3">
      <c r="A5" s="47" t="s">
        <v>129</v>
      </c>
      <c r="B5" s="48">
        <f>'Supuestos '!C59</f>
        <v>333114.78594207461</v>
      </c>
      <c r="E5" s="219">
        <v>0</v>
      </c>
      <c r="F5" s="86"/>
      <c r="G5" s="86"/>
      <c r="H5" s="86"/>
      <c r="I5" s="227">
        <f>B6</f>
        <v>499672.17891311191</v>
      </c>
      <c r="J5" s="225"/>
    </row>
    <row r="6" spans="1:14" ht="16.3">
      <c r="A6" s="47" t="s">
        <v>130</v>
      </c>
      <c r="B6" s="48">
        <f>'Supuestos '!C60</f>
        <v>499672.17891311191</v>
      </c>
      <c r="E6" s="219">
        <v>1</v>
      </c>
      <c r="F6" s="87">
        <f>$B$7</f>
        <v>42964.602053693794</v>
      </c>
      <c r="G6" s="88">
        <f>I5*$B$10</f>
        <v>29131.150071634744</v>
      </c>
      <c r="H6" s="87">
        <f t="shared" ref="H6:H25" si="0">F6-G6</f>
        <v>13833.45198205905</v>
      </c>
      <c r="I6" s="220">
        <f>I5-H6</f>
        <v>485838.72693105286</v>
      </c>
      <c r="J6" s="225"/>
    </row>
    <row r="7" spans="1:14" ht="16.3">
      <c r="A7" s="47" t="s">
        <v>131</v>
      </c>
      <c r="B7" s="49">
        <f>PMT(B10,B8,-B6)</f>
        <v>42964.602053693794</v>
      </c>
      <c r="E7" s="219">
        <v>2</v>
      </c>
      <c r="F7" s="87">
        <f t="shared" ref="F7:F25" si="1">$B$7</f>
        <v>42964.602053693794</v>
      </c>
      <c r="G7" s="88">
        <f t="shared" ref="G7:G25" si="2">I6*$B$10</f>
        <v>28324.652566461074</v>
      </c>
      <c r="H7" s="87">
        <f t="shared" si="0"/>
        <v>14639.94948723272</v>
      </c>
      <c r="I7" s="220">
        <f>I6-H7</f>
        <v>471198.77744382014</v>
      </c>
    </row>
    <row r="8" spans="1:14" ht="16.3">
      <c r="A8" s="47" t="s">
        <v>132</v>
      </c>
      <c r="B8" s="50">
        <v>20</v>
      </c>
      <c r="E8" s="219">
        <v>3</v>
      </c>
      <c r="F8" s="87">
        <f t="shared" si="1"/>
        <v>42964.602053693794</v>
      </c>
      <c r="G8" s="88">
        <f>I7*$B$10</f>
        <v>27471.135833787652</v>
      </c>
      <c r="H8" s="87">
        <f t="shared" si="0"/>
        <v>15493.466219906142</v>
      </c>
      <c r="I8" s="220">
        <f t="shared" ref="I8:I25" si="3">I7-H8</f>
        <v>455705.31122391403</v>
      </c>
    </row>
    <row r="9" spans="1:14" ht="16.3">
      <c r="A9" s="47" t="s">
        <v>133</v>
      </c>
      <c r="B9" s="51">
        <v>0.12</v>
      </c>
      <c r="E9" s="219">
        <v>4</v>
      </c>
      <c r="F9" s="87">
        <f t="shared" si="1"/>
        <v>42964.602053693794</v>
      </c>
      <c r="G9" s="88">
        <f t="shared" si="2"/>
        <v>26567.858627993148</v>
      </c>
      <c r="H9" s="87">
        <f t="shared" si="0"/>
        <v>16396.743425700646</v>
      </c>
      <c r="I9" s="220">
        <f t="shared" si="3"/>
        <v>439308.56779821339</v>
      </c>
    </row>
    <row r="10" spans="1:14" ht="16.3">
      <c r="A10" s="47" t="s">
        <v>154</v>
      </c>
      <c r="B10" s="51">
        <f>(1+B9)^(1/2)-1</f>
        <v>5.8300524425836331E-2</v>
      </c>
      <c r="E10" s="219">
        <v>5</v>
      </c>
      <c r="F10" s="87">
        <f t="shared" si="1"/>
        <v>42964.602053693794</v>
      </c>
      <c r="G10" s="88">
        <f t="shared" si="2"/>
        <v>25611.919887398915</v>
      </c>
      <c r="H10" s="87">
        <f t="shared" si="0"/>
        <v>17352.682166294879</v>
      </c>
      <c r="I10" s="220">
        <f t="shared" si="3"/>
        <v>421955.8856319185</v>
      </c>
    </row>
    <row r="11" spans="1:14">
      <c r="A11" s="52" t="s">
        <v>134</v>
      </c>
      <c r="B11" s="53">
        <f>B7*2</f>
        <v>85929.204107387588</v>
      </c>
      <c r="E11" s="219">
        <v>6</v>
      </c>
      <c r="F11" s="87">
        <f t="shared" si="1"/>
        <v>42964.602053693794</v>
      </c>
      <c r="G11" s="88">
        <f t="shared" si="2"/>
        <v>24600.249416909064</v>
      </c>
      <c r="H11" s="87">
        <f t="shared" si="0"/>
        <v>18364.35263678473</v>
      </c>
      <c r="I11" s="220">
        <f t="shared" si="3"/>
        <v>403591.53299513378</v>
      </c>
    </row>
    <row r="12" spans="1:14">
      <c r="E12" s="219">
        <v>7</v>
      </c>
      <c r="F12" s="87">
        <f t="shared" si="1"/>
        <v>42964.602053693794</v>
      </c>
      <c r="G12" s="88">
        <f t="shared" si="2"/>
        <v>23529.598027443528</v>
      </c>
      <c r="H12" s="87">
        <f t="shared" si="0"/>
        <v>19435.004026250266</v>
      </c>
      <c r="I12" s="220">
        <f t="shared" si="3"/>
        <v>384156.5289688835</v>
      </c>
    </row>
    <row r="13" spans="1:14">
      <c r="E13" s="219">
        <v>8</v>
      </c>
      <c r="F13" s="87">
        <f t="shared" si="1"/>
        <v>42964.602053693794</v>
      </c>
      <c r="G13" s="88">
        <f t="shared" si="2"/>
        <v>22396.527100494895</v>
      </c>
      <c r="H13" s="87">
        <f t="shared" si="0"/>
        <v>20568.074953198899</v>
      </c>
      <c r="I13" s="220">
        <f t="shared" si="3"/>
        <v>363588.45401568461</v>
      </c>
    </row>
    <row r="14" spans="1:14">
      <c r="E14" s="219">
        <v>9</v>
      </c>
      <c r="F14" s="87">
        <f t="shared" si="1"/>
        <v>42964.602053693794</v>
      </c>
      <c r="G14" s="88">
        <f t="shared" si="2"/>
        <v>21197.39754429349</v>
      </c>
      <c r="H14" s="87">
        <f t="shared" si="0"/>
        <v>21767.204509400304</v>
      </c>
      <c r="I14" s="220">
        <f t="shared" si="3"/>
        <v>341821.24950628431</v>
      </c>
    </row>
    <row r="15" spans="1:14">
      <c r="E15" s="219">
        <v>10</v>
      </c>
      <c r="F15" s="87">
        <f t="shared" si="1"/>
        <v>42964.602053693794</v>
      </c>
      <c r="G15" s="88">
        <f t="shared" si="2"/>
        <v>19928.358106111024</v>
      </c>
      <c r="H15" s="87">
        <f t="shared" si="0"/>
        <v>23036.24394758277</v>
      </c>
      <c r="I15" s="220">
        <f t="shared" si="3"/>
        <v>318785.00555870152</v>
      </c>
    </row>
    <row r="16" spans="1:14">
      <c r="E16" s="219">
        <v>11</v>
      </c>
      <c r="F16" s="87">
        <f t="shared" si="1"/>
        <v>42964.602053693794</v>
      </c>
      <c r="G16" s="88">
        <f t="shared" si="2"/>
        <v>18585.333003165448</v>
      </c>
      <c r="H16" s="87">
        <f t="shared" si="0"/>
        <v>24379.269050528346</v>
      </c>
      <c r="I16" s="220">
        <f t="shared" si="3"/>
        <v>294405.73650817317</v>
      </c>
    </row>
    <row r="17" spans="4:14">
      <c r="E17" s="219">
        <v>12</v>
      </c>
      <c r="F17" s="87">
        <f t="shared" si="1"/>
        <v>42964.602053693794</v>
      </c>
      <c r="G17" s="88">
        <f t="shared" si="2"/>
        <v>17164.008832401083</v>
      </c>
      <c r="H17" s="87">
        <f t="shared" si="0"/>
        <v>25800.593221292711</v>
      </c>
      <c r="I17" s="220">
        <f t="shared" si="3"/>
        <v>268605.14328688045</v>
      </c>
    </row>
    <row r="18" spans="4:14">
      <c r="E18" s="219">
        <v>13</v>
      </c>
      <c r="F18" s="87">
        <f t="shared" si="1"/>
        <v>42964.602053693794</v>
      </c>
      <c r="G18" s="88">
        <f t="shared" si="2"/>
        <v>15659.820717102042</v>
      </c>
      <c r="H18" s="87">
        <f t="shared" si="0"/>
        <v>27304.781336591754</v>
      </c>
      <c r="I18" s="220">
        <f t="shared" si="3"/>
        <v>241300.3619502887</v>
      </c>
    </row>
    <row r="19" spans="4:14">
      <c r="E19" s="219">
        <v>14</v>
      </c>
      <c r="F19" s="87">
        <f t="shared" si="1"/>
        <v>42964.602053693794</v>
      </c>
      <c r="G19" s="88">
        <f t="shared" si="2"/>
        <v>14067.937645845954</v>
      </c>
      <c r="H19" s="87">
        <f t="shared" si="0"/>
        <v>28896.664407847842</v>
      </c>
      <c r="I19" s="220">
        <f t="shared" si="3"/>
        <v>212403.69754244084</v>
      </c>
    </row>
    <row r="20" spans="4:14">
      <c r="E20" s="219">
        <v>15</v>
      </c>
      <c r="F20" s="87">
        <f t="shared" si="1"/>
        <v>42964.602053693794</v>
      </c>
      <c r="G20" s="88">
        <f t="shared" si="2"/>
        <v>12383.246956711024</v>
      </c>
      <c r="H20" s="87">
        <f t="shared" si="0"/>
        <v>30581.35509698277</v>
      </c>
      <c r="I20" s="220">
        <f t="shared" si="3"/>
        <v>181822.34244545808</v>
      </c>
    </row>
    <row r="21" spans="4:14">
      <c r="E21" s="219">
        <v>16</v>
      </c>
      <c r="F21" s="87">
        <f t="shared" si="1"/>
        <v>42964.602053693794</v>
      </c>
      <c r="G21" s="88">
        <f t="shared" si="2"/>
        <v>10600.337916904207</v>
      </c>
      <c r="H21" s="87">
        <f t="shared" si="0"/>
        <v>32364.264136789585</v>
      </c>
      <c r="I21" s="220">
        <f t="shared" si="3"/>
        <v>149458.07830866851</v>
      </c>
    </row>
    <row r="22" spans="4:14">
      <c r="E22" s="219">
        <v>17</v>
      </c>
      <c r="F22" s="87">
        <f t="shared" si="1"/>
        <v>42964.602053693794</v>
      </c>
      <c r="G22" s="88">
        <f t="shared" si="2"/>
        <v>8713.4843450730878</v>
      </c>
      <c r="H22" s="87">
        <f t="shared" si="0"/>
        <v>34251.117708620703</v>
      </c>
      <c r="I22" s="220">
        <f t="shared" si="3"/>
        <v>115206.96060004781</v>
      </c>
    </row>
    <row r="23" spans="4:14">
      <c r="E23" s="219">
        <v>18</v>
      </c>
      <c r="F23" s="87">
        <f t="shared" si="1"/>
        <v>42964.602053693794</v>
      </c>
      <c r="G23" s="88">
        <f t="shared" si="2"/>
        <v>6716.626220489451</v>
      </c>
      <c r="H23" s="87">
        <f t="shared" si="0"/>
        <v>36247.975833204342</v>
      </c>
      <c r="I23" s="220">
        <f t="shared" si="3"/>
        <v>78958.984766843467</v>
      </c>
    </row>
    <row r="24" spans="4:14">
      <c r="E24" s="219">
        <v>19</v>
      </c>
      <c r="F24" s="87">
        <f t="shared" si="1"/>
        <v>42964.602053693794</v>
      </c>
      <c r="G24" s="88">
        <f t="shared" si="2"/>
        <v>4603.3502200385965</v>
      </c>
      <c r="H24" s="87">
        <f t="shared" si="0"/>
        <v>38361.251833655195</v>
      </c>
      <c r="I24" s="220">
        <f t="shared" si="3"/>
        <v>40597.732933188272</v>
      </c>
    </row>
    <row r="25" spans="4:14" ht="14.95" thickBot="1">
      <c r="E25" s="221">
        <v>20</v>
      </c>
      <c r="F25" s="222">
        <f t="shared" si="1"/>
        <v>42964.602053693794</v>
      </c>
      <c r="G25" s="223">
        <f t="shared" si="2"/>
        <v>2366.8691205049231</v>
      </c>
      <c r="H25" s="222">
        <f t="shared" si="0"/>
        <v>40597.732933188869</v>
      </c>
      <c r="I25" s="224">
        <f t="shared" si="3"/>
        <v>-5.9662852436304092E-10</v>
      </c>
    </row>
    <row r="26" spans="4:14">
      <c r="F26" s="31"/>
      <c r="H26" s="31"/>
      <c r="I26" s="31"/>
    </row>
    <row r="27" spans="4:14">
      <c r="D27" s="205"/>
      <c r="E27" s="205"/>
      <c r="F27" s="206"/>
      <c r="G27" s="205"/>
      <c r="H27" s="206"/>
      <c r="I27" s="206"/>
      <c r="J27" s="205"/>
      <c r="K27" s="205"/>
    </row>
    <row r="28" spans="4:14">
      <c r="E28" s="205">
        <v>1</v>
      </c>
      <c r="F28" s="234">
        <v>2</v>
      </c>
      <c r="G28" s="205">
        <v>3</v>
      </c>
      <c r="H28" s="205">
        <v>4</v>
      </c>
      <c r="I28" s="234">
        <v>5</v>
      </c>
      <c r="J28" s="205">
        <v>6</v>
      </c>
      <c r="K28" s="205">
        <v>7</v>
      </c>
      <c r="L28" s="234">
        <v>8</v>
      </c>
      <c r="M28" s="205">
        <v>9</v>
      </c>
      <c r="N28" s="205">
        <v>10</v>
      </c>
    </row>
    <row r="29" spans="4:14">
      <c r="D29" s="205" t="s">
        <v>315</v>
      </c>
      <c r="E29" s="87">
        <f>H6+H7</f>
        <v>28473.40146929177</v>
      </c>
      <c r="F29" s="87">
        <f>H8+H9</f>
        <v>31890.209645606788</v>
      </c>
      <c r="G29" s="87">
        <f>H10+H11</f>
        <v>35717.034803079609</v>
      </c>
      <c r="H29" s="87">
        <f>H12+H13</f>
        <v>40003.078979449165</v>
      </c>
      <c r="I29" s="87">
        <f>H14+H15</f>
        <v>44803.448456983075</v>
      </c>
      <c r="J29" s="87">
        <f>H16+H17</f>
        <v>50179.862271821054</v>
      </c>
      <c r="K29" s="87">
        <f>H18+H19</f>
        <v>56201.445744439596</v>
      </c>
      <c r="L29" s="87">
        <f>H20+H21</f>
        <v>62945.619233772355</v>
      </c>
      <c r="M29" s="87">
        <f>H22+H23</f>
        <v>70499.093541825045</v>
      </c>
      <c r="N29" s="87">
        <f>H24+H25</f>
        <v>78958.984766844063</v>
      </c>
    </row>
    <row r="30" spans="4:14">
      <c r="D30" s="205" t="s">
        <v>314</v>
      </c>
      <c r="E30" s="232">
        <f>G6+G7</f>
        <v>57455.802638095818</v>
      </c>
      <c r="F30" s="232">
        <f>G8+G9</f>
        <v>54038.9944617808</v>
      </c>
      <c r="G30" s="232">
        <f>G10+G11</f>
        <v>50212.169304307979</v>
      </c>
      <c r="H30" s="232">
        <f>G12+G13</f>
        <v>45926.125127938423</v>
      </c>
      <c r="I30" s="232">
        <f>G14+G15</f>
        <v>41125.755650404513</v>
      </c>
      <c r="J30" s="232">
        <f>G16+G17</f>
        <v>35749.341835566534</v>
      </c>
      <c r="K30" s="232">
        <f>G18+G19</f>
        <v>29727.758362947996</v>
      </c>
      <c r="L30" s="232">
        <f>G20+G21</f>
        <v>22983.584873615233</v>
      </c>
      <c r="M30" s="232">
        <f>G22+G23</f>
        <v>15430.11056556254</v>
      </c>
      <c r="N30" s="232">
        <f>G24+G25</f>
        <v>6970.2193405435191</v>
      </c>
    </row>
    <row r="31" spans="4:14">
      <c r="D31" s="205" t="s">
        <v>316</v>
      </c>
      <c r="E31" s="233">
        <f>SUM(E29:E30)</f>
        <v>85929.204107387588</v>
      </c>
      <c r="F31" s="233">
        <f t="shared" ref="F31:N31" si="4">SUM(F29:F30)</f>
        <v>85929.204107387588</v>
      </c>
      <c r="G31" s="233">
        <f t="shared" si="4"/>
        <v>85929.204107387588</v>
      </c>
      <c r="H31" s="233">
        <f t="shared" si="4"/>
        <v>85929.204107387588</v>
      </c>
      <c r="I31" s="233">
        <f t="shared" si="4"/>
        <v>85929.204107387588</v>
      </c>
      <c r="J31" s="233">
        <f t="shared" si="4"/>
        <v>85929.204107387588</v>
      </c>
      <c r="K31" s="233">
        <f t="shared" si="4"/>
        <v>85929.204107387588</v>
      </c>
      <c r="L31" s="233">
        <f t="shared" si="4"/>
        <v>85929.204107387588</v>
      </c>
      <c r="M31" s="233">
        <f t="shared" si="4"/>
        <v>85929.204107387588</v>
      </c>
      <c r="N31" s="233">
        <f t="shared" si="4"/>
        <v>85929.204107387588</v>
      </c>
    </row>
    <row r="32" spans="4:14">
      <c r="D32" s="205"/>
      <c r="E32" s="207"/>
      <c r="F32" s="231"/>
      <c r="H32" s="31"/>
      <c r="I32" s="209"/>
      <c r="J32" s="205"/>
      <c r="K32" s="205"/>
    </row>
    <row r="33" spans="4:11">
      <c r="D33" s="205"/>
      <c r="E33" s="207"/>
      <c r="F33" s="225"/>
      <c r="G33" s="216"/>
      <c r="H33" s="31"/>
      <c r="I33" s="209"/>
      <c r="J33" s="205"/>
      <c r="K33" s="205"/>
    </row>
    <row r="34" spans="4:11">
      <c r="D34" s="205"/>
      <c r="E34" s="207"/>
      <c r="F34" s="231"/>
      <c r="H34" s="31"/>
      <c r="I34" s="209"/>
      <c r="J34" s="205"/>
      <c r="K34" s="205"/>
    </row>
    <row r="35" spans="4:11">
      <c r="D35" s="205"/>
      <c r="E35" s="207"/>
      <c r="F35" s="230"/>
      <c r="G35" s="216"/>
      <c r="H35" s="31"/>
      <c r="I35" s="209"/>
      <c r="J35" s="205"/>
      <c r="K35" s="205"/>
    </row>
    <row r="36" spans="4:11">
      <c r="D36" s="205"/>
      <c r="E36" s="207"/>
      <c r="F36" s="231"/>
      <c r="H36" s="31"/>
      <c r="I36" s="209"/>
      <c r="J36" s="205"/>
      <c r="K36" s="205"/>
    </row>
    <row r="37" spans="4:11">
      <c r="D37" s="205"/>
      <c r="E37" s="207"/>
      <c r="F37" s="230"/>
      <c r="G37" s="216"/>
      <c r="H37" s="31"/>
      <c r="I37" s="209"/>
      <c r="J37" s="205"/>
      <c r="K37" s="205"/>
    </row>
    <row r="38" spans="4:11">
      <c r="D38" s="205"/>
      <c r="E38" s="207"/>
      <c r="F38" s="231"/>
      <c r="H38" s="31"/>
      <c r="I38" s="209"/>
      <c r="J38" s="205"/>
      <c r="K38" s="205"/>
    </row>
    <row r="39" spans="4:11">
      <c r="D39" s="205"/>
      <c r="E39" s="207"/>
      <c r="F39" s="230"/>
      <c r="G39" s="216"/>
      <c r="H39" s="31"/>
      <c r="I39" s="209"/>
      <c r="J39" s="205"/>
      <c r="K39" s="205"/>
    </row>
    <row r="40" spans="4:11">
      <c r="D40" s="205"/>
      <c r="E40" s="207"/>
      <c r="F40" s="231"/>
      <c r="H40" s="31"/>
      <c r="I40" s="209"/>
      <c r="J40" s="205"/>
      <c r="K40" s="205"/>
    </row>
    <row r="41" spans="4:11">
      <c r="D41" s="205"/>
      <c r="E41" s="207"/>
      <c r="F41" s="230"/>
      <c r="G41" s="216"/>
      <c r="H41" s="31"/>
      <c r="I41" s="209"/>
      <c r="J41" s="199"/>
      <c r="K41" s="199"/>
    </row>
    <row r="42" spans="4:11">
      <c r="D42" s="205"/>
      <c r="E42" s="207"/>
      <c r="F42" s="231"/>
      <c r="H42" s="31"/>
      <c r="I42" s="209"/>
      <c r="J42" s="210"/>
      <c r="K42" s="210"/>
    </row>
    <row r="43" spans="4:11">
      <c r="D43" s="205"/>
      <c r="E43" s="207"/>
      <c r="F43" s="230"/>
      <c r="G43" s="216"/>
      <c r="H43" s="31"/>
      <c r="I43" s="209"/>
      <c r="J43" s="89"/>
      <c r="K43" s="205"/>
    </row>
    <row r="44" spans="4:11">
      <c r="D44" s="205"/>
      <c r="E44" s="207"/>
      <c r="F44" s="231"/>
      <c r="H44" s="31"/>
      <c r="I44" s="209"/>
      <c r="J44" s="89"/>
      <c r="K44" s="205"/>
    </row>
    <row r="45" spans="4:11">
      <c r="D45" s="205"/>
      <c r="E45" s="207"/>
      <c r="F45" s="230"/>
      <c r="G45" s="216"/>
      <c r="H45" s="31"/>
      <c r="I45" s="209"/>
      <c r="J45" s="89"/>
      <c r="K45" s="205"/>
    </row>
    <row r="46" spans="4:11">
      <c r="D46" s="205"/>
      <c r="E46" s="207"/>
      <c r="F46" s="231"/>
      <c r="H46" s="31"/>
      <c r="I46" s="209"/>
      <c r="J46" s="89"/>
      <c r="K46" s="205"/>
    </row>
    <row r="47" spans="4:11">
      <c r="D47" s="205"/>
      <c r="E47" s="207"/>
      <c r="F47" s="230"/>
      <c r="G47" s="216"/>
      <c r="H47" s="31"/>
      <c r="I47" s="209"/>
      <c r="J47" s="89"/>
      <c r="K47" s="205"/>
    </row>
    <row r="48" spans="4:11">
      <c r="D48" s="205"/>
      <c r="E48" s="207"/>
      <c r="F48" s="231"/>
      <c r="H48" s="31"/>
      <c r="I48" s="209"/>
      <c r="J48" s="89"/>
      <c r="K48" s="205"/>
    </row>
    <row r="49" spans="4:11">
      <c r="D49" s="205"/>
      <c r="E49" s="207"/>
      <c r="F49" s="208"/>
      <c r="G49" s="208"/>
      <c r="H49" s="208"/>
      <c r="I49" s="209"/>
      <c r="J49" s="89"/>
      <c r="K49" s="205"/>
    </row>
    <row r="50" spans="4:11">
      <c r="D50" s="205"/>
      <c r="E50" s="207"/>
      <c r="F50" s="208"/>
      <c r="G50" s="208"/>
      <c r="H50" s="208"/>
      <c r="I50" s="209"/>
      <c r="J50" s="89"/>
      <c r="K50" s="205"/>
    </row>
    <row r="51" spans="4:11">
      <c r="D51" s="205"/>
      <c r="E51" s="207"/>
      <c r="F51" s="208"/>
      <c r="G51" s="208"/>
      <c r="H51" s="208"/>
      <c r="I51" s="209"/>
      <c r="J51" s="89"/>
      <c r="K51" s="205"/>
    </row>
    <row r="52" spans="4:11">
      <c r="D52" s="205"/>
      <c r="E52" s="207"/>
      <c r="F52" s="208"/>
      <c r="G52" s="208"/>
      <c r="H52" s="208"/>
      <c r="I52" s="209"/>
      <c r="J52" s="89"/>
      <c r="K52" s="205"/>
    </row>
    <row r="53" spans="4:11">
      <c r="D53" s="205"/>
      <c r="E53" s="207"/>
      <c r="F53" s="208"/>
      <c r="G53" s="208"/>
      <c r="H53" s="208"/>
      <c r="I53" s="209"/>
      <c r="J53" s="89"/>
      <c r="K53" s="205"/>
    </row>
    <row r="54" spans="4:11">
      <c r="D54" s="205"/>
      <c r="E54" s="207"/>
      <c r="F54" s="208"/>
      <c r="G54" s="208"/>
      <c r="H54" s="208"/>
      <c r="I54" s="208"/>
      <c r="J54" s="210"/>
      <c r="K54" s="210"/>
    </row>
    <row r="55" spans="4:11" ht="14.95" thickBot="1">
      <c r="D55" s="205"/>
      <c r="E55" s="205"/>
      <c r="F55" s="211"/>
      <c r="G55" s="212"/>
      <c r="H55" s="212"/>
      <c r="I55" s="213"/>
      <c r="J55" s="214"/>
      <c r="K55" s="205"/>
    </row>
    <row r="56" spans="4:11" ht="14.95" thickTop="1">
      <c r="D56" s="205"/>
      <c r="E56" s="205"/>
      <c r="F56" s="205"/>
      <c r="G56" s="205"/>
      <c r="H56" s="205"/>
      <c r="I56" s="205"/>
      <c r="J56" s="205"/>
      <c r="K56" s="205"/>
    </row>
    <row r="57" spans="4:11">
      <c r="D57" s="205"/>
      <c r="E57" s="205"/>
      <c r="F57" s="206"/>
      <c r="G57" s="205"/>
      <c r="H57" s="206"/>
      <c r="I57" s="206"/>
      <c r="J57" s="205"/>
      <c r="K57" s="205"/>
    </row>
    <row r="58" spans="4:11">
      <c r="D58" s="205"/>
      <c r="E58" s="205"/>
      <c r="F58" s="206"/>
      <c r="G58" s="205"/>
      <c r="H58" s="206"/>
      <c r="I58" s="206"/>
      <c r="J58" s="205"/>
      <c r="K58" s="205"/>
    </row>
    <row r="59" spans="4:11">
      <c r="D59" s="205"/>
      <c r="E59" s="205"/>
      <c r="F59" s="206"/>
      <c r="G59" s="205"/>
      <c r="H59" s="206"/>
      <c r="I59" s="206"/>
      <c r="J59" s="205"/>
      <c r="K59" s="205"/>
    </row>
    <row r="60" spans="4:11">
      <c r="D60" s="205"/>
      <c r="E60" s="205"/>
      <c r="F60" s="206"/>
      <c r="G60" s="205"/>
      <c r="H60" s="206"/>
      <c r="I60" s="206"/>
      <c r="J60" s="205"/>
      <c r="K60" s="205"/>
    </row>
    <row r="61" spans="4:11">
      <c r="D61" s="205"/>
      <c r="E61" s="205"/>
      <c r="F61" s="206"/>
      <c r="G61" s="205"/>
      <c r="H61" s="206"/>
      <c r="I61" s="206"/>
      <c r="J61" s="205"/>
      <c r="K61" s="205"/>
    </row>
    <row r="62" spans="4:11">
      <c r="D62" s="205"/>
      <c r="E62" s="205"/>
      <c r="F62" s="206"/>
      <c r="G62" s="205"/>
      <c r="H62" s="206"/>
      <c r="I62" s="206"/>
      <c r="J62" s="205"/>
      <c r="K62" s="205"/>
    </row>
    <row r="63" spans="4:11">
      <c r="D63" s="205"/>
      <c r="E63" s="205"/>
      <c r="F63" s="206"/>
      <c r="G63" s="205"/>
      <c r="H63" s="206"/>
      <c r="I63" s="206"/>
      <c r="J63" s="215"/>
      <c r="K63" s="205"/>
    </row>
  </sheetData>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dimension ref="A1:P27"/>
  <sheetViews>
    <sheetView topLeftCell="C16" workbookViewId="0">
      <selection activeCell="E6" sqref="E6"/>
    </sheetView>
  </sheetViews>
  <sheetFormatPr baseColWidth="10" defaultRowHeight="14.3"/>
  <cols>
    <col min="1" max="1" width="25" customWidth="1"/>
    <col min="2" max="2" width="20.25" bestFit="1" customWidth="1"/>
    <col min="4" max="4" width="11.375" style="41" customWidth="1"/>
  </cols>
  <sheetData>
    <row r="1" spans="1:16">
      <c r="B1" s="89"/>
      <c r="C1" s="89"/>
      <c r="D1" s="170"/>
      <c r="E1" s="89"/>
    </row>
    <row r="2" spans="1:16">
      <c r="A2" s="154" t="s">
        <v>239</v>
      </c>
      <c r="B2" s="184" t="s">
        <v>240</v>
      </c>
      <c r="C2" s="340"/>
      <c r="D2" s="340"/>
      <c r="E2" s="197"/>
      <c r="G2" s="155" t="s">
        <v>241</v>
      </c>
      <c r="H2" s="155" t="s">
        <v>242</v>
      </c>
    </row>
    <row r="3" spans="1:16">
      <c r="A3" s="5" t="s">
        <v>243</v>
      </c>
      <c r="B3" s="156">
        <f>'Inversion '!F13+'Inversion '!F16</f>
        <v>3800</v>
      </c>
      <c r="C3" s="339"/>
      <c r="D3" s="339"/>
      <c r="E3" s="196"/>
    </row>
    <row r="4" spans="1:16">
      <c r="A4" s="5" t="s">
        <v>244</v>
      </c>
      <c r="B4" s="156">
        <f>'Inversion '!F55</f>
        <v>25000</v>
      </c>
      <c r="C4" s="339"/>
      <c r="D4" s="339"/>
      <c r="E4" s="196"/>
      <c r="G4" s="157"/>
    </row>
    <row r="5" spans="1:16">
      <c r="A5" s="5" t="s">
        <v>245</v>
      </c>
      <c r="B5" s="156">
        <f>'Inversion '!F45</f>
        <v>1750</v>
      </c>
      <c r="C5" s="339"/>
      <c r="D5" s="339"/>
      <c r="E5" s="196"/>
      <c r="G5" s="157">
        <f>+C5</f>
        <v>0</v>
      </c>
    </row>
    <row r="6" spans="1:16">
      <c r="A6" s="5" t="s">
        <v>246</v>
      </c>
      <c r="B6" s="156">
        <f>'Inversion '!F46+'Inversion '!F44+'Inversion '!F27+'Inversion '!F28+'Inversion '!F29+'Inversion '!F30+'Inversion '!F32+'Inversion '!F33+'Inversion '!F34+'Inversion '!F50+'Inversion '!F52+'Inversion '!F53+'Inversion '!F54</f>
        <v>3202</v>
      </c>
      <c r="C6" s="339"/>
      <c r="D6" s="339"/>
      <c r="E6" s="196"/>
    </row>
    <row r="7" spans="1:16">
      <c r="A7" s="5" t="s">
        <v>247</v>
      </c>
      <c r="B7" s="156">
        <f>'Inversion '!C5+'Inversion '!F8+'Inversion '!F18+'Inversion '!F26+'Inversion '!F31+'Inversion '!F37+'Inversion '!F47+'Inversion '!F49+'Inversion '!F51+'Inversion '!F9+'Inversion '!F10+'Inversion '!F11+'Inversion '!F12</f>
        <v>90531.5</v>
      </c>
      <c r="C7" s="339"/>
      <c r="D7" s="339"/>
      <c r="E7" s="196"/>
    </row>
    <row r="8" spans="1:16">
      <c r="A8" s="5"/>
      <c r="B8" s="156"/>
      <c r="C8" s="339"/>
      <c r="D8" s="339"/>
      <c r="E8" s="196"/>
    </row>
    <row r="9" spans="1:16">
      <c r="A9" s="158"/>
      <c r="B9" s="159"/>
    </row>
    <row r="10" spans="1:16">
      <c r="C10" s="160"/>
      <c r="D10" s="336" t="s">
        <v>248</v>
      </c>
      <c r="E10" s="337" t="s">
        <v>249</v>
      </c>
      <c r="F10" s="337"/>
      <c r="G10" s="337"/>
      <c r="H10" s="337"/>
      <c r="I10" s="337"/>
      <c r="J10" s="337"/>
      <c r="K10" s="337"/>
      <c r="L10" s="337"/>
      <c r="M10" s="337"/>
      <c r="N10" s="337"/>
    </row>
    <row r="11" spans="1:16">
      <c r="A11" s="154" t="s">
        <v>239</v>
      </c>
      <c r="B11" s="154" t="s">
        <v>240</v>
      </c>
      <c r="C11" s="161" t="s">
        <v>250</v>
      </c>
      <c r="D11" s="336"/>
      <c r="E11" s="162">
        <v>1</v>
      </c>
      <c r="F11" s="163">
        <v>2</v>
      </c>
      <c r="G11" s="163">
        <v>3</v>
      </c>
      <c r="H11" s="163">
        <v>4</v>
      </c>
      <c r="I11" s="163">
        <v>5</v>
      </c>
      <c r="J11" s="163">
        <v>6</v>
      </c>
      <c r="K11" s="163">
        <v>7</v>
      </c>
      <c r="L11" s="163">
        <v>8</v>
      </c>
      <c r="M11" s="163">
        <v>9</v>
      </c>
      <c r="N11" s="163">
        <v>10</v>
      </c>
      <c r="O11" t="s">
        <v>306</v>
      </c>
      <c r="P11" t="s">
        <v>286</v>
      </c>
    </row>
    <row r="12" spans="1:16">
      <c r="A12" s="5" t="s">
        <v>243</v>
      </c>
      <c r="B12" s="156">
        <f>B3</f>
        <v>3800</v>
      </c>
      <c r="C12" s="164">
        <f>1/D12</f>
        <v>0.1</v>
      </c>
      <c r="D12" s="165">
        <v>10</v>
      </c>
      <c r="E12" s="156">
        <f>B12*C12</f>
        <v>380</v>
      </c>
      <c r="F12" s="156">
        <f t="shared" ref="F12:N16" si="0">+E12</f>
        <v>380</v>
      </c>
      <c r="G12" s="156">
        <f t="shared" si="0"/>
        <v>380</v>
      </c>
      <c r="H12" s="156">
        <f t="shared" si="0"/>
        <v>380</v>
      </c>
      <c r="I12" s="156">
        <f t="shared" si="0"/>
        <v>380</v>
      </c>
      <c r="J12" s="156">
        <f t="shared" si="0"/>
        <v>380</v>
      </c>
      <c r="K12" s="156">
        <f t="shared" si="0"/>
        <v>380</v>
      </c>
      <c r="L12" s="156">
        <f t="shared" si="0"/>
        <v>380</v>
      </c>
      <c r="M12" s="156">
        <f t="shared" si="0"/>
        <v>380</v>
      </c>
      <c r="N12" s="156">
        <f t="shared" si="0"/>
        <v>380</v>
      </c>
      <c r="O12" s="157">
        <f>SUM(E12:N12)</f>
        <v>3800</v>
      </c>
      <c r="P12" s="157">
        <f>B12-O12</f>
        <v>0</v>
      </c>
    </row>
    <row r="13" spans="1:16">
      <c r="A13" s="5" t="s">
        <v>244</v>
      </c>
      <c r="B13" s="156">
        <f>B4</f>
        <v>25000</v>
      </c>
      <c r="C13" s="164">
        <f>1/D13</f>
        <v>0.1</v>
      </c>
      <c r="D13" s="165">
        <v>10</v>
      </c>
      <c r="E13" s="156">
        <f>B13*C13</f>
        <v>2500</v>
      </c>
      <c r="F13" s="156">
        <f t="shared" si="0"/>
        <v>2500</v>
      </c>
      <c r="G13" s="156">
        <f t="shared" si="0"/>
        <v>2500</v>
      </c>
      <c r="H13" s="156">
        <f t="shared" si="0"/>
        <v>2500</v>
      </c>
      <c r="I13" s="156">
        <f t="shared" si="0"/>
        <v>2500</v>
      </c>
      <c r="J13" s="156">
        <f t="shared" si="0"/>
        <v>2500</v>
      </c>
      <c r="K13" s="156">
        <f t="shared" si="0"/>
        <v>2500</v>
      </c>
      <c r="L13" s="156">
        <f t="shared" si="0"/>
        <v>2500</v>
      </c>
      <c r="M13" s="156">
        <f t="shared" si="0"/>
        <v>2500</v>
      </c>
      <c r="N13" s="156">
        <f t="shared" si="0"/>
        <v>2500</v>
      </c>
      <c r="O13" s="157">
        <f>SUM(E13:N13)</f>
        <v>25000</v>
      </c>
      <c r="P13" s="157">
        <f>B13-O13</f>
        <v>0</v>
      </c>
    </row>
    <row r="14" spans="1:16">
      <c r="A14" s="5" t="s">
        <v>245</v>
      </c>
      <c r="B14" s="156">
        <f>B5</f>
        <v>1750</v>
      </c>
      <c r="C14" s="164">
        <f>1/D14</f>
        <v>0.33333333333333331</v>
      </c>
      <c r="D14" s="165">
        <v>3</v>
      </c>
      <c r="E14" s="156">
        <f>B14*C14</f>
        <v>583.33333333333326</v>
      </c>
      <c r="F14" s="156">
        <f>+E14</f>
        <v>583.33333333333326</v>
      </c>
      <c r="G14" s="156">
        <f>+F14</f>
        <v>583.33333333333326</v>
      </c>
      <c r="H14" s="156">
        <f>+B14*C14</f>
        <v>583.33333333333326</v>
      </c>
      <c r="I14" s="156">
        <f>+H14</f>
        <v>583.33333333333326</v>
      </c>
      <c r="J14" s="156">
        <f t="shared" si="0"/>
        <v>583.33333333333326</v>
      </c>
      <c r="K14" s="156">
        <f t="shared" si="0"/>
        <v>583.33333333333326</v>
      </c>
      <c r="L14" s="156">
        <f t="shared" si="0"/>
        <v>583.33333333333326</v>
      </c>
      <c r="M14" s="156">
        <f t="shared" si="0"/>
        <v>583.33333333333326</v>
      </c>
      <c r="N14" s="156">
        <f t="shared" si="0"/>
        <v>583.33333333333326</v>
      </c>
      <c r="O14" s="157">
        <f>SUM(N14)</f>
        <v>583.33333333333326</v>
      </c>
      <c r="P14" s="157">
        <f>B14-O14</f>
        <v>1166.6666666666667</v>
      </c>
    </row>
    <row r="15" spans="1:16">
      <c r="A15" s="5" t="s">
        <v>246</v>
      </c>
      <c r="B15" s="156">
        <f>B6</f>
        <v>3202</v>
      </c>
      <c r="C15" s="164">
        <f>1/D15</f>
        <v>0.1</v>
      </c>
      <c r="D15" s="165">
        <v>10</v>
      </c>
      <c r="E15" s="156">
        <f>B15*C15</f>
        <v>320.20000000000005</v>
      </c>
      <c r="F15" s="156">
        <f t="shared" si="0"/>
        <v>320.20000000000005</v>
      </c>
      <c r="G15" s="156">
        <f t="shared" si="0"/>
        <v>320.20000000000005</v>
      </c>
      <c r="H15" s="156">
        <f t="shared" si="0"/>
        <v>320.20000000000005</v>
      </c>
      <c r="I15" s="156">
        <f t="shared" si="0"/>
        <v>320.20000000000005</v>
      </c>
      <c r="J15" s="156">
        <f t="shared" si="0"/>
        <v>320.20000000000005</v>
      </c>
      <c r="K15" s="156">
        <f t="shared" si="0"/>
        <v>320.20000000000005</v>
      </c>
      <c r="L15" s="156">
        <f t="shared" si="0"/>
        <v>320.20000000000005</v>
      </c>
      <c r="M15" s="156">
        <f t="shared" si="0"/>
        <v>320.20000000000005</v>
      </c>
      <c r="N15" s="156">
        <f t="shared" si="0"/>
        <v>320.20000000000005</v>
      </c>
      <c r="O15" s="157">
        <f>SUM(E15:N15)</f>
        <v>3202</v>
      </c>
      <c r="P15" s="157">
        <f>B15-O15</f>
        <v>0</v>
      </c>
    </row>
    <row r="16" spans="1:16">
      <c r="A16" s="5" t="s">
        <v>247</v>
      </c>
      <c r="B16" s="156">
        <f>B7</f>
        <v>90531.5</v>
      </c>
      <c r="C16" s="164">
        <f>1/D16</f>
        <v>0.05</v>
      </c>
      <c r="D16" s="165">
        <v>20</v>
      </c>
      <c r="E16" s="156">
        <f>B16*C16</f>
        <v>4526.5749999999998</v>
      </c>
      <c r="F16" s="156">
        <f t="shared" si="0"/>
        <v>4526.5749999999998</v>
      </c>
      <c r="G16" s="156">
        <f t="shared" si="0"/>
        <v>4526.5749999999998</v>
      </c>
      <c r="H16" s="156">
        <f t="shared" si="0"/>
        <v>4526.5749999999998</v>
      </c>
      <c r="I16" s="156">
        <f t="shared" si="0"/>
        <v>4526.5749999999998</v>
      </c>
      <c r="J16" s="156">
        <f t="shared" si="0"/>
        <v>4526.5749999999998</v>
      </c>
      <c r="K16" s="156">
        <f t="shared" si="0"/>
        <v>4526.5749999999998</v>
      </c>
      <c r="L16" s="156">
        <f t="shared" si="0"/>
        <v>4526.5749999999998</v>
      </c>
      <c r="M16" s="156">
        <f t="shared" si="0"/>
        <v>4526.5749999999998</v>
      </c>
      <c r="N16" s="156">
        <f t="shared" si="0"/>
        <v>4526.5749999999998</v>
      </c>
      <c r="O16" s="157">
        <f>SUM(E16:N16)</f>
        <v>45265.749999999993</v>
      </c>
      <c r="P16" s="157">
        <f>B16-O16</f>
        <v>45265.750000000007</v>
      </c>
    </row>
    <row r="17" spans="1:16">
      <c r="A17" s="166" t="s">
        <v>204</v>
      </c>
      <c r="B17" s="167">
        <f>SUM(B12:B16)</f>
        <v>124283.5</v>
      </c>
      <c r="C17" s="168"/>
      <c r="D17" s="167"/>
      <c r="E17" s="167">
        <f t="shared" ref="E17:N17" si="1">SUM(E12:E16)</f>
        <v>8310.1083333333336</v>
      </c>
      <c r="F17" s="167">
        <f t="shared" si="1"/>
        <v>8310.1083333333336</v>
      </c>
      <c r="G17" s="167">
        <f t="shared" si="1"/>
        <v>8310.1083333333336</v>
      </c>
      <c r="H17" s="167">
        <f t="shared" si="1"/>
        <v>8310.1083333333336</v>
      </c>
      <c r="I17" s="167">
        <f t="shared" si="1"/>
        <v>8310.1083333333336</v>
      </c>
      <c r="J17" s="167">
        <f t="shared" si="1"/>
        <v>8310.1083333333336</v>
      </c>
      <c r="K17" s="167">
        <f t="shared" si="1"/>
        <v>8310.1083333333336</v>
      </c>
      <c r="L17" s="167">
        <f t="shared" si="1"/>
        <v>8310.1083333333336</v>
      </c>
      <c r="M17" s="167">
        <f t="shared" si="1"/>
        <v>8310.1083333333336</v>
      </c>
      <c r="N17" s="167">
        <f t="shared" si="1"/>
        <v>8310.1083333333336</v>
      </c>
      <c r="P17" s="198">
        <f>SUM(P12:P16)</f>
        <v>46432.416666666672</v>
      </c>
    </row>
    <row r="18" spans="1:16">
      <c r="A18" s="5" t="s">
        <v>251</v>
      </c>
      <c r="B18" s="5"/>
      <c r="C18" s="164"/>
      <c r="D18" s="165"/>
      <c r="E18" s="5">
        <v>0</v>
      </c>
      <c r="F18" s="156">
        <f t="shared" ref="F18:N18" si="2">+E19</f>
        <v>8310.1083333333336</v>
      </c>
      <c r="G18" s="156">
        <f t="shared" si="2"/>
        <v>16620.216666666667</v>
      </c>
      <c r="H18" s="156">
        <f t="shared" si="2"/>
        <v>24930.325000000001</v>
      </c>
      <c r="I18" s="156">
        <f t="shared" si="2"/>
        <v>33240.433333333334</v>
      </c>
      <c r="J18" s="156">
        <f t="shared" si="2"/>
        <v>41550.541666666672</v>
      </c>
      <c r="K18" s="156">
        <f t="shared" si="2"/>
        <v>49860.650000000009</v>
      </c>
      <c r="L18" s="156">
        <f t="shared" si="2"/>
        <v>58170.758333333346</v>
      </c>
      <c r="M18" s="156">
        <f t="shared" si="2"/>
        <v>66480.866666666683</v>
      </c>
      <c r="N18" s="156">
        <f t="shared" si="2"/>
        <v>74790.97500000002</v>
      </c>
    </row>
    <row r="19" spans="1:16">
      <c r="A19" s="5" t="s">
        <v>252</v>
      </c>
      <c r="B19" s="5"/>
      <c r="C19" s="165"/>
      <c r="D19" s="165"/>
      <c r="E19" s="156">
        <f t="shared" ref="E19:N19" si="3">+SUM(E17:E18)</f>
        <v>8310.1083333333336</v>
      </c>
      <c r="F19" s="156">
        <f t="shared" si="3"/>
        <v>16620.216666666667</v>
      </c>
      <c r="G19" s="156">
        <f t="shared" si="3"/>
        <v>24930.325000000001</v>
      </c>
      <c r="H19" s="156">
        <f t="shared" si="3"/>
        <v>33240.433333333334</v>
      </c>
      <c r="I19" s="156">
        <f t="shared" si="3"/>
        <v>41550.541666666672</v>
      </c>
      <c r="J19" s="156">
        <f t="shared" si="3"/>
        <v>49860.650000000009</v>
      </c>
      <c r="K19" s="156">
        <f t="shared" si="3"/>
        <v>58170.758333333346</v>
      </c>
      <c r="L19" s="156">
        <f t="shared" si="3"/>
        <v>66480.866666666683</v>
      </c>
      <c r="M19" s="156">
        <f t="shared" si="3"/>
        <v>74790.97500000002</v>
      </c>
      <c r="N19" s="156">
        <f t="shared" si="3"/>
        <v>83101.083333333358</v>
      </c>
    </row>
    <row r="20" spans="1:16">
      <c r="A20" s="185"/>
      <c r="B20" s="5"/>
      <c r="C20" s="5"/>
      <c r="D20" s="186"/>
      <c r="E20" s="5"/>
      <c r="F20" s="5"/>
      <c r="G20" s="5"/>
      <c r="H20" s="5"/>
      <c r="I20" s="5"/>
      <c r="J20" s="5"/>
      <c r="K20" s="5"/>
      <c r="L20" s="5"/>
      <c r="M20" s="5"/>
      <c r="N20" s="5"/>
    </row>
    <row r="22" spans="1:16">
      <c r="C22" s="160"/>
      <c r="D22" s="336" t="s">
        <v>248</v>
      </c>
      <c r="E22" s="338" t="s">
        <v>118</v>
      </c>
      <c r="F22" s="338"/>
      <c r="G22" s="338"/>
      <c r="H22" s="338"/>
      <c r="I22" s="338"/>
    </row>
    <row r="23" spans="1:16">
      <c r="A23" s="154" t="s">
        <v>239</v>
      </c>
      <c r="B23" s="154" t="s">
        <v>240</v>
      </c>
      <c r="C23" s="161" t="s">
        <v>250</v>
      </c>
      <c r="D23" s="336"/>
      <c r="E23" s="163">
        <v>1</v>
      </c>
      <c r="F23" s="163">
        <v>2</v>
      </c>
      <c r="G23" s="163">
        <v>3</v>
      </c>
      <c r="H23" s="163">
        <v>4</v>
      </c>
      <c r="I23" s="163">
        <v>5</v>
      </c>
    </row>
    <row r="24" spans="1:16">
      <c r="A24" s="5" t="s">
        <v>253</v>
      </c>
      <c r="B24" s="156">
        <f>'Inversion '!F57</f>
        <v>800</v>
      </c>
      <c r="C24" s="164">
        <f>1/D24</f>
        <v>0.2</v>
      </c>
      <c r="D24" s="165">
        <v>5</v>
      </c>
      <c r="E24" s="156">
        <f>+B24*C24</f>
        <v>160</v>
      </c>
      <c r="F24" s="156">
        <f>+E24</f>
        <v>160</v>
      </c>
      <c r="G24" s="156">
        <f>+F24</f>
        <v>160</v>
      </c>
      <c r="H24" s="156">
        <f>+G24</f>
        <v>160</v>
      </c>
      <c r="I24" s="156">
        <f>+H24</f>
        <v>160</v>
      </c>
    </row>
    <row r="25" spans="1:16">
      <c r="A25" s="166" t="s">
        <v>204</v>
      </c>
      <c r="B25" s="167">
        <f>SUM(B24:B24)</f>
        <v>800</v>
      </c>
      <c r="C25" s="166"/>
      <c r="D25" s="166"/>
      <c r="E25" s="167">
        <f>SUM(E24:E24)</f>
        <v>160</v>
      </c>
      <c r="F25" s="167">
        <f>SUM(F24:F24)</f>
        <v>160</v>
      </c>
      <c r="G25" s="167">
        <f>SUM(G24:G24)</f>
        <v>160</v>
      </c>
      <c r="H25" s="167">
        <f>SUM(H24:H24)</f>
        <v>160</v>
      </c>
      <c r="I25" s="167">
        <f>SUM(I24:I24)</f>
        <v>160</v>
      </c>
    </row>
    <row r="26" spans="1:16">
      <c r="A26" s="5" t="s">
        <v>251</v>
      </c>
      <c r="B26" s="5"/>
      <c r="C26" s="165"/>
      <c r="D26" s="165"/>
      <c r="E26" s="169">
        <v>0</v>
      </c>
      <c r="F26" s="169">
        <f>+E27</f>
        <v>160</v>
      </c>
      <c r="G26" s="169">
        <f>+F27</f>
        <v>320</v>
      </c>
      <c r="H26" s="169">
        <f>+G27</f>
        <v>480</v>
      </c>
      <c r="I26" s="169">
        <f>+H27</f>
        <v>640</v>
      </c>
    </row>
    <row r="27" spans="1:16">
      <c r="A27" s="5" t="s">
        <v>252</v>
      </c>
      <c r="B27" s="5"/>
      <c r="C27" s="165"/>
      <c r="D27" s="165"/>
      <c r="E27" s="169">
        <f>+E25+E26</f>
        <v>160</v>
      </c>
      <c r="F27" s="169">
        <f>+F25+F26</f>
        <v>320</v>
      </c>
      <c r="G27" s="169">
        <f>+G25+G26</f>
        <v>480</v>
      </c>
      <c r="H27" s="169">
        <f>+H25+H26</f>
        <v>640</v>
      </c>
      <c r="I27" s="169">
        <f>+I25+I26</f>
        <v>800</v>
      </c>
    </row>
  </sheetData>
  <mergeCells count="11">
    <mergeCell ref="C8:D8"/>
    <mergeCell ref="D10:D11"/>
    <mergeCell ref="E10:N10"/>
    <mergeCell ref="D22:D23"/>
    <mergeCell ref="E22:I22"/>
    <mergeCell ref="C7:D7"/>
    <mergeCell ref="C2:D2"/>
    <mergeCell ref="C3:D3"/>
    <mergeCell ref="C4:D4"/>
    <mergeCell ref="C5:D5"/>
    <mergeCell ref="C6:D6"/>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J23"/>
  <sheetViews>
    <sheetView workbookViewId="0">
      <selection activeCell="A21" sqref="A21"/>
    </sheetView>
  </sheetViews>
  <sheetFormatPr baseColWidth="10" defaultRowHeight="14.3"/>
  <cols>
    <col min="1" max="1" width="23.125" bestFit="1" customWidth="1"/>
    <col min="2" max="2" width="8.875" bestFit="1" customWidth="1"/>
    <col min="10" max="10" width="11.375" bestFit="1" customWidth="1"/>
  </cols>
  <sheetData>
    <row r="1" spans="1:10">
      <c r="A1" t="s">
        <v>43</v>
      </c>
      <c r="B1">
        <v>12</v>
      </c>
    </row>
    <row r="2" spans="1:10">
      <c r="A2" t="s">
        <v>44</v>
      </c>
      <c r="B2" s="24">
        <v>0.1115</v>
      </c>
      <c r="C2" s="25"/>
      <c r="D2" s="25"/>
      <c r="E2" s="25"/>
      <c r="F2" s="25"/>
      <c r="G2" s="25"/>
    </row>
    <row r="3" spans="1:10">
      <c r="A3" t="s">
        <v>45</v>
      </c>
      <c r="B3" s="24">
        <v>9.35E-2</v>
      </c>
    </row>
    <row r="4" spans="1:10" ht="40.75">
      <c r="A4" s="5" t="s">
        <v>46</v>
      </c>
      <c r="B4" s="26" t="s">
        <v>47</v>
      </c>
      <c r="C4" s="26" t="s">
        <v>48</v>
      </c>
      <c r="D4" s="26" t="s">
        <v>49</v>
      </c>
      <c r="E4" s="26" t="s">
        <v>50</v>
      </c>
      <c r="F4" s="26" t="s">
        <v>51</v>
      </c>
      <c r="G4" s="26" t="s">
        <v>52</v>
      </c>
      <c r="H4" s="26" t="s">
        <v>53</v>
      </c>
      <c r="I4" s="26" t="s">
        <v>54</v>
      </c>
      <c r="J4" s="26" t="s">
        <v>55</v>
      </c>
    </row>
    <row r="5" spans="1:10">
      <c r="A5" s="5" t="s">
        <v>56</v>
      </c>
      <c r="B5" s="27">
        <f>'Supuestos '!F7</f>
        <v>400</v>
      </c>
      <c r="C5" s="27">
        <f t="shared" ref="C5:C12" si="0">+B5*$B$2</f>
        <v>44.6</v>
      </c>
      <c r="D5" s="27">
        <f t="shared" ref="D5:D12" si="1">+B5*$B$3</f>
        <v>37.4</v>
      </c>
      <c r="E5" s="27">
        <f>+B5-D5</f>
        <v>362.6</v>
      </c>
      <c r="F5" s="27">
        <f t="shared" ref="F5:F13" si="2">+C5*$B$1</f>
        <v>535.20000000000005</v>
      </c>
      <c r="G5" s="27">
        <f>+E5*$B$1</f>
        <v>4351.2000000000007</v>
      </c>
      <c r="H5" s="27">
        <f>B5</f>
        <v>400</v>
      </c>
      <c r="I5" s="27">
        <v>218</v>
      </c>
      <c r="J5" s="27">
        <f t="shared" ref="J5:J12" si="3">SUM(F5:I5)</f>
        <v>5504.4000000000005</v>
      </c>
    </row>
    <row r="6" spans="1:10">
      <c r="A6" s="5" t="s">
        <v>57</v>
      </c>
      <c r="B6" s="27">
        <f>'Supuestos '!F8</f>
        <v>300</v>
      </c>
      <c r="C6" s="27">
        <f t="shared" si="0"/>
        <v>33.450000000000003</v>
      </c>
      <c r="D6" s="27">
        <f t="shared" si="1"/>
        <v>28.05</v>
      </c>
      <c r="E6" s="27">
        <f t="shared" ref="E6:E22" si="4">+B6-D6</f>
        <v>271.95</v>
      </c>
      <c r="F6" s="27">
        <f t="shared" si="2"/>
        <v>401.40000000000003</v>
      </c>
      <c r="G6" s="27">
        <f t="shared" ref="G6:G22" si="5">+E6*$B$1</f>
        <v>3263.3999999999996</v>
      </c>
      <c r="H6" s="27">
        <f t="shared" ref="H6:H22" si="6">B6</f>
        <v>300</v>
      </c>
      <c r="I6" s="27">
        <v>218</v>
      </c>
      <c r="J6" s="27">
        <f t="shared" si="3"/>
        <v>4182.7999999999993</v>
      </c>
    </row>
    <row r="7" spans="1:10">
      <c r="A7" s="5" t="s">
        <v>58</v>
      </c>
      <c r="B7" s="27">
        <f>'Supuestos '!F9</f>
        <v>300</v>
      </c>
      <c r="C7" s="27">
        <f t="shared" si="0"/>
        <v>33.450000000000003</v>
      </c>
      <c r="D7" s="27">
        <f t="shared" si="1"/>
        <v>28.05</v>
      </c>
      <c r="E7" s="27">
        <f t="shared" si="4"/>
        <v>271.95</v>
      </c>
      <c r="F7" s="27">
        <f t="shared" si="2"/>
        <v>401.40000000000003</v>
      </c>
      <c r="G7" s="27">
        <f t="shared" si="5"/>
        <v>3263.3999999999996</v>
      </c>
      <c r="H7" s="27">
        <f t="shared" si="6"/>
        <v>300</v>
      </c>
      <c r="I7" s="27">
        <v>218</v>
      </c>
      <c r="J7" s="27">
        <f t="shared" si="3"/>
        <v>4182.7999999999993</v>
      </c>
    </row>
    <row r="8" spans="1:10">
      <c r="A8" s="5" t="s">
        <v>59</v>
      </c>
      <c r="B8" s="27">
        <f>'Supuestos '!F10</f>
        <v>300</v>
      </c>
      <c r="C8" s="27">
        <f t="shared" si="0"/>
        <v>33.450000000000003</v>
      </c>
      <c r="D8" s="27">
        <f t="shared" si="1"/>
        <v>28.05</v>
      </c>
      <c r="E8" s="27">
        <f t="shared" si="4"/>
        <v>271.95</v>
      </c>
      <c r="F8" s="27">
        <f t="shared" si="2"/>
        <v>401.40000000000003</v>
      </c>
      <c r="G8" s="27">
        <f t="shared" si="5"/>
        <v>3263.3999999999996</v>
      </c>
      <c r="H8" s="27">
        <f t="shared" si="6"/>
        <v>300</v>
      </c>
      <c r="I8" s="27">
        <v>218</v>
      </c>
      <c r="J8" s="27">
        <f t="shared" si="3"/>
        <v>4182.7999999999993</v>
      </c>
    </row>
    <row r="9" spans="1:10">
      <c r="A9" s="5" t="s">
        <v>60</v>
      </c>
      <c r="B9" s="27">
        <f>'Supuestos '!F11</f>
        <v>300</v>
      </c>
      <c r="C9" s="27">
        <f t="shared" si="0"/>
        <v>33.450000000000003</v>
      </c>
      <c r="D9" s="27">
        <f t="shared" si="1"/>
        <v>28.05</v>
      </c>
      <c r="E9" s="27">
        <f t="shared" si="4"/>
        <v>271.95</v>
      </c>
      <c r="F9" s="27">
        <f t="shared" si="2"/>
        <v>401.40000000000003</v>
      </c>
      <c r="G9" s="27">
        <f t="shared" si="5"/>
        <v>3263.3999999999996</v>
      </c>
      <c r="H9" s="27">
        <f t="shared" si="6"/>
        <v>300</v>
      </c>
      <c r="I9" s="27">
        <v>218</v>
      </c>
      <c r="J9" s="27">
        <f t="shared" si="3"/>
        <v>4182.7999999999993</v>
      </c>
    </row>
    <row r="10" spans="1:10">
      <c r="A10" s="5" t="s">
        <v>61</v>
      </c>
      <c r="B10" s="27">
        <f>'Supuestos '!F12</f>
        <v>300</v>
      </c>
      <c r="C10" s="27">
        <f t="shared" si="0"/>
        <v>33.450000000000003</v>
      </c>
      <c r="D10" s="27">
        <f t="shared" si="1"/>
        <v>28.05</v>
      </c>
      <c r="E10" s="27">
        <f t="shared" si="4"/>
        <v>271.95</v>
      </c>
      <c r="F10" s="27">
        <f t="shared" si="2"/>
        <v>401.40000000000003</v>
      </c>
      <c r="G10" s="27">
        <f t="shared" si="5"/>
        <v>3263.3999999999996</v>
      </c>
      <c r="H10" s="27">
        <f t="shared" si="6"/>
        <v>300</v>
      </c>
      <c r="I10" s="27">
        <v>218</v>
      </c>
      <c r="J10" s="27">
        <f t="shared" si="3"/>
        <v>4182.7999999999993</v>
      </c>
    </row>
    <row r="11" spans="1:10">
      <c r="A11" s="5" t="s">
        <v>62</v>
      </c>
      <c r="B11" s="27">
        <f>'Supuestos '!F13</f>
        <v>225</v>
      </c>
      <c r="C11" s="27">
        <f t="shared" si="0"/>
        <v>25.087500000000002</v>
      </c>
      <c r="D11" s="27">
        <f t="shared" si="1"/>
        <v>21.037500000000001</v>
      </c>
      <c r="E11" s="27">
        <f t="shared" si="4"/>
        <v>203.96250000000001</v>
      </c>
      <c r="F11" s="27">
        <f t="shared" si="2"/>
        <v>301.05</v>
      </c>
      <c r="G11" s="27">
        <f t="shared" si="5"/>
        <v>2447.5500000000002</v>
      </c>
      <c r="H11" s="27">
        <f t="shared" si="6"/>
        <v>225</v>
      </c>
      <c r="I11" s="27">
        <v>218</v>
      </c>
      <c r="J11" s="27">
        <f t="shared" si="3"/>
        <v>3191.6000000000004</v>
      </c>
    </row>
    <row r="12" spans="1:10">
      <c r="A12" s="5" t="s">
        <v>63</v>
      </c>
      <c r="B12" s="27">
        <f>'Supuestos '!F14</f>
        <v>218</v>
      </c>
      <c r="C12" s="27">
        <f t="shared" si="0"/>
        <v>24.307000000000002</v>
      </c>
      <c r="D12" s="27">
        <f t="shared" si="1"/>
        <v>20.382999999999999</v>
      </c>
      <c r="E12" s="27">
        <f t="shared" si="4"/>
        <v>197.61699999999999</v>
      </c>
      <c r="F12" s="27">
        <f t="shared" si="2"/>
        <v>291.68400000000003</v>
      </c>
      <c r="G12" s="27">
        <f t="shared" si="5"/>
        <v>2371.404</v>
      </c>
      <c r="H12" s="27">
        <f t="shared" si="6"/>
        <v>218</v>
      </c>
      <c r="I12" s="27">
        <v>218</v>
      </c>
      <c r="J12" s="27">
        <f t="shared" si="3"/>
        <v>3099.0880000000002</v>
      </c>
    </row>
    <row r="13" spans="1:10">
      <c r="A13" s="5" t="s">
        <v>166</v>
      </c>
      <c r="B13" s="27">
        <f>'Supuestos '!F15</f>
        <v>218</v>
      </c>
      <c r="C13" s="27">
        <f>B13*B2</f>
        <v>24.307000000000002</v>
      </c>
      <c r="D13" s="27">
        <f>B13*B3</f>
        <v>20.382999999999999</v>
      </c>
      <c r="E13" s="27">
        <f t="shared" si="4"/>
        <v>197.61699999999999</v>
      </c>
      <c r="F13" s="27">
        <f t="shared" si="2"/>
        <v>291.68400000000003</v>
      </c>
      <c r="G13" s="27">
        <f t="shared" si="5"/>
        <v>2371.404</v>
      </c>
      <c r="H13" s="27">
        <f t="shared" si="6"/>
        <v>218</v>
      </c>
      <c r="I13" s="27">
        <v>218</v>
      </c>
      <c r="J13" s="27">
        <f>SUM(F13:I13)</f>
        <v>3099.0880000000002</v>
      </c>
    </row>
    <row r="14" spans="1:10">
      <c r="A14" s="5" t="s">
        <v>167</v>
      </c>
      <c r="B14" s="27">
        <f>'Supuestos '!F16</f>
        <v>218</v>
      </c>
      <c r="C14" s="27">
        <f>B14*$B$2</f>
        <v>24.307000000000002</v>
      </c>
      <c r="D14" s="27">
        <f>B14*$B$3</f>
        <v>20.382999999999999</v>
      </c>
      <c r="E14" s="27">
        <f t="shared" si="4"/>
        <v>197.61699999999999</v>
      </c>
      <c r="F14" s="27">
        <f t="shared" ref="F14:F22" si="7">+C14*$B$1</f>
        <v>291.68400000000003</v>
      </c>
      <c r="G14" s="27">
        <f t="shared" si="5"/>
        <v>2371.404</v>
      </c>
      <c r="H14" s="27">
        <f t="shared" si="6"/>
        <v>218</v>
      </c>
      <c r="I14" s="27">
        <v>218</v>
      </c>
      <c r="J14" s="27">
        <f t="shared" ref="J14:J22" si="8">SUM(F14:I14)</f>
        <v>3099.0880000000002</v>
      </c>
    </row>
    <row r="15" spans="1:10">
      <c r="A15" s="5" t="s">
        <v>64</v>
      </c>
      <c r="B15" s="27">
        <f>'Supuestos '!F19</f>
        <v>218</v>
      </c>
      <c r="C15" s="27">
        <f t="shared" ref="C15:C22" si="9">B15*$B$2</f>
        <v>24.307000000000002</v>
      </c>
      <c r="D15" s="27">
        <f t="shared" ref="D15:D22" si="10">B15*$B$3</f>
        <v>20.382999999999999</v>
      </c>
      <c r="E15" s="27">
        <f t="shared" si="4"/>
        <v>197.61699999999999</v>
      </c>
      <c r="F15" s="27">
        <f t="shared" si="7"/>
        <v>291.68400000000003</v>
      </c>
      <c r="G15" s="27">
        <f t="shared" si="5"/>
        <v>2371.404</v>
      </c>
      <c r="H15" s="27">
        <f t="shared" si="6"/>
        <v>218</v>
      </c>
      <c r="I15" s="27">
        <v>218</v>
      </c>
      <c r="J15" s="27">
        <f t="shared" si="8"/>
        <v>3099.0880000000002</v>
      </c>
    </row>
    <row r="16" spans="1:10">
      <c r="A16" s="5" t="s">
        <v>168</v>
      </c>
      <c r="B16" s="27">
        <f>'Supuestos '!F20</f>
        <v>218</v>
      </c>
      <c r="C16" s="27">
        <f t="shared" si="9"/>
        <v>24.307000000000002</v>
      </c>
      <c r="D16" s="27">
        <f t="shared" si="10"/>
        <v>20.382999999999999</v>
      </c>
      <c r="E16" s="27">
        <f t="shared" si="4"/>
        <v>197.61699999999999</v>
      </c>
      <c r="F16" s="27">
        <f t="shared" si="7"/>
        <v>291.68400000000003</v>
      </c>
      <c r="G16" s="27">
        <f t="shared" si="5"/>
        <v>2371.404</v>
      </c>
      <c r="H16" s="27">
        <f t="shared" si="6"/>
        <v>218</v>
      </c>
      <c r="I16" s="27">
        <v>218</v>
      </c>
      <c r="J16" s="27">
        <f t="shared" si="8"/>
        <v>3099.0880000000002</v>
      </c>
    </row>
    <row r="17" spans="1:10">
      <c r="A17" s="5" t="s">
        <v>169</v>
      </c>
      <c r="B17" s="27">
        <f>'Supuestos '!F21</f>
        <v>218</v>
      </c>
      <c r="C17" s="27">
        <f t="shared" si="9"/>
        <v>24.307000000000002</v>
      </c>
      <c r="D17" s="27">
        <f t="shared" si="10"/>
        <v>20.382999999999999</v>
      </c>
      <c r="E17" s="27">
        <f t="shared" si="4"/>
        <v>197.61699999999999</v>
      </c>
      <c r="F17" s="27">
        <f t="shared" si="7"/>
        <v>291.68400000000003</v>
      </c>
      <c r="G17" s="27">
        <f t="shared" si="5"/>
        <v>2371.404</v>
      </c>
      <c r="H17" s="27">
        <f t="shared" si="6"/>
        <v>218</v>
      </c>
      <c r="I17" s="27">
        <v>218</v>
      </c>
      <c r="J17" s="27">
        <f t="shared" si="8"/>
        <v>3099.0880000000002</v>
      </c>
    </row>
    <row r="18" spans="1:10">
      <c r="A18" s="5" t="s">
        <v>65</v>
      </c>
      <c r="B18" s="27">
        <f>'Supuestos '!F22</f>
        <v>218</v>
      </c>
      <c r="C18" s="27">
        <f t="shared" si="9"/>
        <v>24.307000000000002</v>
      </c>
      <c r="D18" s="27">
        <f t="shared" si="10"/>
        <v>20.382999999999999</v>
      </c>
      <c r="E18" s="27">
        <f t="shared" si="4"/>
        <v>197.61699999999999</v>
      </c>
      <c r="F18" s="27">
        <f t="shared" si="7"/>
        <v>291.68400000000003</v>
      </c>
      <c r="G18" s="27">
        <f t="shared" si="5"/>
        <v>2371.404</v>
      </c>
      <c r="H18" s="27">
        <f t="shared" si="6"/>
        <v>218</v>
      </c>
      <c r="I18" s="27">
        <v>218</v>
      </c>
      <c r="J18" s="27">
        <f t="shared" si="8"/>
        <v>3099.0880000000002</v>
      </c>
    </row>
    <row r="19" spans="1:10">
      <c r="A19" s="5" t="s">
        <v>170</v>
      </c>
      <c r="B19" s="27">
        <f>'Supuestos '!F23</f>
        <v>218</v>
      </c>
      <c r="C19" s="27">
        <f t="shared" si="9"/>
        <v>24.307000000000002</v>
      </c>
      <c r="D19" s="27">
        <f t="shared" si="10"/>
        <v>20.382999999999999</v>
      </c>
      <c r="E19" s="27">
        <f t="shared" si="4"/>
        <v>197.61699999999999</v>
      </c>
      <c r="F19" s="27">
        <f t="shared" si="7"/>
        <v>291.68400000000003</v>
      </c>
      <c r="G19" s="27">
        <f t="shared" si="5"/>
        <v>2371.404</v>
      </c>
      <c r="H19" s="27">
        <f t="shared" si="6"/>
        <v>218</v>
      </c>
      <c r="I19" s="27">
        <v>218</v>
      </c>
      <c r="J19" s="27">
        <f t="shared" si="8"/>
        <v>3099.0880000000002</v>
      </c>
    </row>
    <row r="20" spans="1:10">
      <c r="A20" s="5" t="s">
        <v>171</v>
      </c>
      <c r="B20" s="27">
        <f>'Supuestos '!F24</f>
        <v>218</v>
      </c>
      <c r="C20" s="27">
        <f t="shared" si="9"/>
        <v>24.307000000000002</v>
      </c>
      <c r="D20" s="27">
        <f t="shared" si="10"/>
        <v>20.382999999999999</v>
      </c>
      <c r="E20" s="27">
        <f t="shared" si="4"/>
        <v>197.61699999999999</v>
      </c>
      <c r="F20" s="27">
        <f t="shared" si="7"/>
        <v>291.68400000000003</v>
      </c>
      <c r="G20" s="27">
        <f t="shared" si="5"/>
        <v>2371.404</v>
      </c>
      <c r="H20" s="27">
        <f t="shared" si="6"/>
        <v>218</v>
      </c>
      <c r="I20" s="27">
        <v>218</v>
      </c>
      <c r="J20" s="27">
        <f t="shared" si="8"/>
        <v>3099.0880000000002</v>
      </c>
    </row>
    <row r="21" spans="1:10">
      <c r="A21" s="5" t="s">
        <v>66</v>
      </c>
      <c r="B21" s="27">
        <f>'Supuestos '!F17</f>
        <v>218</v>
      </c>
      <c r="C21" s="27">
        <f t="shared" si="9"/>
        <v>24.307000000000002</v>
      </c>
      <c r="D21" s="27">
        <f t="shared" si="10"/>
        <v>20.382999999999999</v>
      </c>
      <c r="E21" s="27">
        <f t="shared" si="4"/>
        <v>197.61699999999999</v>
      </c>
      <c r="F21" s="27">
        <f t="shared" si="7"/>
        <v>291.68400000000003</v>
      </c>
      <c r="G21" s="27">
        <f t="shared" si="5"/>
        <v>2371.404</v>
      </c>
      <c r="H21" s="27">
        <f t="shared" si="6"/>
        <v>218</v>
      </c>
      <c r="I21" s="27">
        <v>218</v>
      </c>
      <c r="J21" s="27">
        <f t="shared" si="8"/>
        <v>3099.0880000000002</v>
      </c>
    </row>
    <row r="22" spans="1:10">
      <c r="A22" s="5" t="s">
        <v>165</v>
      </c>
      <c r="B22" s="27">
        <f>'Supuestos '!F18</f>
        <v>218</v>
      </c>
      <c r="C22" s="27">
        <f t="shared" si="9"/>
        <v>24.307000000000002</v>
      </c>
      <c r="D22" s="27">
        <f t="shared" si="10"/>
        <v>20.382999999999999</v>
      </c>
      <c r="E22" s="27">
        <f t="shared" si="4"/>
        <v>197.61699999999999</v>
      </c>
      <c r="F22" s="27">
        <f t="shared" si="7"/>
        <v>291.68400000000003</v>
      </c>
      <c r="G22" s="27">
        <f t="shared" si="5"/>
        <v>2371.404</v>
      </c>
      <c r="H22" s="27">
        <f t="shared" si="6"/>
        <v>218</v>
      </c>
      <c r="I22" s="27">
        <v>218</v>
      </c>
      <c r="J22" s="27">
        <f t="shared" si="8"/>
        <v>3099.0880000000002</v>
      </c>
    </row>
    <row r="23" spans="1:10">
      <c r="A23" s="5"/>
      <c r="B23" s="27"/>
      <c r="C23" s="27"/>
      <c r="D23" s="27"/>
      <c r="E23" s="27"/>
      <c r="F23" s="27"/>
      <c r="G23" s="27"/>
      <c r="H23" s="27"/>
      <c r="I23" s="27"/>
      <c r="J23" s="27">
        <f>SUM(J5:J22)</f>
        <v>63699.96800000003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19"/>
  <sheetViews>
    <sheetView topLeftCell="A3" zoomScale="50" zoomScaleNormal="50" workbookViewId="0">
      <selection activeCell="I21" sqref="I21"/>
    </sheetView>
  </sheetViews>
  <sheetFormatPr baseColWidth="10" defaultRowHeight="14.3"/>
  <cols>
    <col min="1" max="1" width="56.125" bestFit="1" customWidth="1"/>
    <col min="2" max="2" width="22.375" bestFit="1" customWidth="1"/>
    <col min="3" max="8" width="22.125" bestFit="1" customWidth="1"/>
    <col min="9" max="9" width="22.375" bestFit="1" customWidth="1"/>
    <col min="10" max="11" width="24.375" bestFit="1" customWidth="1"/>
  </cols>
  <sheetData>
    <row r="1" spans="1:11" ht="28.55">
      <c r="A1" s="341" t="s">
        <v>321</v>
      </c>
      <c r="B1" s="341"/>
      <c r="C1" s="341"/>
      <c r="D1" s="341"/>
      <c r="E1" s="341"/>
      <c r="F1" s="341"/>
      <c r="G1" s="341"/>
      <c r="H1" s="341"/>
      <c r="I1" s="341"/>
      <c r="J1" s="341"/>
      <c r="K1" s="341"/>
    </row>
    <row r="2" spans="1:11" ht="28.55">
      <c r="A2" s="342" t="s">
        <v>322</v>
      </c>
      <c r="B2" s="342"/>
      <c r="C2" s="342"/>
      <c r="D2" s="342"/>
      <c r="E2" s="342"/>
      <c r="F2" s="342"/>
      <c r="G2" s="342"/>
      <c r="H2" s="342"/>
      <c r="I2" s="342"/>
      <c r="J2" s="342"/>
      <c r="K2" s="342"/>
    </row>
    <row r="4" spans="1:11" ht="23.8">
      <c r="A4" s="248" t="s">
        <v>99</v>
      </c>
      <c r="B4" s="248" t="s">
        <v>101</v>
      </c>
      <c r="C4" s="248" t="s">
        <v>102</v>
      </c>
      <c r="D4" s="248" t="s">
        <v>103</v>
      </c>
      <c r="E4" s="248" t="s">
        <v>104</v>
      </c>
      <c r="F4" s="248" t="s">
        <v>105</v>
      </c>
      <c r="G4" s="248" t="s">
        <v>122</v>
      </c>
      <c r="H4" s="248" t="s">
        <v>123</v>
      </c>
      <c r="I4" s="248" t="s">
        <v>124</v>
      </c>
      <c r="J4" s="248" t="s">
        <v>125</v>
      </c>
      <c r="K4" s="248" t="s">
        <v>126</v>
      </c>
    </row>
    <row r="5" spans="1:11" ht="23.8">
      <c r="A5" s="249" t="s">
        <v>106</v>
      </c>
      <c r="B5" s="250"/>
      <c r="C5" s="250"/>
      <c r="D5" s="250"/>
      <c r="E5" s="250"/>
      <c r="F5" s="250"/>
      <c r="G5" s="250"/>
      <c r="H5" s="250"/>
      <c r="I5" s="250"/>
      <c r="J5" s="250"/>
      <c r="K5" s="250"/>
    </row>
    <row r="6" spans="1:11" ht="23.8">
      <c r="A6" s="251" t="s">
        <v>323</v>
      </c>
      <c r="B6" s="252">
        <f>+'Flujo de caja del Inversionista'!C4</f>
        <v>171618.06626223776</v>
      </c>
      <c r="C6" s="252">
        <f>+'Flujo de caja del Inversionista'!D4</f>
        <v>183687.92813811189</v>
      </c>
      <c r="D6" s="252">
        <f>+'Flujo de caja del Inversionista'!E4</f>
        <v>302837.94689685322</v>
      </c>
      <c r="E6" s="252">
        <f>+'Flujo de caja del Inversionista'!F4</f>
        <v>324265.24703590915</v>
      </c>
      <c r="F6" s="252">
        <f>+'Flujo de caja del Inversionista'!G4</f>
        <v>347211.93904966593</v>
      </c>
      <c r="G6" s="252">
        <f>+'Flujo de caja del Inversionista'!H4</f>
        <v>371785.91229239415</v>
      </c>
      <c r="H6" s="252">
        <f>+'Flujo de caja del Inversionista'!I4</f>
        <v>398102.72408293025</v>
      </c>
      <c r="I6" s="252">
        <f>+'Flujo de caja del Inversionista'!J4</f>
        <v>426286.1450082768</v>
      </c>
      <c r="J6" s="252">
        <f>+'Flujo de caja del Inversionista'!K4</f>
        <v>456468.74302134075</v>
      </c>
      <c r="K6" s="252">
        <f>+'Flujo de caja del Inversionista'!L4</f>
        <v>488792.50909343123</v>
      </c>
    </row>
    <row r="7" spans="1:11" ht="23.8">
      <c r="A7" s="253" t="s">
        <v>107</v>
      </c>
      <c r="B7" s="252"/>
      <c r="C7" s="252"/>
      <c r="D7" s="252"/>
      <c r="E7" s="252"/>
      <c r="F7" s="252"/>
      <c r="G7" s="250"/>
      <c r="H7" s="250"/>
      <c r="I7" s="250"/>
      <c r="J7" s="250"/>
      <c r="K7" s="250"/>
    </row>
    <row r="8" spans="1:11" ht="23.8">
      <c r="A8" s="251" t="s">
        <v>108</v>
      </c>
      <c r="B8" s="254">
        <f>+'Flujo de caja del Inversionista'!C6</f>
        <v>74067.968000000023</v>
      </c>
      <c r="C8" s="254">
        <f>+'Flujo de caja del Inversionista'!D6</f>
        <v>75549.327360000025</v>
      </c>
      <c r="D8" s="254">
        <f>+'Flujo de caja del Inversionista'!E6</f>
        <v>77060.313907200019</v>
      </c>
      <c r="E8" s="254">
        <f>+'Flujo de caja del Inversionista'!F6</f>
        <v>78601.520185344023</v>
      </c>
      <c r="F8" s="254">
        <f>+'Flujo de caja del Inversionista'!G6</f>
        <v>80173.550589050908</v>
      </c>
      <c r="G8" s="254">
        <f>+'Flujo de caja del Inversionista'!H6</f>
        <v>81777.021600831926</v>
      </c>
      <c r="H8" s="254">
        <f>+'Flujo de caja del Inversionista'!I6</f>
        <v>83412.562032848567</v>
      </c>
      <c r="I8" s="254">
        <f>+'Flujo de caja del Inversionista'!J6</f>
        <v>85080.813273505541</v>
      </c>
      <c r="J8" s="254">
        <f>+'Flujo de caja del Inversionista'!K6</f>
        <v>86782.429538975659</v>
      </c>
      <c r="K8" s="254">
        <f>+'Flujo de caja del Inversionista'!L6</f>
        <v>88518.078129755173</v>
      </c>
    </row>
    <row r="9" spans="1:11" ht="23.8">
      <c r="A9" s="251" t="s">
        <v>87</v>
      </c>
      <c r="B9" s="254">
        <f>+'Flujo de caja del Inversionista'!C7</f>
        <v>5108.5200000000004</v>
      </c>
      <c r="C9" s="254">
        <f>+'Flujo de caja del Inversionista'!D7</f>
        <v>5108.5200000000004</v>
      </c>
      <c r="D9" s="254">
        <f>+'Flujo de caja del Inversionista'!E7</f>
        <v>5108.5200000000004</v>
      </c>
      <c r="E9" s="254">
        <f>+'Flujo de caja del Inversionista'!F7</f>
        <v>5108.5200000000004</v>
      </c>
      <c r="F9" s="254">
        <f>+'Flujo de caja del Inversionista'!G7</f>
        <v>5108.5200000000004</v>
      </c>
      <c r="G9" s="254">
        <f>+'Flujo de caja del Inversionista'!H7</f>
        <v>5108.5200000000004</v>
      </c>
      <c r="H9" s="254">
        <f>+'Flujo de caja del Inversionista'!I7</f>
        <v>5108.5200000000004</v>
      </c>
      <c r="I9" s="254">
        <f>+'Flujo de caja del Inversionista'!J7</f>
        <v>5108.5200000000004</v>
      </c>
      <c r="J9" s="254">
        <f>+'Flujo de caja del Inversionista'!K7</f>
        <v>5108.5200000000004</v>
      </c>
      <c r="K9" s="254">
        <f>+'Flujo de caja del Inversionista'!L7</f>
        <v>5108.5200000000004</v>
      </c>
    </row>
    <row r="10" spans="1:11" ht="23.8">
      <c r="A10" s="251" t="s">
        <v>109</v>
      </c>
      <c r="B10" s="254">
        <f>+'Flujo de caja del Inversionista'!C8</f>
        <v>57455.802638095818</v>
      </c>
      <c r="C10" s="254">
        <f>+'Flujo de caja del Inversionista'!D8</f>
        <v>54038.9944617808</v>
      </c>
      <c r="D10" s="254">
        <f>+'Flujo de caja del Inversionista'!E8</f>
        <v>50212.169304307979</v>
      </c>
      <c r="E10" s="254">
        <f>+'Flujo de caja del Inversionista'!F8</f>
        <v>45926.125127938423</v>
      </c>
      <c r="F10" s="254">
        <f>+'Flujo de caja del Inversionista'!G8</f>
        <v>41125.755650404513</v>
      </c>
      <c r="G10" s="254">
        <f>+'Flujo de caja del Inversionista'!H8</f>
        <v>35749.341835566534</v>
      </c>
      <c r="H10" s="254">
        <f>+'Flujo de caja del Inversionista'!I8</f>
        <v>29727.758362947996</v>
      </c>
      <c r="I10" s="254">
        <f>+'Flujo de caja del Inversionista'!J8</f>
        <v>22983.584873615233</v>
      </c>
      <c r="J10" s="254">
        <f>+'Flujo de caja del Inversionista'!K8</f>
        <v>15430.11056556254</v>
      </c>
      <c r="K10" s="254">
        <f>+'Flujo de caja del Inversionista'!L8</f>
        <v>6970.2193405435191</v>
      </c>
    </row>
    <row r="11" spans="1:11" ht="23.8">
      <c r="A11" s="251" t="s">
        <v>110</v>
      </c>
      <c r="B11" s="254">
        <f>+'Depreciacion '!E17</f>
        <v>8310.1083333333336</v>
      </c>
      <c r="C11" s="254">
        <f>+'Depreciacion '!F17</f>
        <v>8310.1083333333336</v>
      </c>
      <c r="D11" s="254">
        <f>+'Depreciacion '!G17</f>
        <v>8310.1083333333336</v>
      </c>
      <c r="E11" s="254">
        <f>+'Depreciacion '!H17</f>
        <v>8310.1083333333336</v>
      </c>
      <c r="F11" s="254">
        <f>+'Depreciacion '!I17</f>
        <v>8310.1083333333336</v>
      </c>
      <c r="G11" s="254">
        <f>+'Depreciacion '!J17</f>
        <v>8310.1083333333336</v>
      </c>
      <c r="H11" s="254">
        <f>+'Depreciacion '!K17</f>
        <v>8310.1083333333336</v>
      </c>
      <c r="I11" s="254">
        <f>+'Depreciacion '!L17</f>
        <v>8310.1083333333336</v>
      </c>
      <c r="J11" s="254">
        <f>+'Depreciacion '!M17</f>
        <v>8310.1083333333336</v>
      </c>
      <c r="K11" s="254">
        <f>+'Depreciacion '!N17</f>
        <v>8310.1083333333336</v>
      </c>
    </row>
    <row r="12" spans="1:11" ht="23.8">
      <c r="A12" s="251" t="s">
        <v>254</v>
      </c>
      <c r="B12" s="254">
        <f>+'Flujo de caja del Inversionista'!C10</f>
        <v>160</v>
      </c>
      <c r="C12" s="254">
        <f>+'Flujo de caja del Inversionista'!D10</f>
        <v>160</v>
      </c>
      <c r="D12" s="254">
        <f>+'Flujo de caja del Inversionista'!E10</f>
        <v>160</v>
      </c>
      <c r="E12" s="254">
        <f>+'Flujo de caja del Inversionista'!F10</f>
        <v>160</v>
      </c>
      <c r="F12" s="254">
        <f>+'Flujo de caja del Inversionista'!G10</f>
        <v>160</v>
      </c>
      <c r="G12" s="254"/>
      <c r="H12" s="254"/>
      <c r="I12" s="254"/>
      <c r="J12" s="254"/>
      <c r="K12" s="254"/>
    </row>
    <row r="13" spans="1:11" ht="23.8">
      <c r="A13" s="255" t="s">
        <v>111</v>
      </c>
      <c r="B13" s="256">
        <f t="shared" ref="B13:K13" si="0">B6-SUM(B8:B12)</f>
        <v>26515.667290808575</v>
      </c>
      <c r="C13" s="256">
        <f t="shared" si="0"/>
        <v>40520.97798299772</v>
      </c>
      <c r="D13" s="256">
        <f t="shared" si="0"/>
        <v>161986.83535201187</v>
      </c>
      <c r="E13" s="256">
        <f t="shared" si="0"/>
        <v>186158.97338929336</v>
      </c>
      <c r="F13" s="256">
        <f t="shared" si="0"/>
        <v>212334.00447687716</v>
      </c>
      <c r="G13" s="256">
        <f t="shared" si="0"/>
        <v>240840.92052266235</v>
      </c>
      <c r="H13" s="256">
        <f t="shared" si="0"/>
        <v>271543.77535380033</v>
      </c>
      <c r="I13" s="256">
        <f t="shared" si="0"/>
        <v>304803.11852782266</v>
      </c>
      <c r="J13" s="256">
        <f t="shared" si="0"/>
        <v>340837.57458346919</v>
      </c>
      <c r="K13" s="256">
        <f t="shared" si="0"/>
        <v>379885.58328979916</v>
      </c>
    </row>
    <row r="14" spans="1:11" ht="23.8">
      <c r="A14" s="251" t="s">
        <v>112</v>
      </c>
      <c r="B14" s="254">
        <f>+B13*0.15</f>
        <v>3977.3500936212859</v>
      </c>
      <c r="C14" s="254">
        <f t="shared" ref="C14:K14" si="1">+C13*0.15</f>
        <v>6078.1466974496579</v>
      </c>
      <c r="D14" s="254">
        <f t="shared" si="1"/>
        <v>24298.02530280178</v>
      </c>
      <c r="E14" s="254">
        <f t="shared" si="1"/>
        <v>27923.846008394004</v>
      </c>
      <c r="F14" s="254">
        <f t="shared" si="1"/>
        <v>31850.100671531574</v>
      </c>
      <c r="G14" s="254">
        <f t="shared" si="1"/>
        <v>36126.138078399352</v>
      </c>
      <c r="H14" s="254">
        <f t="shared" si="1"/>
        <v>40731.566303070045</v>
      </c>
      <c r="I14" s="254">
        <f t="shared" si="1"/>
        <v>45720.467779173399</v>
      </c>
      <c r="J14" s="254">
        <f t="shared" si="1"/>
        <v>51125.63618752038</v>
      </c>
      <c r="K14" s="254">
        <f t="shared" si="1"/>
        <v>56982.837493469873</v>
      </c>
    </row>
    <row r="15" spans="1:11" ht="23.8">
      <c r="A15" s="255" t="s">
        <v>324</v>
      </c>
      <c r="B15" s="256">
        <f>B13-B14</f>
        <v>22538.317197187287</v>
      </c>
      <c r="C15" s="256">
        <f t="shared" ref="C15:K15" si="2">C13-C14</f>
        <v>34442.831285548062</v>
      </c>
      <c r="D15" s="256">
        <f t="shared" si="2"/>
        <v>137688.81004921009</v>
      </c>
      <c r="E15" s="256">
        <f t="shared" si="2"/>
        <v>158235.12738089936</v>
      </c>
      <c r="F15" s="256">
        <f t="shared" si="2"/>
        <v>180483.90380534559</v>
      </c>
      <c r="G15" s="256">
        <f t="shared" si="2"/>
        <v>204714.78244426299</v>
      </c>
      <c r="H15" s="256">
        <f t="shared" si="2"/>
        <v>230812.20905073028</v>
      </c>
      <c r="I15" s="256">
        <f t="shared" si="2"/>
        <v>259082.65074864926</v>
      </c>
      <c r="J15" s="256">
        <f t="shared" si="2"/>
        <v>289711.93839594879</v>
      </c>
      <c r="K15" s="256">
        <f t="shared" si="2"/>
        <v>322902.74579632928</v>
      </c>
    </row>
    <row r="16" spans="1:11" ht="23.8">
      <c r="A16" s="251" t="s">
        <v>114</v>
      </c>
      <c r="B16" s="254">
        <f>+B15*0.25</f>
        <v>5634.5792992968218</v>
      </c>
      <c r="C16" s="254">
        <f>+C15*0.25</f>
        <v>8610.7078213870154</v>
      </c>
      <c r="D16" s="254">
        <f t="shared" ref="D16:K16" si="3">+D15*0.25</f>
        <v>34422.202512302523</v>
      </c>
      <c r="E16" s="254">
        <f t="shared" si="3"/>
        <v>39558.781845224839</v>
      </c>
      <c r="F16" s="254">
        <f t="shared" si="3"/>
        <v>45120.975951336397</v>
      </c>
      <c r="G16" s="254">
        <f t="shared" si="3"/>
        <v>51178.695611065748</v>
      </c>
      <c r="H16" s="254">
        <f t="shared" si="3"/>
        <v>57703.05226268257</v>
      </c>
      <c r="I16" s="254">
        <f t="shared" si="3"/>
        <v>64770.662687162316</v>
      </c>
      <c r="J16" s="254">
        <f t="shared" si="3"/>
        <v>72427.984598987197</v>
      </c>
      <c r="K16" s="254">
        <f t="shared" si="3"/>
        <v>80725.686449082321</v>
      </c>
    </row>
    <row r="17" spans="1:11" ht="23.8">
      <c r="A17" s="255" t="s">
        <v>115</v>
      </c>
      <c r="B17" s="256">
        <f>B15-B16</f>
        <v>16903.737897890467</v>
      </c>
      <c r="C17" s="256">
        <f t="shared" ref="C17:K17" si="4">C15-C16</f>
        <v>25832.123464161046</v>
      </c>
      <c r="D17" s="256">
        <f t="shared" si="4"/>
        <v>103266.60753690757</v>
      </c>
      <c r="E17" s="256">
        <f t="shared" si="4"/>
        <v>118676.34553567451</v>
      </c>
      <c r="F17" s="256">
        <f t="shared" si="4"/>
        <v>135362.92785400921</v>
      </c>
      <c r="G17" s="256">
        <f t="shared" si="4"/>
        <v>153536.08683319725</v>
      </c>
      <c r="H17" s="256">
        <f t="shared" si="4"/>
        <v>173109.15678804769</v>
      </c>
      <c r="I17" s="256">
        <f t="shared" si="4"/>
        <v>194311.98806148695</v>
      </c>
      <c r="J17" s="256">
        <f t="shared" si="4"/>
        <v>217283.95379696158</v>
      </c>
      <c r="K17" s="256">
        <f t="shared" si="4"/>
        <v>242177.05934724695</v>
      </c>
    </row>
    <row r="18" spans="1:11" ht="23.8">
      <c r="A18" s="251" t="s">
        <v>325</v>
      </c>
      <c r="B18" s="254">
        <v>0</v>
      </c>
      <c r="C18" s="254">
        <f>+B19</f>
        <v>16903.737897890467</v>
      </c>
      <c r="D18" s="254">
        <f t="shared" ref="D18:K18" si="5">+C19</f>
        <v>42735.86136205151</v>
      </c>
      <c r="E18" s="254">
        <f t="shared" si="5"/>
        <v>146002.46889895908</v>
      </c>
      <c r="F18" s="254">
        <f t="shared" si="5"/>
        <v>264678.81443463359</v>
      </c>
      <c r="G18" s="254">
        <f t="shared" si="5"/>
        <v>400041.7422886428</v>
      </c>
      <c r="H18" s="254">
        <f t="shared" si="5"/>
        <v>553577.82912184007</v>
      </c>
      <c r="I18" s="254">
        <f t="shared" si="5"/>
        <v>726686.98590988782</v>
      </c>
      <c r="J18" s="254">
        <f t="shared" si="5"/>
        <v>920998.9739713748</v>
      </c>
      <c r="K18" s="254">
        <f t="shared" si="5"/>
        <v>1138282.9277683364</v>
      </c>
    </row>
    <row r="19" spans="1:11" ht="23.8">
      <c r="A19" s="255" t="s">
        <v>326</v>
      </c>
      <c r="B19" s="256">
        <f>+B17+B18</f>
        <v>16903.737897890467</v>
      </c>
      <c r="C19" s="256">
        <f t="shared" ref="C19:K19" si="6">+C17+C18</f>
        <v>42735.86136205151</v>
      </c>
      <c r="D19" s="256">
        <f t="shared" si="6"/>
        <v>146002.46889895908</v>
      </c>
      <c r="E19" s="256">
        <f t="shared" si="6"/>
        <v>264678.81443463359</v>
      </c>
      <c r="F19" s="256">
        <f t="shared" si="6"/>
        <v>400041.7422886428</v>
      </c>
      <c r="G19" s="256">
        <f t="shared" si="6"/>
        <v>553577.82912184007</v>
      </c>
      <c r="H19" s="256">
        <f t="shared" si="6"/>
        <v>726686.98590988782</v>
      </c>
      <c r="I19" s="256">
        <f t="shared" si="6"/>
        <v>920998.9739713748</v>
      </c>
      <c r="J19" s="256">
        <f t="shared" si="6"/>
        <v>1138282.9277683364</v>
      </c>
      <c r="K19" s="256">
        <f t="shared" si="6"/>
        <v>1380459.9871155834</v>
      </c>
    </row>
  </sheetData>
  <mergeCells count="2">
    <mergeCell ref="A1:K1"/>
    <mergeCell ref="A2:K2"/>
  </mergeCells>
  <pageMargins left="0.7" right="0.7" top="0.75" bottom="0.75" header="0.3" footer="0.3"/>
  <ignoredErrors>
    <ignoredError sqref="B16:C16 D16:K16" formula="1"/>
  </ignoredErrors>
  <tableParts count="1">
    <tablePart r:id="rId1"/>
  </tableParts>
</worksheet>
</file>

<file path=xl/worksheets/sheet14.xml><?xml version="1.0" encoding="utf-8"?>
<worksheet xmlns="http://schemas.openxmlformats.org/spreadsheetml/2006/main" xmlns:r="http://schemas.openxmlformats.org/officeDocument/2006/relationships">
  <dimension ref="A1:M26"/>
  <sheetViews>
    <sheetView topLeftCell="A13" zoomScale="75" zoomScaleNormal="75" workbookViewId="0">
      <selection activeCell="M23" sqref="M23"/>
    </sheetView>
  </sheetViews>
  <sheetFormatPr baseColWidth="10" defaultColWidth="11.375" defaultRowHeight="16.3"/>
  <cols>
    <col min="1" max="1" width="42.375" style="176" bestFit="1" customWidth="1"/>
    <col min="2" max="2" width="15.125" style="176" bestFit="1" customWidth="1"/>
    <col min="3" max="12" width="14.875" style="176" bestFit="1" customWidth="1"/>
    <col min="13" max="16384" width="11.375" style="176"/>
  </cols>
  <sheetData>
    <row r="1" spans="1:12">
      <c r="A1" s="343" t="s">
        <v>98</v>
      </c>
      <c r="B1" s="343"/>
      <c r="C1" s="343"/>
      <c r="D1" s="343"/>
      <c r="E1" s="343"/>
      <c r="F1" s="343"/>
      <c r="G1" s="343"/>
    </row>
    <row r="3" spans="1:12">
      <c r="A3" s="177" t="s">
        <v>99</v>
      </c>
      <c r="B3" s="177" t="s">
        <v>100</v>
      </c>
      <c r="C3" s="177" t="s">
        <v>101</v>
      </c>
      <c r="D3" s="177" t="s">
        <v>102</v>
      </c>
      <c r="E3" s="177" t="s">
        <v>103</v>
      </c>
      <c r="F3" s="177" t="s">
        <v>104</v>
      </c>
      <c r="G3" s="177" t="s">
        <v>105</v>
      </c>
      <c r="H3" s="177" t="s">
        <v>122</v>
      </c>
      <c r="I3" s="177" t="s">
        <v>123</v>
      </c>
      <c r="J3" s="177" t="s">
        <v>124</v>
      </c>
      <c r="K3" s="177" t="s">
        <v>125</v>
      </c>
      <c r="L3" s="177" t="s">
        <v>126</v>
      </c>
    </row>
    <row r="4" spans="1:12">
      <c r="A4" s="301" t="s">
        <v>106</v>
      </c>
      <c r="B4" s="301"/>
      <c r="C4" s="302">
        <f>Ingresos!C15</f>
        <v>171618.06626223776</v>
      </c>
      <c r="D4" s="302">
        <f>Ingresos!D15</f>
        <v>183687.92813811189</v>
      </c>
      <c r="E4" s="302">
        <f>Ingresos!E15</f>
        <v>302837.94689685322</v>
      </c>
      <c r="F4" s="302">
        <f>Ingresos!F15</f>
        <v>324265.24703590915</v>
      </c>
      <c r="G4" s="302">
        <f>Ingresos!G15</f>
        <v>347211.93904966593</v>
      </c>
      <c r="H4" s="302">
        <f>Ingresos!H15</f>
        <v>371785.91229239415</v>
      </c>
      <c r="I4" s="302">
        <f>Ingresos!I15</f>
        <v>398102.72408293025</v>
      </c>
      <c r="J4" s="302">
        <f>Ingresos!J15</f>
        <v>426286.1450082768</v>
      </c>
      <c r="K4" s="302">
        <f>Ingresos!K15</f>
        <v>456468.74302134075</v>
      </c>
      <c r="L4" s="302">
        <f>Ingresos!L15</f>
        <v>488792.50909343123</v>
      </c>
    </row>
    <row r="5" spans="1:12">
      <c r="A5" s="297" t="s">
        <v>107</v>
      </c>
      <c r="B5" s="299"/>
      <c r="C5" s="300">
        <f>SUM(C6:C10)</f>
        <v>145102.39897142918</v>
      </c>
      <c r="D5" s="300">
        <f>SUM(D6:D10)</f>
        <v>143166.95015511417</v>
      </c>
      <c r="E5" s="300">
        <f t="shared" ref="E5:L5" si="0">SUM(E6:E10)</f>
        <v>140851.11154484135</v>
      </c>
      <c r="F5" s="300">
        <f t="shared" si="0"/>
        <v>138106.27364661579</v>
      </c>
      <c r="G5" s="300">
        <f t="shared" si="0"/>
        <v>134877.93457278877</v>
      </c>
      <c r="H5" s="300">
        <f t="shared" si="0"/>
        <v>130944.9917697318</v>
      </c>
      <c r="I5" s="300">
        <f t="shared" si="0"/>
        <v>126558.9487291299</v>
      </c>
      <c r="J5" s="300">
        <f t="shared" si="0"/>
        <v>121483.02648045411</v>
      </c>
      <c r="K5" s="300">
        <f t="shared" si="0"/>
        <v>115631.16843787154</v>
      </c>
      <c r="L5" s="300">
        <f t="shared" si="0"/>
        <v>108906.92580363204</v>
      </c>
    </row>
    <row r="6" spans="1:12">
      <c r="A6" s="294" t="s">
        <v>108</v>
      </c>
      <c r="B6" s="294"/>
      <c r="C6" s="295">
        <f>CO!B5</f>
        <v>74067.968000000023</v>
      </c>
      <c r="D6" s="295">
        <f>CO!C5</f>
        <v>75549.327360000025</v>
      </c>
      <c r="E6" s="295">
        <f>CO!D5</f>
        <v>77060.313907200019</v>
      </c>
      <c r="F6" s="295">
        <f>CO!E5</f>
        <v>78601.520185344023</v>
      </c>
      <c r="G6" s="295">
        <f>CO!F5</f>
        <v>80173.550589050908</v>
      </c>
      <c r="H6" s="295">
        <f>CO!G5</f>
        <v>81777.021600831926</v>
      </c>
      <c r="I6" s="295">
        <f>CO!H5</f>
        <v>83412.562032848567</v>
      </c>
      <c r="J6" s="295">
        <f>CO!I5</f>
        <v>85080.813273505541</v>
      </c>
      <c r="K6" s="295">
        <f>CO!J5</f>
        <v>86782.429538975659</v>
      </c>
      <c r="L6" s="295">
        <f>CO!K5</f>
        <v>88518.078129755173</v>
      </c>
    </row>
    <row r="7" spans="1:12">
      <c r="A7" s="294" t="s">
        <v>87</v>
      </c>
      <c r="B7" s="294"/>
      <c r="C7" s="295">
        <f>CNO!C8</f>
        <v>5108.5200000000004</v>
      </c>
      <c r="D7" s="295">
        <f t="shared" ref="D7:L7" si="1">C7</f>
        <v>5108.5200000000004</v>
      </c>
      <c r="E7" s="295">
        <f t="shared" si="1"/>
        <v>5108.5200000000004</v>
      </c>
      <c r="F7" s="295">
        <f t="shared" si="1"/>
        <v>5108.5200000000004</v>
      </c>
      <c r="G7" s="295">
        <f t="shared" si="1"/>
        <v>5108.5200000000004</v>
      </c>
      <c r="H7" s="295">
        <f t="shared" si="1"/>
        <v>5108.5200000000004</v>
      </c>
      <c r="I7" s="295">
        <f t="shared" si="1"/>
        <v>5108.5200000000004</v>
      </c>
      <c r="J7" s="295">
        <f t="shared" si="1"/>
        <v>5108.5200000000004</v>
      </c>
      <c r="K7" s="295">
        <f t="shared" si="1"/>
        <v>5108.5200000000004</v>
      </c>
      <c r="L7" s="295">
        <f t="shared" si="1"/>
        <v>5108.5200000000004</v>
      </c>
    </row>
    <row r="8" spans="1:12">
      <c r="A8" s="294" t="s">
        <v>109</v>
      </c>
      <c r="B8" s="294"/>
      <c r="C8" s="295">
        <f>Prestamo!E30</f>
        <v>57455.802638095818</v>
      </c>
      <c r="D8" s="295">
        <f>Prestamo!F30</f>
        <v>54038.9944617808</v>
      </c>
      <c r="E8" s="295">
        <f>Prestamo!G30</f>
        <v>50212.169304307979</v>
      </c>
      <c r="F8" s="295">
        <f>Prestamo!H30</f>
        <v>45926.125127938423</v>
      </c>
      <c r="G8" s="295">
        <f>Prestamo!I30</f>
        <v>41125.755650404513</v>
      </c>
      <c r="H8" s="295">
        <f>Prestamo!J30</f>
        <v>35749.341835566534</v>
      </c>
      <c r="I8" s="295">
        <f>Prestamo!K30</f>
        <v>29727.758362947996</v>
      </c>
      <c r="J8" s="295">
        <f>Prestamo!L30</f>
        <v>22983.584873615233</v>
      </c>
      <c r="K8" s="295">
        <f>Prestamo!M30</f>
        <v>15430.11056556254</v>
      </c>
      <c r="L8" s="295">
        <f>Prestamo!N30</f>
        <v>6970.2193405435191</v>
      </c>
    </row>
    <row r="9" spans="1:12">
      <c r="A9" s="294" t="s">
        <v>110</v>
      </c>
      <c r="B9" s="294"/>
      <c r="C9" s="295">
        <f>'Depreciacion '!E17</f>
        <v>8310.1083333333336</v>
      </c>
      <c r="D9" s="295">
        <f>'Depreciacion '!F17</f>
        <v>8310.1083333333336</v>
      </c>
      <c r="E9" s="295">
        <f>'Depreciacion '!G17</f>
        <v>8310.1083333333336</v>
      </c>
      <c r="F9" s="295">
        <f>'Depreciacion '!H17</f>
        <v>8310.1083333333336</v>
      </c>
      <c r="G9" s="295">
        <f>'Depreciacion '!I17</f>
        <v>8310.1083333333336</v>
      </c>
      <c r="H9" s="295">
        <f>'Depreciacion '!J17</f>
        <v>8310.1083333333336</v>
      </c>
      <c r="I9" s="295">
        <f>'Depreciacion '!K17</f>
        <v>8310.1083333333336</v>
      </c>
      <c r="J9" s="295">
        <f>'Depreciacion '!L17</f>
        <v>8310.1083333333336</v>
      </c>
      <c r="K9" s="295">
        <f>'Depreciacion '!M17</f>
        <v>8310.1083333333336</v>
      </c>
      <c r="L9" s="295">
        <f>'Depreciacion '!N17</f>
        <v>8310.1083333333336</v>
      </c>
    </row>
    <row r="10" spans="1:12">
      <c r="A10" s="294" t="s">
        <v>254</v>
      </c>
      <c r="B10" s="296"/>
      <c r="C10" s="295">
        <f>'Depreciacion '!E24</f>
        <v>160</v>
      </c>
      <c r="D10" s="295">
        <f>'Depreciacion '!F24</f>
        <v>160</v>
      </c>
      <c r="E10" s="295">
        <f>'Depreciacion '!G24</f>
        <v>160</v>
      </c>
      <c r="F10" s="295">
        <f>'Depreciacion '!H24</f>
        <v>160</v>
      </c>
      <c r="G10" s="295">
        <f>'Depreciacion '!I24</f>
        <v>160</v>
      </c>
      <c r="H10" s="295"/>
      <c r="I10" s="295"/>
      <c r="J10" s="295"/>
      <c r="K10" s="295"/>
      <c r="L10" s="295"/>
    </row>
    <row r="11" spans="1:12">
      <c r="A11" s="178" t="s">
        <v>111</v>
      </c>
      <c r="B11" s="178"/>
      <c r="C11" s="179">
        <f>C4-C5</f>
        <v>26515.667290808575</v>
      </c>
      <c r="D11" s="179">
        <f t="shared" ref="D11:L11" si="2">D4-D5</f>
        <v>40520.97798299772</v>
      </c>
      <c r="E11" s="179">
        <f t="shared" si="2"/>
        <v>161986.83535201187</v>
      </c>
      <c r="F11" s="179">
        <f t="shared" si="2"/>
        <v>186158.97338929336</v>
      </c>
      <c r="G11" s="179">
        <f t="shared" si="2"/>
        <v>212334.00447687716</v>
      </c>
      <c r="H11" s="179">
        <f t="shared" si="2"/>
        <v>240840.92052266235</v>
      </c>
      <c r="I11" s="179">
        <f t="shared" si="2"/>
        <v>271543.77535380033</v>
      </c>
      <c r="J11" s="179">
        <f t="shared" si="2"/>
        <v>304803.11852782266</v>
      </c>
      <c r="K11" s="179">
        <f t="shared" si="2"/>
        <v>340837.57458346919</v>
      </c>
      <c r="L11" s="179">
        <f t="shared" si="2"/>
        <v>379885.58328979916</v>
      </c>
    </row>
    <row r="12" spans="1:12">
      <c r="A12" s="294" t="s">
        <v>112</v>
      </c>
      <c r="B12" s="294"/>
      <c r="C12" s="295">
        <f>C11*0.15</f>
        <v>3977.3500936212859</v>
      </c>
      <c r="D12" s="295">
        <f t="shared" ref="D12:L12" si="3">D11*0.15</f>
        <v>6078.1466974496579</v>
      </c>
      <c r="E12" s="295">
        <f t="shared" si="3"/>
        <v>24298.02530280178</v>
      </c>
      <c r="F12" s="295">
        <f t="shared" si="3"/>
        <v>27923.846008394004</v>
      </c>
      <c r="G12" s="295">
        <f t="shared" si="3"/>
        <v>31850.100671531574</v>
      </c>
      <c r="H12" s="295">
        <f t="shared" si="3"/>
        <v>36126.138078399352</v>
      </c>
      <c r="I12" s="295">
        <f t="shared" si="3"/>
        <v>40731.566303070045</v>
      </c>
      <c r="J12" s="295">
        <f t="shared" si="3"/>
        <v>45720.467779173399</v>
      </c>
      <c r="K12" s="295">
        <f t="shared" si="3"/>
        <v>51125.63618752038</v>
      </c>
      <c r="L12" s="295">
        <f t="shared" si="3"/>
        <v>56982.837493469873</v>
      </c>
    </row>
    <row r="13" spans="1:12">
      <c r="A13" s="178" t="s">
        <v>113</v>
      </c>
      <c r="B13" s="178"/>
      <c r="C13" s="179">
        <f>C11-C12</f>
        <v>22538.317197187287</v>
      </c>
      <c r="D13" s="179">
        <f t="shared" ref="D13:L13" si="4">D11-D12</f>
        <v>34442.831285548062</v>
      </c>
      <c r="E13" s="179">
        <f t="shared" si="4"/>
        <v>137688.81004921009</v>
      </c>
      <c r="F13" s="179">
        <f t="shared" si="4"/>
        <v>158235.12738089936</v>
      </c>
      <c r="G13" s="179">
        <f t="shared" si="4"/>
        <v>180483.90380534559</v>
      </c>
      <c r="H13" s="179">
        <f t="shared" si="4"/>
        <v>204714.78244426299</v>
      </c>
      <c r="I13" s="179">
        <f t="shared" si="4"/>
        <v>230812.20905073028</v>
      </c>
      <c r="J13" s="179">
        <f t="shared" si="4"/>
        <v>259082.65074864926</v>
      </c>
      <c r="K13" s="179">
        <f t="shared" si="4"/>
        <v>289711.93839594879</v>
      </c>
      <c r="L13" s="179">
        <f t="shared" si="4"/>
        <v>322902.74579632928</v>
      </c>
    </row>
    <row r="14" spans="1:12">
      <c r="A14" s="294" t="s">
        <v>114</v>
      </c>
      <c r="B14" s="294"/>
      <c r="C14" s="303">
        <f>C13*0.25</f>
        <v>5634.5792992968218</v>
      </c>
      <c r="D14" s="303">
        <f t="shared" ref="D14:L14" si="5">D13*0.25</f>
        <v>8610.7078213870154</v>
      </c>
      <c r="E14" s="303">
        <f t="shared" si="5"/>
        <v>34422.202512302523</v>
      </c>
      <c r="F14" s="303">
        <f t="shared" si="5"/>
        <v>39558.781845224839</v>
      </c>
      <c r="G14" s="303">
        <f t="shared" si="5"/>
        <v>45120.975951336397</v>
      </c>
      <c r="H14" s="303">
        <f t="shared" si="5"/>
        <v>51178.695611065748</v>
      </c>
      <c r="I14" s="303">
        <f t="shared" si="5"/>
        <v>57703.05226268257</v>
      </c>
      <c r="J14" s="303">
        <f t="shared" si="5"/>
        <v>64770.662687162316</v>
      </c>
      <c r="K14" s="303">
        <f t="shared" si="5"/>
        <v>72427.984598987197</v>
      </c>
      <c r="L14" s="303">
        <f t="shared" si="5"/>
        <v>80725.686449082321</v>
      </c>
    </row>
    <row r="15" spans="1:12">
      <c r="A15" s="178" t="s">
        <v>115</v>
      </c>
      <c r="B15" s="178"/>
      <c r="C15" s="179">
        <f t="shared" ref="C15:L15" si="6">C13-C14</f>
        <v>16903.737897890467</v>
      </c>
      <c r="D15" s="179">
        <f t="shared" si="6"/>
        <v>25832.123464161046</v>
      </c>
      <c r="E15" s="179">
        <f t="shared" si="6"/>
        <v>103266.60753690757</v>
      </c>
      <c r="F15" s="179">
        <f t="shared" si="6"/>
        <v>118676.34553567451</v>
      </c>
      <c r="G15" s="179">
        <f t="shared" si="6"/>
        <v>135362.92785400921</v>
      </c>
      <c r="H15" s="179">
        <f t="shared" si="6"/>
        <v>153536.08683319725</v>
      </c>
      <c r="I15" s="179">
        <f t="shared" si="6"/>
        <v>173109.15678804769</v>
      </c>
      <c r="J15" s="179">
        <f t="shared" si="6"/>
        <v>194311.98806148695</v>
      </c>
      <c r="K15" s="179">
        <f t="shared" si="6"/>
        <v>217283.95379696158</v>
      </c>
      <c r="L15" s="179">
        <f t="shared" si="6"/>
        <v>242177.05934724695</v>
      </c>
    </row>
    <row r="16" spans="1:12">
      <c r="A16" s="294" t="s">
        <v>116</v>
      </c>
      <c r="B16" s="294"/>
      <c r="C16" s="295">
        <f t="shared" ref="C16:L16" si="7">C9</f>
        <v>8310.1083333333336</v>
      </c>
      <c r="D16" s="295">
        <f t="shared" si="7"/>
        <v>8310.1083333333336</v>
      </c>
      <c r="E16" s="295">
        <f t="shared" si="7"/>
        <v>8310.1083333333336</v>
      </c>
      <c r="F16" s="295">
        <f t="shared" si="7"/>
        <v>8310.1083333333336</v>
      </c>
      <c r="G16" s="295">
        <f t="shared" si="7"/>
        <v>8310.1083333333336</v>
      </c>
      <c r="H16" s="295">
        <f t="shared" si="7"/>
        <v>8310.1083333333336</v>
      </c>
      <c r="I16" s="295">
        <f t="shared" si="7"/>
        <v>8310.1083333333336</v>
      </c>
      <c r="J16" s="295">
        <f t="shared" si="7"/>
        <v>8310.1083333333336</v>
      </c>
      <c r="K16" s="295">
        <f t="shared" si="7"/>
        <v>8310.1083333333336</v>
      </c>
      <c r="L16" s="295">
        <f t="shared" si="7"/>
        <v>8310.1083333333336</v>
      </c>
    </row>
    <row r="17" spans="1:13">
      <c r="A17" s="294" t="s">
        <v>254</v>
      </c>
      <c r="B17" s="296"/>
      <c r="C17" s="295">
        <f>C10</f>
        <v>160</v>
      </c>
      <c r="D17" s="295">
        <f>D10</f>
        <v>160</v>
      </c>
      <c r="E17" s="295">
        <f>E10</f>
        <v>160</v>
      </c>
      <c r="F17" s="295">
        <f>F10</f>
        <v>160</v>
      </c>
      <c r="G17" s="295">
        <f>G10</f>
        <v>160</v>
      </c>
      <c r="H17" s="295"/>
      <c r="I17" s="295"/>
      <c r="J17" s="295"/>
      <c r="K17" s="295"/>
      <c r="L17" s="295"/>
    </row>
    <row r="18" spans="1:13">
      <c r="A18" s="294" t="s">
        <v>308</v>
      </c>
      <c r="B18" s="306">
        <f>'Inversion '!F61</f>
        <v>825083.5</v>
      </c>
      <c r="C18" s="294"/>
      <c r="D18" s="295"/>
      <c r="E18" s="295">
        <f>'Inversion '!F45</f>
        <v>1750</v>
      </c>
      <c r="F18" s="295"/>
      <c r="G18" s="295"/>
      <c r="H18" s="304">
        <f>'Inversion '!F45</f>
        <v>1750</v>
      </c>
      <c r="I18" s="304"/>
      <c r="J18" s="304"/>
      <c r="K18" s="304">
        <f>'Inversion '!F45</f>
        <v>1750</v>
      </c>
      <c r="L18" s="304"/>
    </row>
    <row r="19" spans="1:13">
      <c r="A19" s="294" t="s">
        <v>284</v>
      </c>
      <c r="B19" s="306"/>
      <c r="C19" s="295"/>
      <c r="D19" s="295"/>
      <c r="E19" s="295"/>
      <c r="F19" s="295"/>
      <c r="G19" s="295"/>
      <c r="H19" s="304"/>
      <c r="I19" s="304"/>
      <c r="J19" s="304"/>
      <c r="K19" s="304"/>
      <c r="L19" s="304">
        <f>'Depreciacion '!P17</f>
        <v>46432.416666666672</v>
      </c>
    </row>
    <row r="20" spans="1:13">
      <c r="A20" s="294" t="s">
        <v>117</v>
      </c>
      <c r="B20" s="306">
        <f>'Supuestos '!C57</f>
        <v>7703.4648551864784</v>
      </c>
      <c r="C20" s="295"/>
      <c r="D20" s="295"/>
      <c r="E20" s="295"/>
      <c r="F20" s="295"/>
      <c r="G20" s="296"/>
      <c r="H20" s="304"/>
      <c r="I20" s="304"/>
      <c r="J20" s="304"/>
      <c r="K20" s="304"/>
      <c r="L20" s="304"/>
    </row>
    <row r="21" spans="1:13">
      <c r="A21" s="294" t="s">
        <v>118</v>
      </c>
      <c r="B21" s="298"/>
      <c r="C21" s="295">
        <f>Prestamo!E29</f>
        <v>28473.40146929177</v>
      </c>
      <c r="D21" s="295">
        <f>Prestamo!F29</f>
        <v>31890.209645606788</v>
      </c>
      <c r="E21" s="295">
        <f>Prestamo!G29</f>
        <v>35717.034803079609</v>
      </c>
      <c r="F21" s="295">
        <f>Prestamo!H29</f>
        <v>40003.078979449165</v>
      </c>
      <c r="G21" s="295">
        <f>Prestamo!I29</f>
        <v>44803.448456983075</v>
      </c>
      <c r="H21" s="295">
        <f>Prestamo!J29</f>
        <v>50179.862271821054</v>
      </c>
      <c r="I21" s="295">
        <f>Prestamo!K29</f>
        <v>56201.445744439596</v>
      </c>
      <c r="J21" s="295">
        <f>Prestamo!L29</f>
        <v>62945.619233772355</v>
      </c>
      <c r="K21" s="295">
        <f>Prestamo!M29</f>
        <v>70499.093541825045</v>
      </c>
      <c r="L21" s="295">
        <f>Prestamo!N29</f>
        <v>78958.984766844063</v>
      </c>
    </row>
    <row r="22" spans="1:13">
      <c r="A22" s="294" t="s">
        <v>119</v>
      </c>
      <c r="B22" s="306">
        <f>Prestamo!B6</f>
        <v>499672.17891311191</v>
      </c>
      <c r="C22" s="295"/>
      <c r="D22" s="295"/>
      <c r="E22" s="295"/>
      <c r="F22" s="295"/>
      <c r="G22" s="295"/>
      <c r="H22" s="304"/>
      <c r="I22" s="304"/>
      <c r="J22" s="304"/>
      <c r="K22" s="304"/>
      <c r="L22" s="304"/>
    </row>
    <row r="23" spans="1:13">
      <c r="A23" s="294" t="s">
        <v>285</v>
      </c>
      <c r="B23" s="296"/>
      <c r="C23" s="295"/>
      <c r="D23" s="295"/>
      <c r="E23" s="295"/>
      <c r="F23" s="295"/>
      <c r="G23" s="305"/>
      <c r="H23" s="304"/>
      <c r="I23" s="304"/>
      <c r="J23" s="304"/>
      <c r="K23" s="304"/>
      <c r="L23" s="304">
        <f>'Supuestos '!C57</f>
        <v>7703.4648551864784</v>
      </c>
    </row>
    <row r="24" spans="1:13">
      <c r="A24" s="180" t="s">
        <v>98</v>
      </c>
      <c r="B24" s="191">
        <f>B22-B18-B20</f>
        <v>-333114.78594207455</v>
      </c>
      <c r="C24" s="191">
        <f t="shared" ref="C24:J24" si="8">C15+C16-C21+C17</f>
        <v>-3099.5552380679692</v>
      </c>
      <c r="D24" s="191">
        <f t="shared" si="8"/>
        <v>2412.0221518875915</v>
      </c>
      <c r="E24" s="191">
        <f>E15+E16-E21+E17-E18</f>
        <v>74269.681067161291</v>
      </c>
      <c r="F24" s="191">
        <f>F15+F16-F21+F17</f>
        <v>87143.374889558676</v>
      </c>
      <c r="G24" s="191">
        <f t="shared" si="8"/>
        <v>99029.587730359461</v>
      </c>
      <c r="H24" s="191">
        <f>H15+H16-H21+H17-H18</f>
        <v>109916.33289470953</v>
      </c>
      <c r="I24" s="191">
        <f t="shared" si="8"/>
        <v>125217.81937694144</v>
      </c>
      <c r="J24" s="191">
        <f t="shared" si="8"/>
        <v>139676.47716104792</v>
      </c>
      <c r="K24" s="191">
        <f>K15+K16-K21+K17-K18</f>
        <v>153344.96858846987</v>
      </c>
      <c r="L24" s="191">
        <f>L15+L16-L21+L17+L19+L23</f>
        <v>225664.06443558936</v>
      </c>
      <c r="M24" s="182"/>
    </row>
    <row r="25" spans="1:13">
      <c r="A25" s="294" t="s">
        <v>259</v>
      </c>
      <c r="B25" s="306">
        <f>NPV('Costo de Capital '!C19,'Flujo de caja del Inversionista'!C24:L24)+'Flujo de caja del Inversionista'!B24</f>
        <v>11732.665275908774</v>
      </c>
      <c r="C25" s="295"/>
      <c r="D25" s="295"/>
      <c r="E25" s="295"/>
      <c r="F25" s="295"/>
      <c r="G25" s="295"/>
      <c r="H25" s="295"/>
      <c r="I25" s="295"/>
      <c r="J25" s="295"/>
      <c r="K25" s="295"/>
      <c r="L25" s="295"/>
    </row>
    <row r="26" spans="1:13">
      <c r="A26" s="294" t="s">
        <v>260</v>
      </c>
      <c r="B26" s="307">
        <f>IRR(B24:L24)</f>
        <v>0.17682086873254707</v>
      </c>
      <c r="C26" s="295"/>
      <c r="D26" s="295"/>
      <c r="E26" s="295"/>
      <c r="F26" s="295"/>
      <c r="G26" s="295"/>
      <c r="H26" s="295"/>
      <c r="I26" s="295"/>
      <c r="J26" s="295"/>
      <c r="K26" s="295"/>
      <c r="L26" s="295"/>
    </row>
  </sheetData>
  <mergeCells count="1">
    <mergeCell ref="A1:G1"/>
  </mergeCells>
  <pageMargins left="0.7" right="0.7" top="0.75" bottom="0.75" header="0.3" footer="0.3"/>
  <pageSetup orientation="portrait" verticalDpi="300" r:id="rId1"/>
  <ignoredErrors>
    <ignoredError sqref="C14:G14" formula="1"/>
  </ignoredErrors>
  <tableParts count="1">
    <tablePart r:id="rId2"/>
  </tableParts>
</worksheet>
</file>

<file path=xl/worksheets/sheet15.xml><?xml version="1.0" encoding="utf-8"?>
<worksheet xmlns="http://schemas.openxmlformats.org/spreadsheetml/2006/main" xmlns:r="http://schemas.openxmlformats.org/officeDocument/2006/relationships">
  <dimension ref="A1:M23"/>
  <sheetViews>
    <sheetView tabSelected="1" topLeftCell="B4" zoomScale="75" zoomScaleNormal="75" workbookViewId="0">
      <selection activeCell="N4" sqref="N4"/>
    </sheetView>
  </sheetViews>
  <sheetFormatPr baseColWidth="10" defaultColWidth="11.375" defaultRowHeight="16.3"/>
  <cols>
    <col min="1" max="1" width="42.375" style="176" bestFit="1" customWidth="1"/>
    <col min="2" max="2" width="15.125" style="176" bestFit="1" customWidth="1"/>
    <col min="3" max="12" width="14.875" style="176" bestFit="1" customWidth="1"/>
    <col min="13" max="16384" width="11.375" style="176"/>
  </cols>
  <sheetData>
    <row r="1" spans="1:12">
      <c r="A1" s="343" t="s">
        <v>98</v>
      </c>
      <c r="B1" s="343"/>
      <c r="C1" s="343"/>
      <c r="D1" s="343"/>
      <c r="E1" s="343"/>
      <c r="F1" s="343"/>
      <c r="G1" s="343"/>
    </row>
    <row r="3" spans="1:12">
      <c r="A3" s="177" t="s">
        <v>99</v>
      </c>
      <c r="B3" s="177" t="s">
        <v>100</v>
      </c>
      <c r="C3" s="177" t="s">
        <v>101</v>
      </c>
      <c r="D3" s="177" t="s">
        <v>102</v>
      </c>
      <c r="E3" s="177" t="s">
        <v>103</v>
      </c>
      <c r="F3" s="177" t="s">
        <v>104</v>
      </c>
      <c r="G3" s="177" t="s">
        <v>105</v>
      </c>
      <c r="H3" s="177" t="s">
        <v>122</v>
      </c>
      <c r="I3" s="177" t="s">
        <v>123</v>
      </c>
      <c r="J3" s="177" t="s">
        <v>124</v>
      </c>
      <c r="K3" s="177" t="s">
        <v>125</v>
      </c>
      <c r="L3" s="177" t="s">
        <v>126</v>
      </c>
    </row>
    <row r="4" spans="1:12">
      <c r="A4" s="299" t="s">
        <v>106</v>
      </c>
      <c r="B4" s="299"/>
      <c r="C4" s="313">
        <f>Ingresos!C15</f>
        <v>171618.06626223776</v>
      </c>
      <c r="D4" s="313">
        <f>Ingresos!D15</f>
        <v>183687.92813811189</v>
      </c>
      <c r="E4" s="313">
        <f>Ingresos!E15</f>
        <v>302837.94689685322</v>
      </c>
      <c r="F4" s="313">
        <f>Ingresos!F15</f>
        <v>324265.24703590915</v>
      </c>
      <c r="G4" s="313">
        <f>Ingresos!G15</f>
        <v>347211.93904966593</v>
      </c>
      <c r="H4" s="313">
        <f>Ingresos!H15</f>
        <v>371785.91229239415</v>
      </c>
      <c r="I4" s="313">
        <f>Ingresos!I15</f>
        <v>398102.72408293025</v>
      </c>
      <c r="J4" s="313">
        <f>Ingresos!J15</f>
        <v>426286.1450082768</v>
      </c>
      <c r="K4" s="313">
        <f>Ingresos!K15</f>
        <v>456468.74302134075</v>
      </c>
      <c r="L4" s="313">
        <f>Ingresos!L15</f>
        <v>488792.50909343123</v>
      </c>
    </row>
    <row r="5" spans="1:12">
      <c r="A5" s="297" t="s">
        <v>107</v>
      </c>
      <c r="B5" s="299"/>
      <c r="C5" s="300">
        <f>SUM(C6:C9)</f>
        <v>87646.596333333364</v>
      </c>
      <c r="D5" s="300">
        <f t="shared" ref="D5:L5" si="0">SUM(D6:D9)</f>
        <v>89127.955693333366</v>
      </c>
      <c r="E5" s="300">
        <f t="shared" si="0"/>
        <v>90638.942240533361</v>
      </c>
      <c r="F5" s="300">
        <f t="shared" si="0"/>
        <v>92180.148518677364</v>
      </c>
      <c r="G5" s="300">
        <f t="shared" si="0"/>
        <v>93752.17892238425</v>
      </c>
      <c r="H5" s="300">
        <f t="shared" si="0"/>
        <v>95195.649934165267</v>
      </c>
      <c r="I5" s="300">
        <f t="shared" si="0"/>
        <v>96831.190366181909</v>
      </c>
      <c r="J5" s="300">
        <f t="shared" si="0"/>
        <v>98499.441606838882</v>
      </c>
      <c r="K5" s="300">
        <f t="shared" si="0"/>
        <v>100201.057872309</v>
      </c>
      <c r="L5" s="300">
        <f t="shared" si="0"/>
        <v>101936.70646308851</v>
      </c>
    </row>
    <row r="6" spans="1:12">
      <c r="A6" s="298" t="s">
        <v>108</v>
      </c>
      <c r="B6" s="298"/>
      <c r="C6" s="309">
        <f>CO!B5</f>
        <v>74067.968000000023</v>
      </c>
      <c r="D6" s="309">
        <f>CO!C5</f>
        <v>75549.327360000025</v>
      </c>
      <c r="E6" s="309">
        <f>CO!D5</f>
        <v>77060.313907200019</v>
      </c>
      <c r="F6" s="309">
        <f>CO!E5</f>
        <v>78601.520185344023</v>
      </c>
      <c r="G6" s="309">
        <f>CO!F5</f>
        <v>80173.550589050908</v>
      </c>
      <c r="H6" s="309">
        <f>CO!G5</f>
        <v>81777.021600831926</v>
      </c>
      <c r="I6" s="309">
        <f>CO!H5</f>
        <v>83412.562032848567</v>
      </c>
      <c r="J6" s="309">
        <f>CO!I5</f>
        <v>85080.813273505541</v>
      </c>
      <c r="K6" s="309">
        <f>CO!J5</f>
        <v>86782.429538975659</v>
      </c>
      <c r="L6" s="309">
        <f>CO!K5</f>
        <v>88518.078129755173</v>
      </c>
    </row>
    <row r="7" spans="1:12">
      <c r="A7" s="298" t="s">
        <v>87</v>
      </c>
      <c r="B7" s="298"/>
      <c r="C7" s="309">
        <f>CNO!C8</f>
        <v>5108.5200000000004</v>
      </c>
      <c r="D7" s="309">
        <f t="shared" ref="D7:L7" si="1">C7</f>
        <v>5108.5200000000004</v>
      </c>
      <c r="E7" s="309">
        <f t="shared" si="1"/>
        <v>5108.5200000000004</v>
      </c>
      <c r="F7" s="309">
        <f t="shared" si="1"/>
        <v>5108.5200000000004</v>
      </c>
      <c r="G7" s="309">
        <f t="shared" si="1"/>
        <v>5108.5200000000004</v>
      </c>
      <c r="H7" s="309">
        <f t="shared" si="1"/>
        <v>5108.5200000000004</v>
      </c>
      <c r="I7" s="309">
        <f t="shared" si="1"/>
        <v>5108.5200000000004</v>
      </c>
      <c r="J7" s="309">
        <f t="shared" si="1"/>
        <v>5108.5200000000004</v>
      </c>
      <c r="K7" s="309">
        <f t="shared" si="1"/>
        <v>5108.5200000000004</v>
      </c>
      <c r="L7" s="309">
        <f t="shared" si="1"/>
        <v>5108.5200000000004</v>
      </c>
    </row>
    <row r="8" spans="1:12">
      <c r="A8" s="298" t="s">
        <v>110</v>
      </c>
      <c r="B8" s="298"/>
      <c r="C8" s="309">
        <f>'Depreciacion '!E17</f>
        <v>8310.1083333333336</v>
      </c>
      <c r="D8" s="309">
        <f>'Depreciacion '!F17</f>
        <v>8310.1083333333336</v>
      </c>
      <c r="E8" s="309">
        <f>'Depreciacion '!G17</f>
        <v>8310.1083333333336</v>
      </c>
      <c r="F8" s="309">
        <f>'Depreciacion '!H17</f>
        <v>8310.1083333333336</v>
      </c>
      <c r="G8" s="309">
        <f>'Depreciacion '!I17</f>
        <v>8310.1083333333336</v>
      </c>
      <c r="H8" s="309">
        <f>'Depreciacion '!J17</f>
        <v>8310.1083333333336</v>
      </c>
      <c r="I8" s="309">
        <f>'Depreciacion '!K17</f>
        <v>8310.1083333333336</v>
      </c>
      <c r="J8" s="309">
        <f>'Depreciacion '!L17</f>
        <v>8310.1083333333336</v>
      </c>
      <c r="K8" s="309">
        <f>'Depreciacion '!M17</f>
        <v>8310.1083333333336</v>
      </c>
      <c r="L8" s="309">
        <f>'Depreciacion '!N17</f>
        <v>8310.1083333333336</v>
      </c>
    </row>
    <row r="9" spans="1:12">
      <c r="A9" s="298" t="s">
        <v>254</v>
      </c>
      <c r="B9" s="306"/>
      <c r="C9" s="309">
        <f>'Depreciacion '!E24</f>
        <v>160</v>
      </c>
      <c r="D9" s="309">
        <f>'Depreciacion '!F24</f>
        <v>160</v>
      </c>
      <c r="E9" s="309">
        <f>'Depreciacion '!G24</f>
        <v>160</v>
      </c>
      <c r="F9" s="309">
        <f>'Depreciacion '!H24</f>
        <v>160</v>
      </c>
      <c r="G9" s="309">
        <f>'Depreciacion '!I24</f>
        <v>160</v>
      </c>
      <c r="H9" s="309"/>
      <c r="I9" s="309"/>
      <c r="J9" s="309"/>
      <c r="K9" s="309"/>
      <c r="L9" s="309"/>
    </row>
    <row r="10" spans="1:12">
      <c r="A10" s="178" t="s">
        <v>111</v>
      </c>
      <c r="B10" s="178"/>
      <c r="C10" s="179">
        <f>C4-C5</f>
        <v>83971.469928904393</v>
      </c>
      <c r="D10" s="179">
        <f t="shared" ref="D10:L10" si="2">D4-D5</f>
        <v>94559.972444778527</v>
      </c>
      <c r="E10" s="179">
        <f t="shared" si="2"/>
        <v>212199.00465631986</v>
      </c>
      <c r="F10" s="179">
        <f t="shared" si="2"/>
        <v>232085.09851723179</v>
      </c>
      <c r="G10" s="179">
        <f t="shared" si="2"/>
        <v>253459.76012728168</v>
      </c>
      <c r="H10" s="179">
        <f t="shared" si="2"/>
        <v>276590.26235822891</v>
      </c>
      <c r="I10" s="179">
        <f t="shared" si="2"/>
        <v>301271.53371674835</v>
      </c>
      <c r="J10" s="179">
        <f t="shared" si="2"/>
        <v>327786.7034014379</v>
      </c>
      <c r="K10" s="179">
        <f t="shared" si="2"/>
        <v>356267.68514903175</v>
      </c>
      <c r="L10" s="179">
        <f t="shared" si="2"/>
        <v>386855.80263034272</v>
      </c>
    </row>
    <row r="11" spans="1:12">
      <c r="A11" s="294" t="s">
        <v>112</v>
      </c>
      <c r="B11" s="294"/>
      <c r="C11" s="295">
        <f>C10*0.15</f>
        <v>12595.720489335659</v>
      </c>
      <c r="D11" s="295">
        <f>D10*0.15</f>
        <v>14183.995866716779</v>
      </c>
      <c r="E11" s="295">
        <f t="shared" ref="E11:L11" si="3">E10*0.15</f>
        <v>31829.850698447975</v>
      </c>
      <c r="F11" s="295">
        <f t="shared" si="3"/>
        <v>34812.764777584765</v>
      </c>
      <c r="G11" s="295">
        <f t="shared" si="3"/>
        <v>38018.964019092251</v>
      </c>
      <c r="H11" s="295">
        <f t="shared" si="3"/>
        <v>41488.539353734333</v>
      </c>
      <c r="I11" s="295">
        <f t="shared" si="3"/>
        <v>45190.73005751225</v>
      </c>
      <c r="J11" s="295">
        <f t="shared" si="3"/>
        <v>49168.005510215684</v>
      </c>
      <c r="K11" s="295">
        <f t="shared" si="3"/>
        <v>53440.152772354762</v>
      </c>
      <c r="L11" s="295">
        <f t="shared" si="3"/>
        <v>58028.370394551406</v>
      </c>
    </row>
    <row r="12" spans="1:12">
      <c r="A12" s="178" t="s">
        <v>113</v>
      </c>
      <c r="B12" s="178"/>
      <c r="C12" s="179">
        <f t="shared" ref="C12:L12" si="4">C10-C11</f>
        <v>71375.749439568739</v>
      </c>
      <c r="D12" s="179">
        <f>D10-D11</f>
        <v>80375.976578061745</v>
      </c>
      <c r="E12" s="179">
        <f t="shared" si="4"/>
        <v>180369.15395787189</v>
      </c>
      <c r="F12" s="179">
        <f t="shared" si="4"/>
        <v>197272.33373964703</v>
      </c>
      <c r="G12" s="179">
        <f t="shared" si="4"/>
        <v>215440.79610818945</v>
      </c>
      <c r="H12" s="179">
        <f t="shared" si="4"/>
        <v>235101.72300449456</v>
      </c>
      <c r="I12" s="179">
        <f t="shared" si="4"/>
        <v>256080.80365923612</v>
      </c>
      <c r="J12" s="179">
        <f t="shared" si="4"/>
        <v>278618.6978912222</v>
      </c>
      <c r="K12" s="179">
        <f t="shared" si="4"/>
        <v>302827.53237667697</v>
      </c>
      <c r="L12" s="179">
        <f t="shared" si="4"/>
        <v>328827.43223579129</v>
      </c>
    </row>
    <row r="13" spans="1:12">
      <c r="A13" s="294" t="s">
        <v>114</v>
      </c>
      <c r="B13" s="294"/>
      <c r="C13" s="295">
        <f>C12*0.25</f>
        <v>17843.937359892185</v>
      </c>
      <c r="D13" s="295">
        <f t="shared" ref="D13:L13" si="5">D12*0.25</f>
        <v>20093.994144515436</v>
      </c>
      <c r="E13" s="295">
        <f t="shared" si="5"/>
        <v>45092.288489467974</v>
      </c>
      <c r="F13" s="295">
        <f t="shared" si="5"/>
        <v>49318.083434911758</v>
      </c>
      <c r="G13" s="295">
        <f t="shared" si="5"/>
        <v>53860.199027047362</v>
      </c>
      <c r="H13" s="295">
        <f t="shared" si="5"/>
        <v>58775.43075112364</v>
      </c>
      <c r="I13" s="295">
        <f t="shared" si="5"/>
        <v>64020.200914809029</v>
      </c>
      <c r="J13" s="295">
        <f t="shared" si="5"/>
        <v>69654.674472805549</v>
      </c>
      <c r="K13" s="295">
        <f t="shared" si="5"/>
        <v>75706.883094169243</v>
      </c>
      <c r="L13" s="295">
        <f t="shared" si="5"/>
        <v>82206.858058947822</v>
      </c>
    </row>
    <row r="14" spans="1:12">
      <c r="A14" s="178" t="s">
        <v>115</v>
      </c>
      <c r="B14" s="178"/>
      <c r="C14" s="179">
        <f t="shared" ref="C14:L14" si="6">C12-C13</f>
        <v>53531.812079676558</v>
      </c>
      <c r="D14" s="179">
        <f t="shared" si="6"/>
        <v>60281.982433546305</v>
      </c>
      <c r="E14" s="179">
        <f t="shared" si="6"/>
        <v>135276.86546840391</v>
      </c>
      <c r="F14" s="179">
        <f t="shared" si="6"/>
        <v>147954.25030473527</v>
      </c>
      <c r="G14" s="179">
        <f t="shared" si="6"/>
        <v>161580.59708114207</v>
      </c>
      <c r="H14" s="179">
        <f t="shared" si="6"/>
        <v>176326.29225337092</v>
      </c>
      <c r="I14" s="179">
        <f t="shared" si="6"/>
        <v>192060.6027444271</v>
      </c>
      <c r="J14" s="179">
        <f t="shared" si="6"/>
        <v>208964.02341841665</v>
      </c>
      <c r="K14" s="179">
        <f t="shared" si="6"/>
        <v>227120.64928250771</v>
      </c>
      <c r="L14" s="179">
        <f t="shared" si="6"/>
        <v>246620.57417684345</v>
      </c>
    </row>
    <row r="15" spans="1:12">
      <c r="A15" s="298" t="s">
        <v>116</v>
      </c>
      <c r="B15" s="298"/>
      <c r="C15" s="309">
        <f>C8</f>
        <v>8310.1083333333336</v>
      </c>
      <c r="D15" s="309">
        <f t="shared" ref="D15:L15" si="7">D8</f>
        <v>8310.1083333333336</v>
      </c>
      <c r="E15" s="309">
        <f t="shared" si="7"/>
        <v>8310.1083333333336</v>
      </c>
      <c r="F15" s="309">
        <f t="shared" si="7"/>
        <v>8310.1083333333336</v>
      </c>
      <c r="G15" s="309">
        <f t="shared" si="7"/>
        <v>8310.1083333333336</v>
      </c>
      <c r="H15" s="309">
        <f t="shared" si="7"/>
        <v>8310.1083333333336</v>
      </c>
      <c r="I15" s="309">
        <f t="shared" si="7"/>
        <v>8310.1083333333336</v>
      </c>
      <c r="J15" s="309">
        <f t="shared" si="7"/>
        <v>8310.1083333333336</v>
      </c>
      <c r="K15" s="309">
        <f t="shared" si="7"/>
        <v>8310.1083333333336</v>
      </c>
      <c r="L15" s="309">
        <f t="shared" si="7"/>
        <v>8310.1083333333336</v>
      </c>
    </row>
    <row r="16" spans="1:12">
      <c r="A16" s="298" t="s">
        <v>254</v>
      </c>
      <c r="B16" s="306"/>
      <c r="C16" s="309">
        <f>C9</f>
        <v>160</v>
      </c>
      <c r="D16" s="309">
        <f>D9</f>
        <v>160</v>
      </c>
      <c r="E16" s="309">
        <f>E9</f>
        <v>160</v>
      </c>
      <c r="F16" s="309">
        <f>F9</f>
        <v>160</v>
      </c>
      <c r="G16" s="309">
        <f>G9</f>
        <v>160</v>
      </c>
      <c r="H16" s="309"/>
      <c r="I16" s="309"/>
      <c r="J16" s="309"/>
      <c r="K16" s="309"/>
      <c r="L16" s="309"/>
    </row>
    <row r="17" spans="1:13">
      <c r="A17" s="298" t="s">
        <v>308</v>
      </c>
      <c r="B17" s="306">
        <f>'Inversion '!F61</f>
        <v>825083.5</v>
      </c>
      <c r="C17" s="298"/>
      <c r="D17" s="309"/>
      <c r="E17" s="309">
        <f>'Inversion '!F45</f>
        <v>1750</v>
      </c>
      <c r="F17" s="309"/>
      <c r="G17" s="309"/>
      <c r="H17" s="311">
        <f>'Inversion '!F45</f>
        <v>1750</v>
      </c>
      <c r="I17" s="311"/>
      <c r="J17" s="311"/>
      <c r="K17" s="311">
        <f>'Inversion '!F45</f>
        <v>1750</v>
      </c>
      <c r="L17" s="311"/>
    </row>
    <row r="18" spans="1:13">
      <c r="A18" s="298" t="s">
        <v>284</v>
      </c>
      <c r="B18" s="306"/>
      <c r="C18" s="309"/>
      <c r="D18" s="309"/>
      <c r="E18" s="309"/>
      <c r="F18" s="309"/>
      <c r="G18" s="309"/>
      <c r="H18" s="311"/>
      <c r="I18" s="311"/>
      <c r="J18" s="311"/>
      <c r="K18" s="311"/>
      <c r="L18" s="311">
        <f>'Depreciacion '!P17</f>
        <v>46432.416666666672</v>
      </c>
    </row>
    <row r="19" spans="1:13">
      <c r="A19" s="298" t="s">
        <v>117</v>
      </c>
      <c r="B19" s="306">
        <f>'Supuestos '!C57</f>
        <v>7703.4648551864784</v>
      </c>
      <c r="C19" s="309"/>
      <c r="D19" s="309"/>
      <c r="E19" s="309"/>
      <c r="F19" s="309"/>
      <c r="G19" s="306"/>
      <c r="H19" s="311"/>
      <c r="I19" s="311"/>
      <c r="J19" s="311"/>
      <c r="K19" s="311"/>
      <c r="L19" s="311"/>
    </row>
    <row r="20" spans="1:13">
      <c r="A20" s="298" t="s">
        <v>285</v>
      </c>
      <c r="B20" s="306"/>
      <c r="C20" s="309"/>
      <c r="D20" s="309"/>
      <c r="E20" s="309"/>
      <c r="F20" s="309"/>
      <c r="G20" s="312"/>
      <c r="H20" s="311"/>
      <c r="I20" s="311"/>
      <c r="J20" s="311"/>
      <c r="K20" s="311"/>
      <c r="L20" s="311">
        <f>'Supuestos '!C57</f>
        <v>7703.4648551864784</v>
      </c>
    </row>
    <row r="21" spans="1:13">
      <c r="A21" s="180" t="s">
        <v>98</v>
      </c>
      <c r="B21" s="181">
        <f>-B17-B19</f>
        <v>-832786.96485518652</v>
      </c>
      <c r="C21" s="181">
        <f t="shared" ref="C21:J21" si="8">C14+C15+C16</f>
        <v>62001.920413009895</v>
      </c>
      <c r="D21" s="181">
        <f t="shared" si="8"/>
        <v>68752.090766879643</v>
      </c>
      <c r="E21" s="181">
        <f>E14+E15+E16-E17</f>
        <v>141996.97380173724</v>
      </c>
      <c r="F21" s="181">
        <f t="shared" si="8"/>
        <v>156424.3586380686</v>
      </c>
      <c r="G21" s="181">
        <f t="shared" si="8"/>
        <v>170050.70541447541</v>
      </c>
      <c r="H21" s="181">
        <f>H14+H15+H16-H17</f>
        <v>182886.40058670426</v>
      </c>
      <c r="I21" s="181">
        <f t="shared" si="8"/>
        <v>200370.71107776044</v>
      </c>
      <c r="J21" s="181">
        <f t="shared" si="8"/>
        <v>217274.13175174998</v>
      </c>
      <c r="K21" s="181">
        <f>K14+K15+K16-K17</f>
        <v>233680.75761584105</v>
      </c>
      <c r="L21" s="181">
        <f>L14+L15+L16+L18+L20</f>
        <v>309066.56403202994</v>
      </c>
      <c r="M21" s="182"/>
    </row>
    <row r="22" spans="1:13">
      <c r="A22" s="298" t="s">
        <v>259</v>
      </c>
      <c r="B22" s="308">
        <f>NPV('Costo de Capital '!C19,'Flujo de caja del proyecto'!C21:L21)+'Flujo de caja del proyecto'!B21</f>
        <v>-160303.3733996331</v>
      </c>
      <c r="C22" s="309"/>
      <c r="D22" s="309"/>
      <c r="E22" s="309"/>
      <c r="F22" s="309"/>
      <c r="G22" s="309"/>
      <c r="H22" s="309"/>
      <c r="I22" s="309"/>
      <c r="J22" s="309"/>
      <c r="K22" s="309"/>
      <c r="L22" s="309"/>
    </row>
    <row r="23" spans="1:13">
      <c r="A23" s="298" t="s">
        <v>260</v>
      </c>
      <c r="B23" s="310">
        <f>IRR(B21:L21)</f>
        <v>0.12670251927891005</v>
      </c>
      <c r="C23" s="309"/>
      <c r="D23" s="309"/>
      <c r="E23" s="309"/>
      <c r="F23" s="309"/>
      <c r="G23" s="309"/>
      <c r="H23" s="309"/>
      <c r="I23" s="309"/>
      <c r="J23" s="309"/>
      <c r="K23" s="309"/>
      <c r="L23" s="309"/>
    </row>
  </sheetData>
  <dataConsolidate/>
  <mergeCells count="1">
    <mergeCell ref="A1:G1"/>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dimension ref="B2:F17"/>
  <sheetViews>
    <sheetView topLeftCell="A4" workbookViewId="0">
      <selection activeCell="H13" sqref="H13"/>
    </sheetView>
  </sheetViews>
  <sheetFormatPr baseColWidth="10" defaultRowHeight="14.3"/>
  <cols>
    <col min="3" max="3" width="16.25" customWidth="1"/>
    <col min="4" max="4" width="15.625" customWidth="1"/>
    <col min="5" max="5" width="20.25" customWidth="1"/>
    <col min="6" max="6" width="18.25" customWidth="1"/>
  </cols>
  <sheetData>
    <row r="2" spans="2:6" ht="14.95" customHeight="1">
      <c r="B2" s="345" t="s">
        <v>287</v>
      </c>
      <c r="C2" s="346"/>
      <c r="D2" s="346"/>
      <c r="E2" s="346"/>
      <c r="F2" s="346"/>
    </row>
    <row r="3" spans="2:6" ht="14.95" customHeight="1">
      <c r="B3" s="346"/>
      <c r="C3" s="346"/>
      <c r="D3" s="346"/>
      <c r="E3" s="346"/>
      <c r="F3" s="346"/>
    </row>
    <row r="4" spans="2:6" ht="14.95" customHeight="1">
      <c r="B4" s="176"/>
      <c r="C4" s="176"/>
      <c r="D4" s="176"/>
      <c r="E4" s="176"/>
      <c r="F4" s="176"/>
    </row>
    <row r="5" spans="2:6" ht="14.95" customHeight="1">
      <c r="B5" s="344" t="s">
        <v>288</v>
      </c>
      <c r="C5" s="344" t="s">
        <v>289</v>
      </c>
      <c r="D5" s="344" t="s">
        <v>290</v>
      </c>
      <c r="E5" s="344" t="s">
        <v>291</v>
      </c>
      <c r="F5" s="344" t="s">
        <v>292</v>
      </c>
    </row>
    <row r="6" spans="2:6" ht="14.95" customHeight="1">
      <c r="B6" s="344"/>
      <c r="C6" s="344"/>
      <c r="D6" s="344"/>
      <c r="E6" s="344"/>
      <c r="F6" s="344"/>
    </row>
    <row r="7" spans="2:6" ht="14.95" customHeight="1">
      <c r="B7" s="291">
        <v>1</v>
      </c>
      <c r="C7" s="293">
        <f>+'Est Sit Inic'!E5</f>
        <v>499672.17891311191</v>
      </c>
      <c r="D7" s="293">
        <f>+'Flujo de caja del Inversionista'!C24</f>
        <v>-3099.5552380679692</v>
      </c>
      <c r="E7" s="293">
        <f>C7*'Costo de Capital '!$C$9</f>
        <v>145517.03030397103</v>
      </c>
      <c r="F7" s="293">
        <f>+D7-E7</f>
        <v>-148616.58554203899</v>
      </c>
    </row>
    <row r="8" spans="2:6" ht="14.95" customHeight="1">
      <c r="B8" s="292">
        <v>2</v>
      </c>
      <c r="C8" s="293">
        <f>+C7-F7</f>
        <v>648288.76445515093</v>
      </c>
      <c r="D8" s="293">
        <f>+'Flujo de caja del Inversionista'!D24</f>
        <v>2412.0221518875915</v>
      </c>
      <c r="E8" s="293">
        <f>C8*'Costo de Capital '!$C$9</f>
        <v>188797.89542845133</v>
      </c>
      <c r="F8" s="293">
        <f t="shared" ref="F8:F15" si="0">+D8-E8</f>
        <v>-186385.87327656374</v>
      </c>
    </row>
    <row r="9" spans="2:6" ht="14.95" customHeight="1">
      <c r="B9" s="291">
        <v>3</v>
      </c>
      <c r="C9" s="293">
        <f>+C8-F8</f>
        <v>834674.63773171464</v>
      </c>
      <c r="D9" s="293">
        <f>+'Flujo de caja del Inversionista'!E24</f>
        <v>74269.681067161291</v>
      </c>
      <c r="E9" s="293">
        <f>C9*'Costo de Capital '!$C$9</f>
        <v>243078.1213734186</v>
      </c>
      <c r="F9" s="293">
        <f t="shared" si="0"/>
        <v>-168808.44030625731</v>
      </c>
    </row>
    <row r="10" spans="2:6" ht="14.95" customHeight="1">
      <c r="B10" s="291">
        <v>4</v>
      </c>
      <c r="C10" s="293">
        <f t="shared" ref="C10:C16" si="1">+C9-F9</f>
        <v>1003483.078037972</v>
      </c>
      <c r="D10" s="293">
        <f>+'Flujo de caja del Inversionista'!F24</f>
        <v>87143.374889558676</v>
      </c>
      <c r="E10" s="293">
        <f>C10*'Costo de Capital '!$C$9</f>
        <v>292239.35940160841</v>
      </c>
      <c r="F10" s="293">
        <f t="shared" si="0"/>
        <v>-205095.98451204973</v>
      </c>
    </row>
    <row r="11" spans="2:6" ht="14.95" customHeight="1">
      <c r="B11" s="291">
        <v>5</v>
      </c>
      <c r="C11" s="293">
        <f t="shared" si="1"/>
        <v>1208579.0625500218</v>
      </c>
      <c r="D11" s="293">
        <f>+'Flujo de caja del Inversionista'!G24</f>
        <v>99029.587730359461</v>
      </c>
      <c r="E11" s="293">
        <f>C11*'Costo de Capital '!$C$9</f>
        <v>351968.43749113014</v>
      </c>
      <c r="F11" s="293">
        <f t="shared" si="0"/>
        <v>-252938.84976077068</v>
      </c>
    </row>
    <row r="12" spans="2:6" ht="14.95" customHeight="1">
      <c r="B12" s="291">
        <v>6</v>
      </c>
      <c r="C12" s="293">
        <f t="shared" si="1"/>
        <v>1461517.9123107926</v>
      </c>
      <c r="D12" s="293">
        <f>+'Flujo de caja del Inversionista'!H24</f>
        <v>109916.33289470953</v>
      </c>
      <c r="E12" s="293">
        <f>C12*'Costo de Capital '!$C$9</f>
        <v>425630.55401271058</v>
      </c>
      <c r="F12" s="293">
        <f t="shared" si="0"/>
        <v>-315714.22111800103</v>
      </c>
    </row>
    <row r="13" spans="2:6" ht="14.95" customHeight="1">
      <c r="B13" s="291">
        <v>7</v>
      </c>
      <c r="C13" s="293">
        <f t="shared" si="1"/>
        <v>1777232.1334287936</v>
      </c>
      <c r="D13" s="293">
        <f>+'Flujo de caja del Inversionista'!I24</f>
        <v>125217.81937694144</v>
      </c>
      <c r="E13" s="293">
        <f>C13*'Costo de Capital '!$C$9</f>
        <v>517574.42805780045</v>
      </c>
      <c r="F13" s="293">
        <f t="shared" si="0"/>
        <v>-392356.60868085903</v>
      </c>
    </row>
    <row r="14" spans="2:6" ht="14.95" customHeight="1">
      <c r="B14" s="291">
        <v>8</v>
      </c>
      <c r="C14" s="293">
        <f t="shared" si="1"/>
        <v>2169588.7421096526</v>
      </c>
      <c r="D14" s="293">
        <f>+'Flujo de caja del Inversionista'!J24</f>
        <v>139676.47716104792</v>
      </c>
      <c r="E14" s="293">
        <f>C14*'Costo de Capital '!$C$9</f>
        <v>631838.48142088356</v>
      </c>
      <c r="F14" s="293">
        <f t="shared" si="0"/>
        <v>-492162.00425983564</v>
      </c>
    </row>
    <row r="15" spans="2:6" ht="14.95" customHeight="1">
      <c r="B15" s="291">
        <v>9</v>
      </c>
      <c r="C15" s="293">
        <f t="shared" si="1"/>
        <v>2661750.7463694881</v>
      </c>
      <c r="D15" s="293">
        <f>+'Flujo de caja del Inversionista'!K24</f>
        <v>153344.96858846987</v>
      </c>
      <c r="E15" s="293">
        <f>C15*'Costo de Capital '!$C$9</f>
        <v>775168.3611114542</v>
      </c>
      <c r="F15" s="293">
        <f t="shared" si="0"/>
        <v>-621823.3925229843</v>
      </c>
    </row>
    <row r="16" spans="2:6" ht="14.95" customHeight="1">
      <c r="B16" s="291">
        <v>10</v>
      </c>
      <c r="C16" s="293">
        <f t="shared" si="1"/>
        <v>3283574.1388924723</v>
      </c>
      <c r="D16" s="293">
        <f>+'Flujo de caja del Inversionista'!L24</f>
        <v>225664.06443558936</v>
      </c>
      <c r="E16" s="293">
        <f>C16*'Costo de Capital '!$C$9</f>
        <v>956258.87859896023</v>
      </c>
      <c r="F16" s="293">
        <f>+D16-E16</f>
        <v>-730594.81416337087</v>
      </c>
    </row>
    <row r="17" spans="2:6" ht="14.95" customHeight="1">
      <c r="B17" s="290"/>
      <c r="C17" s="290"/>
      <c r="D17" s="290"/>
      <c r="E17" s="290"/>
      <c r="F17" s="290"/>
    </row>
  </sheetData>
  <mergeCells count="6">
    <mergeCell ref="E5:E6"/>
    <mergeCell ref="F5:F6"/>
    <mergeCell ref="B2:F3"/>
    <mergeCell ref="B5:B6"/>
    <mergeCell ref="C5:C6"/>
    <mergeCell ref="D5:D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2:E20"/>
  <sheetViews>
    <sheetView topLeftCell="A2" workbookViewId="0">
      <selection activeCell="G13" sqref="G13"/>
    </sheetView>
  </sheetViews>
  <sheetFormatPr baseColWidth="10" defaultRowHeight="14.3"/>
  <cols>
    <col min="2" max="2" width="30.875" bestFit="1" customWidth="1"/>
    <col min="3" max="3" width="14.375" customWidth="1"/>
    <col min="4" max="4" width="23.625" bestFit="1" customWidth="1"/>
  </cols>
  <sheetData>
    <row r="2" spans="2:5">
      <c r="B2" s="347" t="s">
        <v>293</v>
      </c>
      <c r="C2" s="347"/>
      <c r="D2" s="347"/>
      <c r="E2" s="347"/>
    </row>
    <row r="3" spans="2:5">
      <c r="B3" s="187" t="s">
        <v>294</v>
      </c>
      <c r="C3" s="5"/>
      <c r="D3" s="187" t="s">
        <v>295</v>
      </c>
      <c r="E3" s="5"/>
    </row>
    <row r="4" spans="2:5">
      <c r="B4" s="5"/>
      <c r="C4" s="5"/>
      <c r="D4" s="5"/>
      <c r="E4" s="5"/>
    </row>
    <row r="5" spans="2:5">
      <c r="B5" s="187" t="s">
        <v>296</v>
      </c>
      <c r="C5" s="5"/>
      <c r="D5" s="5" t="s">
        <v>297</v>
      </c>
      <c r="E5" s="188">
        <f>'Supuestos '!C60</f>
        <v>499672.17891311191</v>
      </c>
    </row>
    <row r="6" spans="2:5">
      <c r="B6" s="5" t="s">
        <v>318</v>
      </c>
      <c r="C6" s="190">
        <f>'Supuestos '!C57</f>
        <v>7703.4648551864784</v>
      </c>
      <c r="D6" s="5"/>
      <c r="E6" s="188"/>
    </row>
    <row r="7" spans="2:5">
      <c r="B7" s="5"/>
      <c r="C7" s="188"/>
      <c r="D7" s="5"/>
      <c r="E7" s="188"/>
    </row>
    <row r="8" spans="2:5">
      <c r="B8" s="187" t="s">
        <v>298</v>
      </c>
      <c r="C8" s="189">
        <f>SUM(C9:C14)</f>
        <v>824283.5</v>
      </c>
      <c r="D8" s="5"/>
      <c r="E8" s="188"/>
    </row>
    <row r="9" spans="2:5">
      <c r="B9" s="5" t="s">
        <v>243</v>
      </c>
      <c r="C9" s="188">
        <f>'Depreciacion '!B3</f>
        <v>3800</v>
      </c>
      <c r="D9" s="5"/>
      <c r="E9" s="188"/>
    </row>
    <row r="10" spans="2:5">
      <c r="B10" s="5" t="s">
        <v>244</v>
      </c>
      <c r="C10" s="188">
        <f>'Depreciacion '!B4</f>
        <v>25000</v>
      </c>
      <c r="D10" s="5"/>
      <c r="E10" s="188"/>
    </row>
    <row r="11" spans="2:5">
      <c r="B11" s="5" t="s">
        <v>245</v>
      </c>
      <c r="C11" s="188">
        <f>'Depreciacion '!B5</f>
        <v>1750</v>
      </c>
      <c r="D11" s="5"/>
      <c r="E11" s="188"/>
    </row>
    <row r="12" spans="2:5">
      <c r="B12" s="5" t="s">
        <v>246</v>
      </c>
      <c r="C12" s="188">
        <f>'Depreciacion '!B6</f>
        <v>3202</v>
      </c>
      <c r="D12" s="5"/>
      <c r="E12" s="188"/>
    </row>
    <row r="13" spans="2:5">
      <c r="B13" s="5" t="s">
        <v>247</v>
      </c>
      <c r="C13" s="188">
        <f>'Depreciacion '!B7</f>
        <v>90531.5</v>
      </c>
      <c r="D13" s="5"/>
      <c r="E13" s="188"/>
    </row>
    <row r="14" spans="2:5">
      <c r="B14" s="5" t="s">
        <v>302</v>
      </c>
      <c r="C14" s="188">
        <f>'Inversion '!F5</f>
        <v>700000</v>
      </c>
      <c r="D14" s="5"/>
      <c r="E14" s="188"/>
    </row>
    <row r="15" spans="2:5">
      <c r="B15" s="187" t="s">
        <v>299</v>
      </c>
      <c r="C15" s="189">
        <f>SUM(C16:C16)</f>
        <v>800</v>
      </c>
      <c r="D15" s="187" t="s">
        <v>184</v>
      </c>
      <c r="E15" s="188"/>
    </row>
    <row r="16" spans="2:5" ht="27.7" customHeight="1">
      <c r="B16" s="238" t="s">
        <v>304</v>
      </c>
      <c r="C16" s="188">
        <f>'Inversion '!F57</f>
        <v>800</v>
      </c>
      <c r="D16" s="5" t="s">
        <v>139</v>
      </c>
      <c r="E16" s="188">
        <f>'Supuestos '!C59</f>
        <v>333114.78594207461</v>
      </c>
    </row>
    <row r="17" spans="2:5">
      <c r="B17" s="236" t="s">
        <v>300</v>
      </c>
      <c r="C17" s="237">
        <f>+C6+C8+C15</f>
        <v>832786.96485518652</v>
      </c>
      <c r="D17" s="235" t="s">
        <v>319</v>
      </c>
      <c r="E17" s="237">
        <f>SUM(E5:E16)</f>
        <v>832786.96485518652</v>
      </c>
    </row>
    <row r="19" spans="2:5">
      <c r="B19" s="187" t="s">
        <v>301</v>
      </c>
      <c r="C19" s="188">
        <f>+C8+C15</f>
        <v>825083.5</v>
      </c>
    </row>
    <row r="20" spans="2:5">
      <c r="E20" s="192"/>
    </row>
  </sheetData>
  <mergeCells count="1">
    <mergeCell ref="B2:E2"/>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dimension ref="A1:K36"/>
  <sheetViews>
    <sheetView topLeftCell="A13" zoomScale="50" zoomScaleNormal="50" workbookViewId="0">
      <selection activeCell="H38" sqref="H38"/>
    </sheetView>
  </sheetViews>
  <sheetFormatPr baseColWidth="10" defaultRowHeight="14.3"/>
  <cols>
    <col min="1" max="1" width="53.875" bestFit="1" customWidth="1"/>
    <col min="2" max="11" width="24.375" bestFit="1" customWidth="1"/>
  </cols>
  <sheetData>
    <row r="1" spans="1:11" ht="28.55">
      <c r="A1" s="341" t="s">
        <v>321</v>
      </c>
      <c r="B1" s="341"/>
      <c r="C1" s="341"/>
      <c r="D1" s="341"/>
      <c r="E1" s="341"/>
      <c r="F1" s="341"/>
      <c r="G1" s="341"/>
      <c r="H1" s="341"/>
      <c r="I1" s="341"/>
      <c r="J1" s="341"/>
      <c r="K1" s="341"/>
    </row>
    <row r="2" spans="1:11" ht="28.55">
      <c r="A2" s="342" t="s">
        <v>327</v>
      </c>
      <c r="B2" s="342"/>
      <c r="C2" s="342"/>
      <c r="D2" s="342"/>
      <c r="E2" s="342"/>
      <c r="F2" s="342"/>
      <c r="G2" s="342"/>
      <c r="H2" s="342"/>
      <c r="I2" s="342"/>
      <c r="J2" s="342"/>
      <c r="K2" s="342"/>
    </row>
    <row r="4" spans="1:11" ht="28.55">
      <c r="A4" s="257" t="s">
        <v>99</v>
      </c>
      <c r="B4" s="258" t="s">
        <v>101</v>
      </c>
      <c r="C4" s="258" t="s">
        <v>102</v>
      </c>
      <c r="D4" s="258" t="s">
        <v>103</v>
      </c>
      <c r="E4" s="258" t="s">
        <v>104</v>
      </c>
      <c r="F4" s="258" t="s">
        <v>105</v>
      </c>
      <c r="G4" s="258" t="s">
        <v>122</v>
      </c>
      <c r="H4" s="258" t="s">
        <v>123</v>
      </c>
      <c r="I4" s="258" t="s">
        <v>124</v>
      </c>
      <c r="J4" s="258" t="s">
        <v>125</v>
      </c>
      <c r="K4" s="258" t="s">
        <v>126</v>
      </c>
    </row>
    <row r="5" spans="1:11" ht="23.8">
      <c r="A5" s="249" t="s">
        <v>328</v>
      </c>
      <c r="B5" s="250"/>
      <c r="C5" s="250"/>
      <c r="D5" s="250"/>
      <c r="E5" s="250"/>
      <c r="F5" s="250"/>
      <c r="G5" s="250"/>
      <c r="H5" s="250"/>
      <c r="I5" s="250"/>
      <c r="J5" s="250"/>
      <c r="K5" s="250"/>
    </row>
    <row r="6" spans="1:11" ht="23.8">
      <c r="A6" s="251" t="s">
        <v>329</v>
      </c>
      <c r="B6" s="252">
        <f>+B29-B19-B15</f>
        <v>11783.259710739716</v>
      </c>
      <c r="C6" s="252">
        <f t="shared" ref="C6:K6" si="0">+C29-C19-C15</f>
        <v>119980.24008714</v>
      </c>
      <c r="D6" s="252">
        <f t="shared" si="0"/>
        <v>194556.44920768961</v>
      </c>
      <c r="E6" s="252">
        <f t="shared" si="0"/>
        <v>280083.13551704329</v>
      </c>
      <c r="F6" s="252">
        <f t="shared" si="0"/>
        <v>377302.03203757328</v>
      </c>
      <c r="G6" s="252">
        <f t="shared" si="0"/>
        <v>486940.39077727369</v>
      </c>
      <c r="H6" s="252">
        <f t="shared" si="0"/>
        <v>609886.87910060491</v>
      </c>
      <c r="I6" s="252">
        <f t="shared" si="0"/>
        <v>747019.46548160957</v>
      </c>
      <c r="J6" s="252">
        <f t="shared" si="0"/>
        <v>899265.27639643068</v>
      </c>
      <c r="K6" s="252">
        <f t="shared" si="0"/>
        <v>1067602.4027156807</v>
      </c>
    </row>
    <row r="7" spans="1:11" ht="23.8">
      <c r="A7" s="259" t="s">
        <v>330</v>
      </c>
      <c r="B7" s="260">
        <f>+B6</f>
        <v>11783.259710739716</v>
      </c>
      <c r="C7" s="260">
        <f t="shared" ref="C7:K7" si="1">+C6</f>
        <v>119980.24008714</v>
      </c>
      <c r="D7" s="260">
        <f t="shared" si="1"/>
        <v>194556.44920768961</v>
      </c>
      <c r="E7" s="260">
        <f t="shared" si="1"/>
        <v>280083.13551704329</v>
      </c>
      <c r="F7" s="260">
        <f t="shared" si="1"/>
        <v>377302.03203757328</v>
      </c>
      <c r="G7" s="260">
        <f t="shared" si="1"/>
        <v>486940.39077727369</v>
      </c>
      <c r="H7" s="260">
        <f t="shared" si="1"/>
        <v>609886.87910060491</v>
      </c>
      <c r="I7" s="260">
        <f t="shared" si="1"/>
        <v>747019.46548160957</v>
      </c>
      <c r="J7" s="260">
        <f t="shared" si="1"/>
        <v>899265.27639643068</v>
      </c>
      <c r="K7" s="260">
        <f t="shared" si="1"/>
        <v>1067602.4027156807</v>
      </c>
    </row>
    <row r="8" spans="1:11" ht="23.8">
      <c r="A8" s="249" t="s">
        <v>331</v>
      </c>
      <c r="B8" s="252"/>
      <c r="C8" s="252"/>
      <c r="D8" s="252"/>
      <c r="E8" s="252"/>
      <c r="F8" s="252"/>
      <c r="G8" s="250"/>
      <c r="H8" s="250"/>
      <c r="I8" s="250"/>
      <c r="J8" s="250"/>
      <c r="K8" s="250"/>
    </row>
    <row r="9" spans="1:11" ht="23.8">
      <c r="A9" s="251" t="s">
        <v>332</v>
      </c>
      <c r="B9" s="254">
        <f>+'Depreciacion '!B16</f>
        <v>90531.5</v>
      </c>
      <c r="C9" s="254">
        <f>+B9</f>
        <v>90531.5</v>
      </c>
      <c r="D9" s="254">
        <f t="shared" ref="D9:K11" si="2">+C9</f>
        <v>90531.5</v>
      </c>
      <c r="E9" s="254">
        <f t="shared" si="2"/>
        <v>90531.5</v>
      </c>
      <c r="F9" s="254">
        <f t="shared" si="2"/>
        <v>90531.5</v>
      </c>
      <c r="G9" s="254">
        <f t="shared" si="2"/>
        <v>90531.5</v>
      </c>
      <c r="H9" s="254">
        <f t="shared" si="2"/>
        <v>90531.5</v>
      </c>
      <c r="I9" s="254">
        <f t="shared" si="2"/>
        <v>90531.5</v>
      </c>
      <c r="J9" s="254">
        <f t="shared" si="2"/>
        <v>90531.5</v>
      </c>
      <c r="K9" s="254">
        <f t="shared" si="2"/>
        <v>90531.5</v>
      </c>
    </row>
    <row r="10" spans="1:11" ht="23.8">
      <c r="A10" s="251" t="s">
        <v>302</v>
      </c>
      <c r="B10" s="254">
        <f>+'Inversion '!F5</f>
        <v>700000</v>
      </c>
      <c r="C10" s="254">
        <f>+B10</f>
        <v>700000</v>
      </c>
      <c r="D10" s="254">
        <f t="shared" si="2"/>
        <v>700000</v>
      </c>
      <c r="E10" s="254">
        <f t="shared" si="2"/>
        <v>700000</v>
      </c>
      <c r="F10" s="254">
        <f t="shared" si="2"/>
        <v>700000</v>
      </c>
      <c r="G10" s="254">
        <f t="shared" si="2"/>
        <v>700000</v>
      </c>
      <c r="H10" s="254">
        <f t="shared" si="2"/>
        <v>700000</v>
      </c>
      <c r="I10" s="254">
        <f t="shared" si="2"/>
        <v>700000</v>
      </c>
      <c r="J10" s="254">
        <f t="shared" si="2"/>
        <v>700000</v>
      </c>
      <c r="K10" s="254">
        <f t="shared" si="2"/>
        <v>700000</v>
      </c>
    </row>
    <row r="11" spans="1:11" ht="23.8">
      <c r="A11" s="251" t="s">
        <v>333</v>
      </c>
      <c r="B11" s="254">
        <f>+'Depreciacion '!B12</f>
        <v>3800</v>
      </c>
      <c r="C11" s="254">
        <f>+B11</f>
        <v>3800</v>
      </c>
      <c r="D11" s="254">
        <f t="shared" si="2"/>
        <v>3800</v>
      </c>
      <c r="E11" s="254">
        <f t="shared" si="2"/>
        <v>3800</v>
      </c>
      <c r="F11" s="254">
        <f t="shared" si="2"/>
        <v>3800</v>
      </c>
      <c r="G11" s="254">
        <f t="shared" si="2"/>
        <v>3800</v>
      </c>
      <c r="H11" s="254">
        <f t="shared" si="2"/>
        <v>3800</v>
      </c>
      <c r="I11" s="254">
        <f t="shared" si="2"/>
        <v>3800</v>
      </c>
      <c r="J11" s="254">
        <f t="shared" si="2"/>
        <v>3800</v>
      </c>
      <c r="K11" s="254">
        <f t="shared" si="2"/>
        <v>3800</v>
      </c>
    </row>
    <row r="12" spans="1:11" ht="23.8">
      <c r="A12" s="251" t="s">
        <v>245</v>
      </c>
      <c r="B12" s="254">
        <f>+'Depreciacion '!B14</f>
        <v>1750</v>
      </c>
      <c r="C12" s="254">
        <f>B12</f>
        <v>1750</v>
      </c>
      <c r="D12" s="254">
        <f t="shared" ref="C12:K13" si="3">C12</f>
        <v>1750</v>
      </c>
      <c r="E12" s="254">
        <f t="shared" si="3"/>
        <v>1750</v>
      </c>
      <c r="F12" s="254">
        <f t="shared" si="3"/>
        <v>1750</v>
      </c>
      <c r="G12" s="254">
        <f t="shared" si="3"/>
        <v>1750</v>
      </c>
      <c r="H12" s="254">
        <f t="shared" si="3"/>
        <v>1750</v>
      </c>
      <c r="I12" s="254">
        <f t="shared" si="3"/>
        <v>1750</v>
      </c>
      <c r="J12" s="254">
        <f t="shared" si="3"/>
        <v>1750</v>
      </c>
      <c r="K12" s="254">
        <f t="shared" si="3"/>
        <v>1750</v>
      </c>
    </row>
    <row r="13" spans="1:11" ht="23.8">
      <c r="A13" s="251" t="s">
        <v>334</v>
      </c>
      <c r="B13" s="254">
        <f>+'Depreciacion '!B13</f>
        <v>25000</v>
      </c>
      <c r="C13" s="254">
        <f t="shared" si="3"/>
        <v>25000</v>
      </c>
      <c r="D13" s="254">
        <f t="shared" si="3"/>
        <v>25000</v>
      </c>
      <c r="E13" s="254">
        <f t="shared" si="3"/>
        <v>25000</v>
      </c>
      <c r="F13" s="254">
        <f t="shared" si="3"/>
        <v>25000</v>
      </c>
      <c r="G13" s="254">
        <f t="shared" si="3"/>
        <v>25000</v>
      </c>
      <c r="H13" s="254">
        <f t="shared" si="3"/>
        <v>25000</v>
      </c>
      <c r="I13" s="254">
        <f t="shared" si="3"/>
        <v>25000</v>
      </c>
      <c r="J13" s="254">
        <f t="shared" si="3"/>
        <v>25000</v>
      </c>
      <c r="K13" s="254">
        <f t="shared" si="3"/>
        <v>25000</v>
      </c>
    </row>
    <row r="14" spans="1:11" ht="23.8">
      <c r="A14" s="251" t="s">
        <v>335</v>
      </c>
      <c r="B14" s="254">
        <f>+'Depreciacion '!E19</f>
        <v>8310.1083333333336</v>
      </c>
      <c r="C14" s="254">
        <f>+'Depreciacion '!F19</f>
        <v>16620.216666666667</v>
      </c>
      <c r="D14" s="254">
        <f>+'Depreciacion '!G19</f>
        <v>24930.325000000001</v>
      </c>
      <c r="E14" s="254">
        <f>+'Depreciacion '!H19</f>
        <v>33240.433333333334</v>
      </c>
      <c r="F14" s="254">
        <f>+'Depreciacion '!I19</f>
        <v>41550.541666666672</v>
      </c>
      <c r="G14" s="254">
        <f>+'Depreciacion '!J19</f>
        <v>49860.650000000009</v>
      </c>
      <c r="H14" s="254">
        <f>+'Depreciacion '!K19</f>
        <v>58170.758333333346</v>
      </c>
      <c r="I14" s="254">
        <f>+'Depreciacion '!L19</f>
        <v>66480.866666666683</v>
      </c>
      <c r="J14" s="254">
        <f>+'Depreciacion '!M19</f>
        <v>74790.97500000002</v>
      </c>
      <c r="K14" s="254">
        <f>+'Depreciacion '!N19</f>
        <v>83101.083333333358</v>
      </c>
    </row>
    <row r="15" spans="1:11" ht="23.8">
      <c r="A15" s="259" t="s">
        <v>336</v>
      </c>
      <c r="B15" s="260">
        <f>+SUM(B9:B13)-B14</f>
        <v>812771.39166666672</v>
      </c>
      <c r="C15" s="260">
        <f t="shared" ref="C15:K15" si="4">+SUM(C9:C13)-C14</f>
        <v>804461.28333333333</v>
      </c>
      <c r="D15" s="260">
        <f t="shared" si="4"/>
        <v>796151.17500000005</v>
      </c>
      <c r="E15" s="260">
        <f t="shared" si="4"/>
        <v>787841.06666666665</v>
      </c>
      <c r="F15" s="260">
        <f t="shared" si="4"/>
        <v>779530.95833333337</v>
      </c>
      <c r="G15" s="260">
        <f t="shared" si="4"/>
        <v>771220.85</v>
      </c>
      <c r="H15" s="260">
        <f t="shared" si="4"/>
        <v>762910.7416666667</v>
      </c>
      <c r="I15" s="260">
        <f t="shared" si="4"/>
        <v>754600.6333333333</v>
      </c>
      <c r="J15" s="260">
        <f t="shared" si="4"/>
        <v>746290.52500000002</v>
      </c>
      <c r="K15" s="260">
        <f t="shared" si="4"/>
        <v>737980.41666666663</v>
      </c>
    </row>
    <row r="16" spans="1:11" ht="23.8">
      <c r="A16" s="249" t="s">
        <v>337</v>
      </c>
      <c r="B16" s="254"/>
      <c r="C16" s="254"/>
      <c r="D16" s="254"/>
      <c r="E16" s="254"/>
      <c r="F16" s="254"/>
      <c r="G16" s="254"/>
      <c r="H16" s="254"/>
      <c r="I16" s="254"/>
      <c r="J16" s="254"/>
      <c r="K16" s="254"/>
    </row>
    <row r="17" spans="1:11" ht="23.8">
      <c r="A17" s="251" t="s">
        <v>338</v>
      </c>
      <c r="B17" s="254">
        <f>+'Depreciacion '!B24</f>
        <v>800</v>
      </c>
      <c r="C17" s="254">
        <f>+B17</f>
        <v>800</v>
      </c>
      <c r="D17" s="254">
        <f>+C17</f>
        <v>800</v>
      </c>
      <c r="E17" s="254">
        <f>+D17</f>
        <v>800</v>
      </c>
      <c r="F17" s="254">
        <f>+E17</f>
        <v>800</v>
      </c>
      <c r="G17" s="254"/>
      <c r="H17" s="254"/>
      <c r="I17" s="254"/>
      <c r="J17" s="254"/>
      <c r="K17" s="254"/>
    </row>
    <row r="18" spans="1:11" ht="23.8">
      <c r="A18" s="251" t="s">
        <v>339</v>
      </c>
      <c r="B18" s="254">
        <f>+'Depreciacion '!E27</f>
        <v>160</v>
      </c>
      <c r="C18" s="254">
        <f>+'Depreciacion '!F27</f>
        <v>320</v>
      </c>
      <c r="D18" s="254">
        <f>+'Depreciacion '!G27</f>
        <v>480</v>
      </c>
      <c r="E18" s="254">
        <f>+'Depreciacion '!H27</f>
        <v>640</v>
      </c>
      <c r="F18" s="254">
        <f>+'Depreciacion '!I27</f>
        <v>800</v>
      </c>
      <c r="G18" s="254"/>
      <c r="H18" s="254"/>
      <c r="I18" s="254"/>
      <c r="J18" s="254"/>
      <c r="K18" s="254"/>
    </row>
    <row r="19" spans="1:11" ht="23.8">
      <c r="A19" s="259" t="s">
        <v>340</v>
      </c>
      <c r="B19" s="260">
        <f>+B17-B18</f>
        <v>640</v>
      </c>
      <c r="C19" s="260">
        <f>+C17-C18</f>
        <v>480</v>
      </c>
      <c r="D19" s="260">
        <f>+D17-D18</f>
        <v>320</v>
      </c>
      <c r="E19" s="260">
        <f>+E17-E18</f>
        <v>160</v>
      </c>
      <c r="F19" s="260">
        <f>+F17-F18</f>
        <v>0</v>
      </c>
      <c r="G19" s="260"/>
      <c r="H19" s="260"/>
      <c r="I19" s="260"/>
      <c r="J19" s="260"/>
      <c r="K19" s="260"/>
    </row>
    <row r="20" spans="1:11" ht="23.8">
      <c r="A20" s="261" t="s">
        <v>341</v>
      </c>
      <c r="B20" s="256">
        <f>+B7+B15+B19</f>
        <v>825194.65137740644</v>
      </c>
      <c r="C20" s="256">
        <f t="shared" ref="C20:K20" si="5">+C7+C15+C19</f>
        <v>924921.52342047333</v>
      </c>
      <c r="D20" s="256">
        <f t="shared" si="5"/>
        <v>991027.62420768966</v>
      </c>
      <c r="E20" s="256">
        <f t="shared" si="5"/>
        <v>1068084.2021837099</v>
      </c>
      <c r="F20" s="256">
        <f t="shared" si="5"/>
        <v>1156832.9903709067</v>
      </c>
      <c r="G20" s="256">
        <f t="shared" si="5"/>
        <v>1258161.2407772737</v>
      </c>
      <c r="H20" s="256">
        <f t="shared" si="5"/>
        <v>1372797.6207672716</v>
      </c>
      <c r="I20" s="256">
        <f t="shared" si="5"/>
        <v>1501620.0988149429</v>
      </c>
      <c r="J20" s="256">
        <f t="shared" si="5"/>
        <v>1645555.8013964307</v>
      </c>
      <c r="K20" s="256">
        <f t="shared" si="5"/>
        <v>1805582.8193823472</v>
      </c>
    </row>
    <row r="21" spans="1:11" ht="23.8">
      <c r="A21" s="249" t="s">
        <v>342</v>
      </c>
      <c r="B21" s="262"/>
      <c r="C21" s="262"/>
      <c r="D21" s="262"/>
      <c r="E21" s="262"/>
      <c r="F21" s="262"/>
      <c r="G21" s="262"/>
      <c r="H21" s="262"/>
      <c r="I21" s="262"/>
      <c r="J21" s="262"/>
      <c r="K21" s="262"/>
    </row>
    <row r="22" spans="1:11" ht="23.8">
      <c r="A22" s="251" t="s">
        <v>343</v>
      </c>
      <c r="B22" s="262">
        <f>+'Estado de resultados'!B14</f>
        <v>3977.3500936212859</v>
      </c>
      <c r="C22" s="262">
        <f>+'Estado de resultados'!C14</f>
        <v>6078.1466974496579</v>
      </c>
      <c r="D22" s="262">
        <f>+'Estado de resultados'!D14</f>
        <v>24298.02530280178</v>
      </c>
      <c r="E22" s="262">
        <f>+'Estado de resultados'!E14</f>
        <v>27923.846008394004</v>
      </c>
      <c r="F22" s="262">
        <f>+'Estado de resultados'!F14</f>
        <v>31850.100671531574</v>
      </c>
      <c r="G22" s="262">
        <f>+'Estado de resultados'!G14</f>
        <v>36126.138078399352</v>
      </c>
      <c r="H22" s="262">
        <f>+'Estado de resultados'!H14</f>
        <v>40731.566303070045</v>
      </c>
      <c r="I22" s="262">
        <f>+'Estado de resultados'!I14</f>
        <v>45720.467779173399</v>
      </c>
      <c r="J22" s="262">
        <f>+'Estado de resultados'!J14</f>
        <v>51125.63618752038</v>
      </c>
      <c r="K22" s="262">
        <f>+'Estado de resultados'!K14</f>
        <v>56982.837493469873</v>
      </c>
    </row>
    <row r="23" spans="1:11" ht="23.8">
      <c r="A23" s="251" t="s">
        <v>344</v>
      </c>
      <c r="B23" s="262">
        <f>+Prestamo!I7</f>
        <v>471198.77744382014</v>
      </c>
      <c r="C23" s="262">
        <f>+[2]Prestamo!N6</f>
        <v>549070.87611634715</v>
      </c>
      <c r="D23" s="262">
        <f>+[2]Prestamo!O6</f>
        <v>511910.36936665594</v>
      </c>
      <c r="E23" s="262">
        <f>+[2]Prestamo!P6</f>
        <v>470290.6018070018</v>
      </c>
      <c r="F23" s="262">
        <f>+[2]Prestamo!Q6</f>
        <v>423676.46214018919</v>
      </c>
      <c r="G23" s="262">
        <f>+[2]Prestamo!R6</f>
        <v>371468.62571335898</v>
      </c>
      <c r="H23" s="262">
        <f>+[2]Prestamo!S6</f>
        <v>312995.84891530918</v>
      </c>
      <c r="I23" s="262">
        <f>+[2]Prestamo!T6</f>
        <v>247506.33890149338</v>
      </c>
      <c r="J23" s="262">
        <f>+[2]Prestamo!U6</f>
        <v>174158.08768601966</v>
      </c>
      <c r="K23" s="262">
        <f>+[2]Prestamo!V6</f>
        <v>92008.046324689101</v>
      </c>
    </row>
    <row r="24" spans="1:11" ht="23.8">
      <c r="A24" s="261" t="s">
        <v>345</v>
      </c>
      <c r="B24" s="256">
        <f>+B23+B22</f>
        <v>475176.12753744144</v>
      </c>
      <c r="C24" s="256">
        <f t="shared" ref="C24:K24" si="6">+C23+C22</f>
        <v>555149.02281379676</v>
      </c>
      <c r="D24" s="256">
        <f t="shared" si="6"/>
        <v>536208.39466945769</v>
      </c>
      <c r="E24" s="256">
        <f t="shared" si="6"/>
        <v>498214.44781539583</v>
      </c>
      <c r="F24" s="256">
        <f t="shared" si="6"/>
        <v>455526.56281172077</v>
      </c>
      <c r="G24" s="256">
        <f t="shared" si="6"/>
        <v>407594.76379175833</v>
      </c>
      <c r="H24" s="256">
        <f t="shared" si="6"/>
        <v>353727.41521837923</v>
      </c>
      <c r="I24" s="256">
        <f t="shared" si="6"/>
        <v>293226.80668066675</v>
      </c>
      <c r="J24" s="256">
        <f t="shared" si="6"/>
        <v>225283.72387354003</v>
      </c>
      <c r="K24" s="256">
        <f t="shared" si="6"/>
        <v>148990.88381815897</v>
      </c>
    </row>
    <row r="25" spans="1:11" ht="23.8">
      <c r="A25" s="263" t="s">
        <v>184</v>
      </c>
      <c r="B25" s="262"/>
      <c r="C25" s="262"/>
      <c r="D25" s="262"/>
      <c r="E25" s="262"/>
      <c r="F25" s="262"/>
      <c r="G25" s="262"/>
      <c r="H25" s="262"/>
      <c r="I25" s="262"/>
      <c r="J25" s="262"/>
      <c r="K25" s="262"/>
    </row>
    <row r="26" spans="1:11" ht="23.8">
      <c r="A26" s="264" t="s">
        <v>346</v>
      </c>
      <c r="B26" s="262">
        <f>+'Supuestos '!C59</f>
        <v>333114.78594207461</v>
      </c>
      <c r="C26" s="262">
        <f>+B26</f>
        <v>333114.78594207461</v>
      </c>
      <c r="D26" s="262">
        <f t="shared" ref="D26:K26" si="7">+C26</f>
        <v>333114.78594207461</v>
      </c>
      <c r="E26" s="262">
        <f t="shared" si="7"/>
        <v>333114.78594207461</v>
      </c>
      <c r="F26" s="262">
        <f t="shared" si="7"/>
        <v>333114.78594207461</v>
      </c>
      <c r="G26" s="262">
        <f t="shared" si="7"/>
        <v>333114.78594207461</v>
      </c>
      <c r="H26" s="262">
        <f t="shared" si="7"/>
        <v>333114.78594207461</v>
      </c>
      <c r="I26" s="262">
        <f t="shared" si="7"/>
        <v>333114.78594207461</v>
      </c>
      <c r="J26" s="262">
        <f t="shared" si="7"/>
        <v>333114.78594207461</v>
      </c>
      <c r="K26" s="262">
        <f t="shared" si="7"/>
        <v>333114.78594207461</v>
      </c>
    </row>
    <row r="27" spans="1:11" ht="23.8">
      <c r="A27" s="264" t="s">
        <v>347</v>
      </c>
      <c r="B27" s="262">
        <f>+'Estado de resultados'!B17</f>
        <v>16903.737897890467</v>
      </c>
      <c r="C27" s="262">
        <f>+'Estado de resultados'!C17</f>
        <v>25832.123464161046</v>
      </c>
      <c r="D27" s="262">
        <f>+'Estado de resultados'!D17</f>
        <v>103266.60753690757</v>
      </c>
      <c r="E27" s="262">
        <f>+'Estado de resultados'!E17</f>
        <v>118676.34553567451</v>
      </c>
      <c r="F27" s="262">
        <f>+'Estado de resultados'!F17</f>
        <v>135362.92785400921</v>
      </c>
      <c r="G27" s="262">
        <f>+'Estado de resultados'!G17</f>
        <v>153536.08683319725</v>
      </c>
      <c r="H27" s="262">
        <f>+'Estado de resultados'!H17</f>
        <v>173109.15678804769</v>
      </c>
      <c r="I27" s="262">
        <f>+'Estado de resultados'!I17</f>
        <v>194311.98806148695</v>
      </c>
      <c r="J27" s="262">
        <f>+'Estado de resultados'!J17</f>
        <v>217283.95379696158</v>
      </c>
      <c r="K27" s="262">
        <f>+'Estado de resultados'!K17</f>
        <v>242177.05934724695</v>
      </c>
    </row>
    <row r="28" spans="1:11" ht="23.8">
      <c r="A28" s="264" t="s">
        <v>348</v>
      </c>
      <c r="B28" s="262">
        <f>+'Estado de resultados'!B18</f>
        <v>0</v>
      </c>
      <c r="C28" s="262">
        <f>+'Estado de resultados'!C18</f>
        <v>16903.737897890467</v>
      </c>
      <c r="D28" s="262">
        <f>+'Estado de resultados'!D18</f>
        <v>42735.86136205151</v>
      </c>
      <c r="E28" s="262">
        <f>+'Estado de resultados'!E18</f>
        <v>146002.46889895908</v>
      </c>
      <c r="F28" s="262">
        <f>+'Estado de resultados'!F18</f>
        <v>264678.81443463359</v>
      </c>
      <c r="G28" s="262">
        <f>+'Estado de resultados'!G18</f>
        <v>400041.7422886428</v>
      </c>
      <c r="H28" s="262">
        <f>+'Estado de resultados'!H18</f>
        <v>553577.82912184007</v>
      </c>
      <c r="I28" s="262">
        <f>+'Estado de resultados'!I18</f>
        <v>726686.98590988782</v>
      </c>
      <c r="J28" s="262">
        <f>+'Estado de resultados'!J18</f>
        <v>920998.9739713748</v>
      </c>
      <c r="K28" s="262">
        <f>+'Estado de resultados'!K18</f>
        <v>1138282.9277683364</v>
      </c>
    </row>
    <row r="29" spans="1:11" ht="23.8">
      <c r="A29" s="261" t="s">
        <v>349</v>
      </c>
      <c r="B29" s="256">
        <f>+B24+SUM(B26:B28)</f>
        <v>825194.65137740644</v>
      </c>
      <c r="C29" s="256">
        <f t="shared" ref="C29:K29" si="8">+C23+SUM(C26:C28)</f>
        <v>924921.52342047333</v>
      </c>
      <c r="D29" s="256">
        <f t="shared" si="8"/>
        <v>991027.62420768966</v>
      </c>
      <c r="E29" s="256">
        <f t="shared" si="8"/>
        <v>1068084.2021837099</v>
      </c>
      <c r="F29" s="256">
        <f t="shared" si="8"/>
        <v>1156832.9903709067</v>
      </c>
      <c r="G29" s="256">
        <f t="shared" si="8"/>
        <v>1258161.2407772737</v>
      </c>
      <c r="H29" s="256">
        <f t="shared" si="8"/>
        <v>1372797.6207672716</v>
      </c>
      <c r="I29" s="256">
        <f t="shared" si="8"/>
        <v>1501620.0988149429</v>
      </c>
      <c r="J29" s="256">
        <f t="shared" si="8"/>
        <v>1645555.8013964307</v>
      </c>
      <c r="K29" s="256">
        <f t="shared" si="8"/>
        <v>1805582.8193823472</v>
      </c>
    </row>
    <row r="31" spans="1:11" s="268" customFormat="1" ht="25.5" customHeight="1">
      <c r="B31" s="269"/>
      <c r="D31" s="270"/>
    </row>
    <row r="32" spans="1:11" s="268" customFormat="1" ht="25.85">
      <c r="B32" s="273"/>
      <c r="D32" s="271"/>
      <c r="H32" s="269"/>
    </row>
    <row r="33" spans="2:9" ht="22.6" customHeight="1">
      <c r="B33" s="272"/>
      <c r="D33" s="271"/>
      <c r="E33" s="266"/>
      <c r="G33" s="266"/>
      <c r="H33" s="267"/>
    </row>
    <row r="34" spans="2:9" ht="21.1">
      <c r="C34" s="266"/>
      <c r="D34" s="265"/>
      <c r="E34" s="265"/>
    </row>
    <row r="35" spans="2:9" ht="21.1">
      <c r="B35" s="62"/>
      <c r="C35" s="265"/>
      <c r="F35" s="267"/>
      <c r="G35" s="267"/>
      <c r="H35" s="267"/>
      <c r="I35" s="267"/>
    </row>
    <row r="36" spans="2:9">
      <c r="B36" s="62"/>
    </row>
  </sheetData>
  <mergeCells count="2">
    <mergeCell ref="A1:K1"/>
    <mergeCell ref="A2:K2"/>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baseColWidth="10" defaultRowHeight="14.3"/>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H63"/>
  <sheetViews>
    <sheetView topLeftCell="A41" workbookViewId="0">
      <selection activeCell="C44" sqref="C44"/>
    </sheetView>
  </sheetViews>
  <sheetFormatPr baseColWidth="10" defaultRowHeight="14.3"/>
  <cols>
    <col min="2" max="2" width="38.75" customWidth="1"/>
    <col min="4" max="4" width="14.625" bestFit="1" customWidth="1"/>
    <col min="5" max="5" width="24.375" bestFit="1" customWidth="1"/>
    <col min="6" max="6" width="13.875" bestFit="1" customWidth="1"/>
  </cols>
  <sheetData>
    <row r="1" spans="2:8" ht="14.95" thickBot="1"/>
    <row r="2" spans="2:8" ht="14.95" thickTop="1">
      <c r="B2" s="332" t="s">
        <v>305</v>
      </c>
      <c r="C2" s="333"/>
      <c r="E2" s="332" t="s">
        <v>189</v>
      </c>
      <c r="F2" s="333"/>
    </row>
    <row r="3" spans="2:8">
      <c r="B3" s="6" t="s">
        <v>0</v>
      </c>
      <c r="C3" s="7">
        <v>50</v>
      </c>
      <c r="E3" s="110" t="s">
        <v>190</v>
      </c>
      <c r="F3" s="111">
        <v>50</v>
      </c>
    </row>
    <row r="4" spans="2:8">
      <c r="B4" s="6" t="s">
        <v>1</v>
      </c>
      <c r="C4" s="8">
        <v>296.33</v>
      </c>
      <c r="E4" s="6" t="s">
        <v>191</v>
      </c>
      <c r="F4" s="7">
        <v>14000</v>
      </c>
    </row>
    <row r="5" spans="2:8" ht="14.95" thickBot="1">
      <c r="B5" s="9" t="s">
        <v>2</v>
      </c>
      <c r="C5" s="193">
        <f>C3*C4</f>
        <v>14816.5</v>
      </c>
      <c r="E5" s="9" t="s">
        <v>192</v>
      </c>
      <c r="F5" s="194">
        <f>F4*F3</f>
        <v>700000</v>
      </c>
    </row>
    <row r="6" spans="2:8" ht="15.65" thickTop="1" thickBot="1"/>
    <row r="7" spans="2:8" ht="14.95" thickTop="1">
      <c r="B7" s="10" t="s">
        <v>3</v>
      </c>
      <c r="C7" s="11" t="s">
        <v>4</v>
      </c>
      <c r="D7" s="11" t="s">
        <v>5</v>
      </c>
      <c r="E7" s="11" t="s">
        <v>19</v>
      </c>
      <c r="F7" s="12" t="s">
        <v>6</v>
      </c>
    </row>
    <row r="8" spans="2:8">
      <c r="B8" s="13" t="s">
        <v>7</v>
      </c>
      <c r="C8" s="1">
        <v>250</v>
      </c>
      <c r="D8" s="3">
        <v>110</v>
      </c>
      <c r="E8" s="3"/>
      <c r="F8" s="201">
        <f>C8*D8</f>
        <v>27500</v>
      </c>
      <c r="G8" t="s">
        <v>303</v>
      </c>
    </row>
    <row r="9" spans="2:8">
      <c r="B9" s="15" t="s">
        <v>8</v>
      </c>
      <c r="C9" s="2">
        <v>6</v>
      </c>
      <c r="D9" s="4">
        <v>250</v>
      </c>
      <c r="E9" s="4"/>
      <c r="F9" s="201">
        <f>C9*D9</f>
        <v>1500</v>
      </c>
      <c r="H9" t="s">
        <v>303</v>
      </c>
    </row>
    <row r="10" spans="2:8">
      <c r="B10" s="15" t="s">
        <v>9</v>
      </c>
      <c r="C10" s="2">
        <v>6</v>
      </c>
      <c r="D10" s="4">
        <v>15</v>
      </c>
      <c r="E10" s="4"/>
      <c r="F10" s="201">
        <f>C10*D10</f>
        <v>90</v>
      </c>
      <c r="H10" t="s">
        <v>303</v>
      </c>
    </row>
    <row r="11" spans="2:8">
      <c r="B11" s="15" t="s">
        <v>10</v>
      </c>
      <c r="C11" s="2">
        <v>9</v>
      </c>
      <c r="D11" s="4">
        <v>20</v>
      </c>
      <c r="E11" s="4"/>
      <c r="F11" s="201">
        <f>C11*D11</f>
        <v>180</v>
      </c>
      <c r="H11" t="s">
        <v>303</v>
      </c>
    </row>
    <row r="12" spans="2:8">
      <c r="B12" s="15" t="s">
        <v>11</v>
      </c>
      <c r="C12" s="2">
        <v>8</v>
      </c>
      <c r="D12" s="4">
        <v>35</v>
      </c>
      <c r="E12" s="4"/>
      <c r="F12" s="201">
        <f>C12*D12</f>
        <v>280</v>
      </c>
      <c r="H12" t="s">
        <v>303</v>
      </c>
    </row>
    <row r="13" spans="2:8">
      <c r="B13" s="16" t="s">
        <v>12</v>
      </c>
      <c r="C13" s="2"/>
      <c r="D13" s="2"/>
      <c r="E13" s="2"/>
      <c r="F13" s="202">
        <f>F15+F14</f>
        <v>2100</v>
      </c>
    </row>
    <row r="14" spans="2:8">
      <c r="B14" s="15" t="s">
        <v>13</v>
      </c>
      <c r="C14" s="2">
        <v>3</v>
      </c>
      <c r="D14" s="4">
        <v>500</v>
      </c>
      <c r="E14" s="4"/>
      <c r="F14" s="201">
        <f>C14*D14</f>
        <v>1500</v>
      </c>
    </row>
    <row r="15" spans="2:8">
      <c r="B15" s="15" t="s">
        <v>14</v>
      </c>
      <c r="C15" s="2">
        <v>1</v>
      </c>
      <c r="D15" s="4">
        <v>600</v>
      </c>
      <c r="E15" s="4"/>
      <c r="F15" s="201">
        <f>C15*D15</f>
        <v>600</v>
      </c>
    </row>
    <row r="16" spans="2:8">
      <c r="B16" s="16" t="s">
        <v>16</v>
      </c>
      <c r="C16" s="2"/>
      <c r="D16" s="4"/>
      <c r="E16" s="4"/>
      <c r="F16" s="202">
        <f>F17</f>
        <v>1700</v>
      </c>
    </row>
    <row r="17" spans="2:8">
      <c r="B17" s="15" t="s">
        <v>15</v>
      </c>
      <c r="C17" s="2">
        <v>2</v>
      </c>
      <c r="D17" s="4">
        <v>850</v>
      </c>
      <c r="E17" s="4"/>
      <c r="F17" s="201">
        <f>C17*D17</f>
        <v>1700</v>
      </c>
    </row>
    <row r="18" spans="2:8">
      <c r="B18" s="16" t="s">
        <v>17</v>
      </c>
      <c r="C18" s="2"/>
      <c r="D18" s="2"/>
      <c r="E18" s="203"/>
      <c r="F18" s="202">
        <f>SUM(F19:F24)</f>
        <v>15738</v>
      </c>
      <c r="G18" t="s">
        <v>303</v>
      </c>
    </row>
    <row r="19" spans="2:8">
      <c r="B19" s="15" t="s">
        <v>18</v>
      </c>
      <c r="C19" s="2">
        <v>1</v>
      </c>
      <c r="D19" s="4">
        <v>40</v>
      </c>
      <c r="E19" s="204">
        <v>40</v>
      </c>
      <c r="F19" s="201">
        <f>C19*D19*E19</f>
        <v>1600</v>
      </c>
    </row>
    <row r="20" spans="2:8">
      <c r="B20" s="15" t="s">
        <v>20</v>
      </c>
      <c r="C20" s="2">
        <v>1</v>
      </c>
      <c r="D20" s="4">
        <v>40</v>
      </c>
      <c r="E20" s="203">
        <v>35</v>
      </c>
      <c r="F20" s="201">
        <f>D20*C20*E20</f>
        <v>1400</v>
      </c>
    </row>
    <row r="21" spans="2:8">
      <c r="B21" s="15" t="s">
        <v>163</v>
      </c>
      <c r="C21" s="2">
        <v>1</v>
      </c>
      <c r="D21" s="4">
        <v>40</v>
      </c>
      <c r="E21" s="203">
        <v>35</v>
      </c>
      <c r="F21" s="201">
        <f>D21*C21*E21</f>
        <v>1400</v>
      </c>
    </row>
    <row r="22" spans="2:8">
      <c r="B22" s="15" t="s">
        <v>21</v>
      </c>
      <c r="C22" s="2">
        <v>97</v>
      </c>
      <c r="D22" s="4">
        <v>48</v>
      </c>
      <c r="E22" s="203"/>
      <c r="F22" s="201">
        <f>C22*D22</f>
        <v>4656</v>
      </c>
    </row>
    <row r="23" spans="2:8">
      <c r="B23" s="15" t="s">
        <v>22</v>
      </c>
      <c r="C23" s="2">
        <v>2</v>
      </c>
      <c r="D23" s="4">
        <v>116</v>
      </c>
      <c r="E23" s="2"/>
      <c r="F23" s="201">
        <f>C23*D23</f>
        <v>232</v>
      </c>
    </row>
    <row r="24" spans="2:8">
      <c r="B24" s="15" t="s">
        <v>23</v>
      </c>
      <c r="C24" s="2">
        <v>129</v>
      </c>
      <c r="D24" s="4">
        <v>50</v>
      </c>
      <c r="E24" s="2"/>
      <c r="F24" s="201">
        <f>C24*D24</f>
        <v>6450</v>
      </c>
    </row>
    <row r="25" spans="2:8">
      <c r="B25" s="16" t="s">
        <v>29</v>
      </c>
      <c r="C25" s="2"/>
      <c r="D25" s="2"/>
      <c r="E25" s="2"/>
      <c r="F25" s="202">
        <f>SUM(F26:F33)</f>
        <v>10932</v>
      </c>
    </row>
    <row r="26" spans="2:8">
      <c r="B26" s="15" t="s">
        <v>24</v>
      </c>
      <c r="C26" s="2">
        <v>1</v>
      </c>
      <c r="D26" s="4">
        <v>380</v>
      </c>
      <c r="E26" s="2"/>
      <c r="F26" s="201">
        <f>C26*D26</f>
        <v>380</v>
      </c>
      <c r="H26" t="s">
        <v>303</v>
      </c>
    </row>
    <row r="27" spans="2:8">
      <c r="B27" s="15" t="s">
        <v>25</v>
      </c>
      <c r="C27" s="2">
        <v>1</v>
      </c>
      <c r="D27" s="4">
        <v>480</v>
      </c>
      <c r="E27" s="2"/>
      <c r="F27" s="201">
        <f>C27*D27</f>
        <v>480</v>
      </c>
      <c r="H27" t="s">
        <v>303</v>
      </c>
    </row>
    <row r="28" spans="2:8">
      <c r="B28" s="15" t="s">
        <v>26</v>
      </c>
      <c r="C28" s="2">
        <v>1</v>
      </c>
      <c r="D28" s="4">
        <v>600</v>
      </c>
      <c r="E28" s="2"/>
      <c r="F28" s="201">
        <f>C28*D28</f>
        <v>600</v>
      </c>
      <c r="H28" t="s">
        <v>303</v>
      </c>
    </row>
    <row r="29" spans="2:8">
      <c r="B29" s="15" t="s">
        <v>27</v>
      </c>
      <c r="C29" s="2">
        <v>8</v>
      </c>
      <c r="D29" s="4">
        <v>12</v>
      </c>
      <c r="E29" s="2"/>
      <c r="F29" s="201">
        <f t="shared" ref="F29:F42" si="0">C29*D29</f>
        <v>96</v>
      </c>
      <c r="H29" t="s">
        <v>303</v>
      </c>
    </row>
    <row r="30" spans="2:8">
      <c r="B30" s="15" t="s">
        <v>28</v>
      </c>
      <c r="C30" s="2">
        <v>32</v>
      </c>
      <c r="D30" s="4">
        <v>8</v>
      </c>
      <c r="E30" s="2"/>
      <c r="F30" s="201">
        <f t="shared" si="0"/>
        <v>256</v>
      </c>
      <c r="H30" t="s">
        <v>303</v>
      </c>
    </row>
    <row r="31" spans="2:8">
      <c r="B31" s="15" t="s">
        <v>30</v>
      </c>
      <c r="C31" s="2">
        <v>186</v>
      </c>
      <c r="D31" s="4">
        <v>48</v>
      </c>
      <c r="E31" s="2"/>
      <c r="F31" s="201">
        <f t="shared" si="0"/>
        <v>8928</v>
      </c>
      <c r="G31" t="s">
        <v>303</v>
      </c>
    </row>
    <row r="32" spans="2:8">
      <c r="B32" s="15" t="s">
        <v>34</v>
      </c>
      <c r="C32" s="2">
        <v>10</v>
      </c>
      <c r="D32" s="4">
        <v>10</v>
      </c>
      <c r="E32" s="2"/>
      <c r="F32" s="201">
        <f t="shared" si="0"/>
        <v>100</v>
      </c>
      <c r="H32" t="s">
        <v>303</v>
      </c>
    </row>
    <row r="33" spans="2:8">
      <c r="B33" s="15" t="s">
        <v>35</v>
      </c>
      <c r="C33" s="2">
        <v>8</v>
      </c>
      <c r="D33" s="4">
        <v>11.5</v>
      </c>
      <c r="E33" s="2"/>
      <c r="F33" s="201">
        <f t="shared" si="0"/>
        <v>92</v>
      </c>
      <c r="H33" t="s">
        <v>303</v>
      </c>
    </row>
    <row r="34" spans="2:8">
      <c r="B34" s="16" t="s">
        <v>31</v>
      </c>
      <c r="C34" s="2"/>
      <c r="D34" s="2"/>
      <c r="E34" s="2"/>
      <c r="F34" s="202">
        <f>F35+F36</f>
        <v>400</v>
      </c>
      <c r="H34" t="s">
        <v>303</v>
      </c>
    </row>
    <row r="35" spans="2:8">
      <c r="B35" s="15" t="s">
        <v>32</v>
      </c>
      <c r="C35" s="2">
        <v>1</v>
      </c>
      <c r="D35" s="4">
        <v>250</v>
      </c>
      <c r="E35" s="2"/>
      <c r="F35" s="201">
        <f t="shared" si="0"/>
        <v>250</v>
      </c>
    </row>
    <row r="36" spans="2:8">
      <c r="B36" s="15" t="s">
        <v>33</v>
      </c>
      <c r="C36" s="2">
        <v>10</v>
      </c>
      <c r="D36" s="4">
        <v>15</v>
      </c>
      <c r="E36" s="2"/>
      <c r="F36" s="201">
        <f t="shared" si="0"/>
        <v>150</v>
      </c>
    </row>
    <row r="37" spans="2:8">
      <c r="B37" s="16" t="s">
        <v>36</v>
      </c>
      <c r="C37" s="2"/>
      <c r="D37" s="2"/>
      <c r="E37" s="2"/>
      <c r="F37" s="202">
        <f>SUM(F38:F42)</f>
        <v>19918</v>
      </c>
      <c r="G37" t="s">
        <v>303</v>
      </c>
    </row>
    <row r="38" spans="2:8">
      <c r="B38" s="15" t="s">
        <v>37</v>
      </c>
      <c r="C38" s="2">
        <v>200</v>
      </c>
      <c r="D38" s="4">
        <v>54</v>
      </c>
      <c r="E38" s="2"/>
      <c r="F38" s="201">
        <f t="shared" si="0"/>
        <v>10800</v>
      </c>
    </row>
    <row r="39" spans="2:8">
      <c r="B39" s="15" t="s">
        <v>38</v>
      </c>
      <c r="C39" s="2">
        <v>100</v>
      </c>
      <c r="D39" s="4">
        <v>32</v>
      </c>
      <c r="E39" s="2"/>
      <c r="F39" s="201">
        <f t="shared" si="0"/>
        <v>3200</v>
      </c>
    </row>
    <row r="40" spans="2:8">
      <c r="B40" s="15" t="s">
        <v>39</v>
      </c>
      <c r="C40" s="2">
        <v>80</v>
      </c>
      <c r="D40" s="4">
        <v>65</v>
      </c>
      <c r="E40" s="2"/>
      <c r="F40" s="201">
        <f t="shared" si="0"/>
        <v>5200</v>
      </c>
    </row>
    <row r="41" spans="2:8">
      <c r="B41" s="15" t="s">
        <v>40</v>
      </c>
      <c r="C41" s="2">
        <v>6</v>
      </c>
      <c r="D41" s="4">
        <v>53</v>
      </c>
      <c r="E41" s="2"/>
      <c r="F41" s="201">
        <f t="shared" si="0"/>
        <v>318</v>
      </c>
    </row>
    <row r="42" spans="2:8">
      <c r="B42" s="15" t="s">
        <v>41</v>
      </c>
      <c r="C42" s="2">
        <v>8</v>
      </c>
      <c r="D42" s="4">
        <v>50</v>
      </c>
      <c r="E42" s="2"/>
      <c r="F42" s="201">
        <f t="shared" si="0"/>
        <v>400</v>
      </c>
    </row>
    <row r="43" spans="2:8">
      <c r="B43" s="16" t="s">
        <v>94</v>
      </c>
      <c r="C43" s="2"/>
      <c r="D43" s="2"/>
      <c r="E43" s="2"/>
      <c r="F43" s="202">
        <f>SUM(F44:F47)</f>
        <v>3551</v>
      </c>
    </row>
    <row r="44" spans="2:8">
      <c r="B44" s="40" t="s">
        <v>95</v>
      </c>
      <c r="C44" s="2">
        <v>4</v>
      </c>
      <c r="D44" s="4">
        <v>125</v>
      </c>
      <c r="E44" s="2"/>
      <c r="F44" s="201">
        <f>C44*D44</f>
        <v>500</v>
      </c>
    </row>
    <row r="45" spans="2:8">
      <c r="B45" s="39" t="s">
        <v>96</v>
      </c>
      <c r="C45" s="2">
        <v>5</v>
      </c>
      <c r="D45" s="4">
        <v>350</v>
      </c>
      <c r="E45" s="2"/>
      <c r="F45" s="201">
        <f>C45*D45</f>
        <v>1750</v>
      </c>
    </row>
    <row r="46" spans="2:8">
      <c r="B46" s="39" t="s">
        <v>97</v>
      </c>
      <c r="C46" s="2">
        <v>2</v>
      </c>
      <c r="D46" s="4">
        <v>250</v>
      </c>
      <c r="E46" s="2"/>
      <c r="F46" s="201">
        <f>C46*D46</f>
        <v>500</v>
      </c>
    </row>
    <row r="47" spans="2:8">
      <c r="B47" s="39" t="s">
        <v>155</v>
      </c>
      <c r="C47" s="2">
        <v>9</v>
      </c>
      <c r="D47" s="4">
        <v>89</v>
      </c>
      <c r="E47" s="2"/>
      <c r="F47" s="195">
        <f>C47*D47</f>
        <v>801</v>
      </c>
      <c r="G47" t="s">
        <v>303</v>
      </c>
    </row>
    <row r="48" spans="2:8">
      <c r="B48" s="16" t="s">
        <v>156</v>
      </c>
      <c r="C48" s="2"/>
      <c r="D48" s="4"/>
      <c r="E48" s="2"/>
      <c r="F48" s="202">
        <f>SUM(F49:F54)</f>
        <v>578</v>
      </c>
    </row>
    <row r="49" spans="2:8">
      <c r="B49" s="40" t="s">
        <v>157</v>
      </c>
      <c r="C49" s="2">
        <v>1</v>
      </c>
      <c r="D49" s="4">
        <v>30</v>
      </c>
      <c r="E49" s="2"/>
      <c r="F49" s="201">
        <f t="shared" ref="F49:F54" si="1">C49*D49</f>
        <v>30</v>
      </c>
      <c r="G49" t="s">
        <v>303</v>
      </c>
    </row>
    <row r="50" spans="2:8">
      <c r="B50" s="40" t="s">
        <v>158</v>
      </c>
      <c r="C50" s="2">
        <v>1</v>
      </c>
      <c r="D50" s="4">
        <v>15</v>
      </c>
      <c r="E50" s="2"/>
      <c r="F50" s="201">
        <f t="shared" si="1"/>
        <v>15</v>
      </c>
      <c r="H50" t="s">
        <v>303</v>
      </c>
    </row>
    <row r="51" spans="2:8">
      <c r="B51" s="40" t="s">
        <v>159</v>
      </c>
      <c r="C51" s="2">
        <v>10</v>
      </c>
      <c r="D51" s="4">
        <v>37</v>
      </c>
      <c r="E51" s="2"/>
      <c r="F51" s="201">
        <f t="shared" si="1"/>
        <v>370</v>
      </c>
      <c r="G51" t="s">
        <v>303</v>
      </c>
    </row>
    <row r="52" spans="2:8">
      <c r="B52" s="40" t="s">
        <v>160</v>
      </c>
      <c r="C52" s="2">
        <v>1</v>
      </c>
      <c r="D52" s="4">
        <v>10</v>
      </c>
      <c r="E52" s="2"/>
      <c r="F52" s="201">
        <f t="shared" si="1"/>
        <v>10</v>
      </c>
      <c r="H52" t="s">
        <v>303</v>
      </c>
    </row>
    <row r="53" spans="2:8">
      <c r="B53" s="40" t="s">
        <v>161</v>
      </c>
      <c r="C53" s="2">
        <v>2</v>
      </c>
      <c r="D53" s="4">
        <v>69</v>
      </c>
      <c r="E53" s="2"/>
      <c r="F53" s="201">
        <f t="shared" si="1"/>
        <v>138</v>
      </c>
      <c r="H53" t="s">
        <v>303</v>
      </c>
    </row>
    <row r="54" spans="2:8">
      <c r="B54" s="90" t="s">
        <v>162</v>
      </c>
      <c r="C54" s="2">
        <v>1</v>
      </c>
      <c r="D54" s="4">
        <v>15</v>
      </c>
      <c r="E54" s="2"/>
      <c r="F54" s="201">
        <f t="shared" si="1"/>
        <v>15</v>
      </c>
      <c r="H54" t="s">
        <v>303</v>
      </c>
    </row>
    <row r="55" spans="2:8">
      <c r="B55" s="16" t="s">
        <v>121</v>
      </c>
      <c r="C55" s="2"/>
      <c r="D55" s="4"/>
      <c r="E55" s="2"/>
      <c r="F55" s="202">
        <f>F56</f>
        <v>25000</v>
      </c>
    </row>
    <row r="56" spans="2:8">
      <c r="B56" s="40" t="s">
        <v>235</v>
      </c>
      <c r="C56" s="2">
        <v>1</v>
      </c>
      <c r="D56" s="4">
        <v>25000</v>
      </c>
      <c r="E56" s="2"/>
      <c r="F56" s="14">
        <f>D56*C56</f>
        <v>25000</v>
      </c>
    </row>
    <row r="57" spans="2:8">
      <c r="B57" s="16" t="s">
        <v>317</v>
      </c>
      <c r="C57" s="2"/>
      <c r="D57" s="4"/>
      <c r="E57" s="2"/>
      <c r="F57" s="17">
        <v>800</v>
      </c>
    </row>
    <row r="58" spans="2:8">
      <c r="B58" s="40"/>
      <c r="C58" s="2"/>
      <c r="D58" s="4"/>
      <c r="E58" s="2"/>
      <c r="F58" s="14"/>
    </row>
    <row r="59" spans="2:8">
      <c r="B59" s="19" t="s">
        <v>42</v>
      </c>
      <c r="C59" s="2"/>
      <c r="D59" s="2"/>
      <c r="E59" s="2"/>
      <c r="F59" s="20">
        <f>F37+F34+F25+F16+F13+F12+F11+F10+F9+F8+F43+F18+F48+F55+F57</f>
        <v>110267</v>
      </c>
    </row>
    <row r="60" spans="2:8">
      <c r="B60" s="15"/>
      <c r="C60" s="2"/>
      <c r="D60" s="2"/>
      <c r="E60" s="2"/>
      <c r="F60" s="18"/>
    </row>
    <row r="61" spans="2:8" ht="14.95" thickBot="1">
      <c r="B61" s="21" t="s">
        <v>307</v>
      </c>
      <c r="C61" s="22"/>
      <c r="D61" s="22"/>
      <c r="E61" s="22"/>
      <c r="F61" s="23">
        <f>F59+C5+F5</f>
        <v>825083.5</v>
      </c>
    </row>
    <row r="62" spans="2:8" ht="14.95" thickTop="1"/>
    <row r="63" spans="2:8">
      <c r="F63" s="31"/>
    </row>
  </sheetData>
  <mergeCells count="2">
    <mergeCell ref="B2:C2"/>
    <mergeCell ref="E2:F2"/>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2:M44"/>
  <sheetViews>
    <sheetView topLeftCell="A26" zoomScale="75" zoomScaleNormal="75" workbookViewId="0">
      <selection activeCell="I36" sqref="I36"/>
    </sheetView>
  </sheetViews>
  <sheetFormatPr baseColWidth="10" defaultColWidth="11.375" defaultRowHeight="16.3"/>
  <cols>
    <col min="1" max="1" width="42.375" style="176" bestFit="1" customWidth="1"/>
    <col min="2" max="2" width="15.125" style="176" bestFit="1" customWidth="1"/>
    <col min="3" max="12" width="14.875" style="176" bestFit="1" customWidth="1"/>
    <col min="13" max="16384" width="11.375" style="176"/>
  </cols>
  <sheetData>
    <row r="2" spans="1:12">
      <c r="A2" s="329" t="s">
        <v>374</v>
      </c>
      <c r="B2" s="130">
        <v>59449.309379370003</v>
      </c>
    </row>
    <row r="3" spans="1:12">
      <c r="A3" s="317"/>
      <c r="B3" s="319"/>
      <c r="C3" s="319">
        <v>1</v>
      </c>
      <c r="D3" s="319">
        <v>2</v>
      </c>
      <c r="E3" s="319">
        <v>3</v>
      </c>
      <c r="F3" s="319">
        <v>4</v>
      </c>
      <c r="G3" s="319">
        <v>5</v>
      </c>
      <c r="H3" s="319">
        <v>6</v>
      </c>
      <c r="I3" s="319">
        <v>7</v>
      </c>
      <c r="J3" s="319">
        <v>8</v>
      </c>
      <c r="K3" s="319">
        <v>9</v>
      </c>
      <c r="L3" s="319">
        <v>10</v>
      </c>
    </row>
    <row r="4" spans="1:12">
      <c r="A4" s="320" t="s">
        <v>375</v>
      </c>
      <c r="B4" s="317"/>
      <c r="C4" s="318">
        <f>+B2*0.7</f>
        <v>41614.516565559003</v>
      </c>
      <c r="D4" s="318">
        <f>+B2*0.75</f>
        <v>44586.9820345275</v>
      </c>
      <c r="E4" s="318">
        <f>+B2</f>
        <v>59449.309379370003</v>
      </c>
      <c r="F4" s="318">
        <f>+E4*1.04</f>
        <v>61827.281754544805</v>
      </c>
      <c r="G4" s="318">
        <f t="shared" ref="G4:L4" si="0">+F4*1.04</f>
        <v>64300.373024726599</v>
      </c>
      <c r="H4" s="318">
        <f t="shared" si="0"/>
        <v>66872.387945715673</v>
      </c>
      <c r="I4" s="318">
        <f t="shared" si="0"/>
        <v>69547.2834635443</v>
      </c>
      <c r="J4" s="318">
        <f t="shared" si="0"/>
        <v>72329.174802086069</v>
      </c>
      <c r="K4" s="318">
        <f t="shared" si="0"/>
        <v>75222.341794169508</v>
      </c>
      <c r="L4" s="318">
        <f t="shared" si="0"/>
        <v>78231.23546593629</v>
      </c>
    </row>
    <row r="5" spans="1:12">
      <c r="A5" s="329" t="s">
        <v>106</v>
      </c>
    </row>
    <row r="6" spans="1:12">
      <c r="A6" s="330" t="s">
        <v>227</v>
      </c>
      <c r="B6" s="316"/>
      <c r="C6" s="331">
        <v>4</v>
      </c>
      <c r="D6" s="331">
        <v>4</v>
      </c>
      <c r="E6" s="331">
        <v>5</v>
      </c>
      <c r="F6" s="331">
        <f>+E6*1.03</f>
        <v>5.15</v>
      </c>
      <c r="G6" s="331">
        <f t="shared" ref="G6:L6" si="1">+F6*1.03</f>
        <v>5.3045000000000009</v>
      </c>
      <c r="H6" s="331">
        <f t="shared" si="1"/>
        <v>5.4636350000000009</v>
      </c>
      <c r="I6" s="331">
        <f t="shared" si="1"/>
        <v>5.6275440500000009</v>
      </c>
      <c r="J6" s="331">
        <f t="shared" si="1"/>
        <v>5.796370371500001</v>
      </c>
      <c r="K6" s="331">
        <f t="shared" si="1"/>
        <v>5.9702614826450011</v>
      </c>
      <c r="L6" s="331">
        <f t="shared" si="1"/>
        <v>6.1493693271243517</v>
      </c>
    </row>
    <row r="7" spans="1:12">
      <c r="A7" s="330" t="s">
        <v>228</v>
      </c>
      <c r="B7" s="316"/>
      <c r="C7" s="331">
        <v>15</v>
      </c>
      <c r="D7" s="331">
        <v>15</v>
      </c>
      <c r="E7" s="331">
        <f>+D7*1.04</f>
        <v>15.600000000000001</v>
      </c>
      <c r="F7" s="331">
        <f t="shared" ref="F7:L7" si="2">+E7*1.04</f>
        <v>16.224000000000004</v>
      </c>
      <c r="G7" s="331">
        <f t="shared" si="2"/>
        <v>16.872960000000006</v>
      </c>
      <c r="H7" s="331">
        <f t="shared" si="2"/>
        <v>17.547878400000005</v>
      </c>
      <c r="I7" s="331">
        <f t="shared" si="2"/>
        <v>18.249793536000006</v>
      </c>
      <c r="J7" s="331">
        <f t="shared" si="2"/>
        <v>18.979785277440005</v>
      </c>
      <c r="K7" s="331">
        <f t="shared" si="2"/>
        <v>19.738976688537605</v>
      </c>
      <c r="L7" s="331">
        <f t="shared" si="2"/>
        <v>20.528535756079108</v>
      </c>
    </row>
    <row r="8" spans="1:12">
      <c r="A8" t="s">
        <v>233</v>
      </c>
      <c r="B8" s="328">
        <v>104</v>
      </c>
      <c r="C8" s="315"/>
      <c r="D8" s="315"/>
      <c r="E8" s="315"/>
      <c r="F8" s="315"/>
      <c r="G8" s="315"/>
      <c r="H8" s="315"/>
      <c r="I8" s="315"/>
      <c r="J8" s="315"/>
      <c r="K8" s="315"/>
      <c r="L8" s="315"/>
    </row>
    <row r="9" spans="1:12">
      <c r="A9" s="330" t="s">
        <v>376</v>
      </c>
      <c r="B9" s="316"/>
      <c r="C9" s="331">
        <v>300</v>
      </c>
      <c r="D9" s="315"/>
      <c r="E9" s="315"/>
      <c r="F9" s="315"/>
      <c r="G9" s="315"/>
      <c r="H9" s="315"/>
      <c r="I9" s="315"/>
      <c r="J9" s="315"/>
      <c r="K9" s="315"/>
      <c r="L9" s="315"/>
    </row>
    <row r="11" spans="1:12">
      <c r="A11" s="321" t="s">
        <v>229</v>
      </c>
    </row>
    <row r="12" spans="1:12">
      <c r="A12" s="324"/>
      <c r="B12" s="325" t="s">
        <v>216</v>
      </c>
      <c r="C12" s="324" t="s">
        <v>217</v>
      </c>
      <c r="D12" s="324" t="s">
        <v>218</v>
      </c>
      <c r="E12" s="324" t="s">
        <v>219</v>
      </c>
      <c r="F12" s="324" t="s">
        <v>220</v>
      </c>
      <c r="G12" s="324" t="s">
        <v>221</v>
      </c>
      <c r="H12" s="324" t="s">
        <v>222</v>
      </c>
      <c r="I12" s="324" t="s">
        <v>223</v>
      </c>
      <c r="J12" s="324" t="s">
        <v>224</v>
      </c>
      <c r="K12" s="324" t="s">
        <v>225</v>
      </c>
    </row>
    <row r="13" spans="1:12">
      <c r="A13" s="314" t="s">
        <v>230</v>
      </c>
      <c r="B13" s="322">
        <f>+C4*C6</f>
        <v>166458.06626223601</v>
      </c>
      <c r="C13" s="322">
        <f t="shared" ref="C13:K13" si="3">+D4*D6</f>
        <v>178347.92813811</v>
      </c>
      <c r="D13" s="322">
        <f t="shared" si="3"/>
        <v>297246.54689684999</v>
      </c>
      <c r="E13" s="322">
        <f t="shared" si="3"/>
        <v>318410.50103590579</v>
      </c>
      <c r="F13" s="322">
        <f t="shared" si="3"/>
        <v>341081.32870966231</v>
      </c>
      <c r="G13" s="322">
        <f t="shared" si="3"/>
        <v>365366.3193137903</v>
      </c>
      <c r="H13" s="322">
        <f t="shared" si="3"/>
        <v>391380.40124893218</v>
      </c>
      <c r="I13" s="322">
        <f t="shared" si="3"/>
        <v>419246.68581785611</v>
      </c>
      <c r="J13" s="322">
        <f t="shared" si="3"/>
        <v>449097.04984808748</v>
      </c>
      <c r="K13" s="322">
        <f t="shared" si="3"/>
        <v>481072.75979727134</v>
      </c>
    </row>
    <row r="14" spans="1:12">
      <c r="A14" s="314" t="s">
        <v>231</v>
      </c>
      <c r="B14" s="323">
        <f>+$B$8*C7</f>
        <v>1560</v>
      </c>
      <c r="C14" s="323">
        <f t="shared" ref="C14:K14" si="4">+$B$8*D7</f>
        <v>1560</v>
      </c>
      <c r="D14" s="323">
        <f t="shared" si="4"/>
        <v>1622.4</v>
      </c>
      <c r="E14" s="323">
        <f t="shared" si="4"/>
        <v>1687.2960000000003</v>
      </c>
      <c r="F14" s="323">
        <f t="shared" si="4"/>
        <v>1754.7878400000006</v>
      </c>
      <c r="G14" s="323">
        <f t="shared" si="4"/>
        <v>1824.9793536000006</v>
      </c>
      <c r="H14" s="323">
        <f t="shared" si="4"/>
        <v>1897.9785277440005</v>
      </c>
      <c r="I14" s="323">
        <f t="shared" si="4"/>
        <v>1973.8976688537605</v>
      </c>
      <c r="J14" s="323">
        <f t="shared" si="4"/>
        <v>2052.8535756079109</v>
      </c>
      <c r="K14" s="323">
        <f t="shared" si="4"/>
        <v>2134.9677186322274</v>
      </c>
    </row>
    <row r="15" spans="1:12">
      <c r="A15" s="314" t="s">
        <v>232</v>
      </c>
      <c r="B15" s="323">
        <f>+C9*12</f>
        <v>3600</v>
      </c>
      <c r="C15" s="323">
        <f>B15*1.05</f>
        <v>3780</v>
      </c>
      <c r="D15" s="323">
        <f t="shared" ref="D15:K15" si="5">C15*1.05</f>
        <v>3969</v>
      </c>
      <c r="E15" s="323">
        <f t="shared" si="5"/>
        <v>4167.45</v>
      </c>
      <c r="F15" s="323">
        <f t="shared" si="5"/>
        <v>4375.8225000000002</v>
      </c>
      <c r="G15" s="323">
        <f t="shared" si="5"/>
        <v>4594.6136250000009</v>
      </c>
      <c r="H15" s="323">
        <f t="shared" si="5"/>
        <v>4824.344306250001</v>
      </c>
      <c r="I15" s="323">
        <f t="shared" si="5"/>
        <v>5065.5615215625012</v>
      </c>
      <c r="J15" s="323">
        <f t="shared" si="5"/>
        <v>5318.8395976406264</v>
      </c>
      <c r="K15" s="323">
        <f t="shared" si="5"/>
        <v>5584.7815775226582</v>
      </c>
    </row>
    <row r="16" spans="1:12">
      <c r="A16" s="314" t="s">
        <v>204</v>
      </c>
      <c r="B16" s="323">
        <f>SUM(B13:B15)</f>
        <v>171618.06626223601</v>
      </c>
      <c r="C16" s="323">
        <f t="shared" ref="C16:J16" si="6">SUM(C13:C15)</f>
        <v>183687.92813811</v>
      </c>
      <c r="D16" s="323">
        <f t="shared" si="6"/>
        <v>302837.94689685002</v>
      </c>
      <c r="E16" s="323">
        <f t="shared" si="6"/>
        <v>324265.24703590578</v>
      </c>
      <c r="F16" s="323">
        <f t="shared" si="6"/>
        <v>347211.93904966232</v>
      </c>
      <c r="G16" s="323">
        <f t="shared" si="6"/>
        <v>371785.91229239031</v>
      </c>
      <c r="H16" s="323">
        <f t="shared" si="6"/>
        <v>398102.72408292617</v>
      </c>
      <c r="I16" s="323">
        <f t="shared" si="6"/>
        <v>426286.14500827237</v>
      </c>
      <c r="J16" s="323">
        <f t="shared" si="6"/>
        <v>456468.74302133603</v>
      </c>
      <c r="K16" s="323">
        <f>SUM(K13:K15)</f>
        <v>488792.50909342623</v>
      </c>
    </row>
    <row r="17" spans="1:12">
      <c r="A17" s="326"/>
    </row>
    <row r="19" spans="1:12">
      <c r="A19" s="343" t="s">
        <v>98</v>
      </c>
      <c r="B19" s="343"/>
      <c r="C19" s="343"/>
      <c r="D19" s="343"/>
      <c r="E19" s="343"/>
      <c r="F19" s="343"/>
      <c r="G19" s="343"/>
    </row>
    <row r="21" spans="1:12">
      <c r="A21" s="177" t="s">
        <v>99</v>
      </c>
      <c r="B21" s="177" t="s">
        <v>100</v>
      </c>
      <c r="C21" s="177" t="s">
        <v>101</v>
      </c>
      <c r="D21" s="177" t="s">
        <v>102</v>
      </c>
      <c r="E21" s="177" t="s">
        <v>103</v>
      </c>
      <c r="F21" s="177" t="s">
        <v>104</v>
      </c>
      <c r="G21" s="177" t="s">
        <v>105</v>
      </c>
      <c r="H21" s="177" t="s">
        <v>122</v>
      </c>
      <c r="I21" s="177" t="s">
        <v>123</v>
      </c>
      <c r="J21" s="177" t="s">
        <v>124</v>
      </c>
      <c r="K21" s="177" t="s">
        <v>125</v>
      </c>
      <c r="L21" s="177" t="s">
        <v>126</v>
      </c>
    </row>
    <row r="22" spans="1:12">
      <c r="A22" s="301" t="s">
        <v>106</v>
      </c>
      <c r="B22" s="301"/>
      <c r="C22" s="302">
        <f>+B16</f>
        <v>171618.06626223601</v>
      </c>
      <c r="D22" s="302">
        <f t="shared" ref="D22:L22" si="7">+C16</f>
        <v>183687.92813811</v>
      </c>
      <c r="E22" s="302">
        <f t="shared" si="7"/>
        <v>302837.94689685002</v>
      </c>
      <c r="F22" s="302">
        <f t="shared" si="7"/>
        <v>324265.24703590578</v>
      </c>
      <c r="G22" s="302">
        <f t="shared" si="7"/>
        <v>347211.93904966232</v>
      </c>
      <c r="H22" s="302">
        <f t="shared" si="7"/>
        <v>371785.91229239031</v>
      </c>
      <c r="I22" s="302">
        <f t="shared" si="7"/>
        <v>398102.72408292617</v>
      </c>
      <c r="J22" s="302">
        <f t="shared" si="7"/>
        <v>426286.14500827237</v>
      </c>
      <c r="K22" s="302">
        <f t="shared" si="7"/>
        <v>456468.74302133603</v>
      </c>
      <c r="L22" s="302">
        <f t="shared" si="7"/>
        <v>488792.50909342623</v>
      </c>
    </row>
    <row r="23" spans="1:12">
      <c r="A23" s="297" t="s">
        <v>107</v>
      </c>
      <c r="B23" s="299"/>
      <c r="C23" s="300">
        <f>SUM(C24:C28)</f>
        <v>145102.39897142918</v>
      </c>
      <c r="D23" s="300">
        <f>SUM(D24:D28)</f>
        <v>143166.95015511417</v>
      </c>
      <c r="E23" s="300">
        <f t="shared" ref="E23:L23" si="8">SUM(E24:E28)</f>
        <v>140851.11154484135</v>
      </c>
      <c r="F23" s="300">
        <f t="shared" si="8"/>
        <v>138106.27364661579</v>
      </c>
      <c r="G23" s="300">
        <f t="shared" si="8"/>
        <v>134877.93457278877</v>
      </c>
      <c r="H23" s="300">
        <f t="shared" si="8"/>
        <v>130944.9917697318</v>
      </c>
      <c r="I23" s="300">
        <f t="shared" si="8"/>
        <v>126558.9487291299</v>
      </c>
      <c r="J23" s="300">
        <f t="shared" si="8"/>
        <v>121483.02648045411</v>
      </c>
      <c r="K23" s="300">
        <f t="shared" si="8"/>
        <v>115631.16843787154</v>
      </c>
      <c r="L23" s="300">
        <f t="shared" si="8"/>
        <v>108906.92580363204</v>
      </c>
    </row>
    <row r="24" spans="1:12">
      <c r="A24" s="294" t="s">
        <v>108</v>
      </c>
      <c r="B24" s="294"/>
      <c r="C24" s="295">
        <f>CO!B5</f>
        <v>74067.968000000023</v>
      </c>
      <c r="D24" s="295">
        <f>CO!C5</f>
        <v>75549.327360000025</v>
      </c>
      <c r="E24" s="295">
        <f>CO!D5</f>
        <v>77060.313907200019</v>
      </c>
      <c r="F24" s="295">
        <f>CO!E5</f>
        <v>78601.520185344023</v>
      </c>
      <c r="G24" s="295">
        <f>CO!F5</f>
        <v>80173.550589050908</v>
      </c>
      <c r="H24" s="295">
        <f>CO!G5</f>
        <v>81777.021600831926</v>
      </c>
      <c r="I24" s="295">
        <f>CO!H5</f>
        <v>83412.562032848567</v>
      </c>
      <c r="J24" s="295">
        <f>CO!I5</f>
        <v>85080.813273505541</v>
      </c>
      <c r="K24" s="295">
        <f>CO!J5</f>
        <v>86782.429538975659</v>
      </c>
      <c r="L24" s="295">
        <f>CO!K5</f>
        <v>88518.078129755173</v>
      </c>
    </row>
    <row r="25" spans="1:12">
      <c r="A25" s="294" t="s">
        <v>87</v>
      </c>
      <c r="B25" s="294"/>
      <c r="C25" s="295">
        <f>CNO!C8</f>
        <v>5108.5200000000004</v>
      </c>
      <c r="D25" s="295">
        <f t="shared" ref="D25:L25" si="9">C25</f>
        <v>5108.5200000000004</v>
      </c>
      <c r="E25" s="295">
        <f t="shared" si="9"/>
        <v>5108.5200000000004</v>
      </c>
      <c r="F25" s="295">
        <f t="shared" si="9"/>
        <v>5108.5200000000004</v>
      </c>
      <c r="G25" s="295">
        <f t="shared" si="9"/>
        <v>5108.5200000000004</v>
      </c>
      <c r="H25" s="295">
        <f t="shared" si="9"/>
        <v>5108.5200000000004</v>
      </c>
      <c r="I25" s="295">
        <f t="shared" si="9"/>
        <v>5108.5200000000004</v>
      </c>
      <c r="J25" s="295">
        <f t="shared" si="9"/>
        <v>5108.5200000000004</v>
      </c>
      <c r="K25" s="295">
        <f t="shared" si="9"/>
        <v>5108.5200000000004</v>
      </c>
      <c r="L25" s="295">
        <f t="shared" si="9"/>
        <v>5108.5200000000004</v>
      </c>
    </row>
    <row r="26" spans="1:12">
      <c r="A26" s="294" t="s">
        <v>109</v>
      </c>
      <c r="B26" s="294"/>
      <c r="C26" s="295">
        <f>Prestamo!E30</f>
        <v>57455.802638095818</v>
      </c>
      <c r="D26" s="295">
        <f>Prestamo!F30</f>
        <v>54038.9944617808</v>
      </c>
      <c r="E26" s="295">
        <f>Prestamo!G30</f>
        <v>50212.169304307979</v>
      </c>
      <c r="F26" s="295">
        <f>Prestamo!H30</f>
        <v>45926.125127938423</v>
      </c>
      <c r="G26" s="295">
        <f>Prestamo!I30</f>
        <v>41125.755650404513</v>
      </c>
      <c r="H26" s="295">
        <f>Prestamo!J30</f>
        <v>35749.341835566534</v>
      </c>
      <c r="I26" s="295">
        <f>Prestamo!K30</f>
        <v>29727.758362947996</v>
      </c>
      <c r="J26" s="295">
        <f>Prestamo!L30</f>
        <v>22983.584873615233</v>
      </c>
      <c r="K26" s="295">
        <f>Prestamo!M30</f>
        <v>15430.11056556254</v>
      </c>
      <c r="L26" s="295">
        <f>Prestamo!N30</f>
        <v>6970.2193405435191</v>
      </c>
    </row>
    <row r="27" spans="1:12">
      <c r="A27" s="294" t="s">
        <v>110</v>
      </c>
      <c r="B27" s="294"/>
      <c r="C27" s="295">
        <f>'Depreciacion '!E17</f>
        <v>8310.1083333333336</v>
      </c>
      <c r="D27" s="295">
        <f>'Depreciacion '!F17</f>
        <v>8310.1083333333336</v>
      </c>
      <c r="E27" s="295">
        <f>'Depreciacion '!G17</f>
        <v>8310.1083333333336</v>
      </c>
      <c r="F27" s="295">
        <f>'Depreciacion '!H17</f>
        <v>8310.1083333333336</v>
      </c>
      <c r="G27" s="295">
        <f>'Depreciacion '!I17</f>
        <v>8310.1083333333336</v>
      </c>
      <c r="H27" s="295">
        <f>'Depreciacion '!J17</f>
        <v>8310.1083333333336</v>
      </c>
      <c r="I27" s="295">
        <f>'Depreciacion '!K17</f>
        <v>8310.1083333333336</v>
      </c>
      <c r="J27" s="295">
        <f>'Depreciacion '!L17</f>
        <v>8310.1083333333336</v>
      </c>
      <c r="K27" s="295">
        <f>'Depreciacion '!M17</f>
        <v>8310.1083333333336</v>
      </c>
      <c r="L27" s="295">
        <f>'Depreciacion '!N17</f>
        <v>8310.1083333333336</v>
      </c>
    </row>
    <row r="28" spans="1:12">
      <c r="A28" s="294" t="s">
        <v>254</v>
      </c>
      <c r="B28" s="296"/>
      <c r="C28" s="295">
        <f>'Depreciacion '!E24</f>
        <v>160</v>
      </c>
      <c r="D28" s="295">
        <f>'Depreciacion '!F24</f>
        <v>160</v>
      </c>
      <c r="E28" s="295">
        <f>'Depreciacion '!G24</f>
        <v>160</v>
      </c>
      <c r="F28" s="295">
        <f>'Depreciacion '!H24</f>
        <v>160</v>
      </c>
      <c r="G28" s="295">
        <f>'Depreciacion '!I24</f>
        <v>160</v>
      </c>
      <c r="H28" s="295"/>
      <c r="I28" s="295"/>
      <c r="J28" s="295"/>
      <c r="K28" s="295"/>
      <c r="L28" s="295"/>
    </row>
    <row r="29" spans="1:12">
      <c r="A29" s="178" t="s">
        <v>111</v>
      </c>
      <c r="B29" s="178"/>
      <c r="C29" s="179">
        <f>C22-C23</f>
        <v>26515.667290806829</v>
      </c>
      <c r="D29" s="179">
        <f t="shared" ref="D29:L29" si="10">D22-D23</f>
        <v>40520.977982995828</v>
      </c>
      <c r="E29" s="179">
        <f t="shared" si="10"/>
        <v>161986.83535200867</v>
      </c>
      <c r="F29" s="179">
        <f t="shared" si="10"/>
        <v>186158.97338928998</v>
      </c>
      <c r="G29" s="179">
        <f t="shared" si="10"/>
        <v>212334.00447687355</v>
      </c>
      <c r="H29" s="179">
        <f t="shared" si="10"/>
        <v>240840.9205226585</v>
      </c>
      <c r="I29" s="179">
        <f t="shared" si="10"/>
        <v>271543.77535379626</v>
      </c>
      <c r="J29" s="179">
        <f t="shared" si="10"/>
        <v>304803.11852781824</v>
      </c>
      <c r="K29" s="179">
        <f t="shared" si="10"/>
        <v>340837.57458346448</v>
      </c>
      <c r="L29" s="179">
        <f t="shared" si="10"/>
        <v>379885.58328979416</v>
      </c>
    </row>
    <row r="30" spans="1:12">
      <c r="A30" s="294" t="s">
        <v>112</v>
      </c>
      <c r="B30" s="294"/>
      <c r="C30" s="295">
        <f>C29*0.15</f>
        <v>3977.3500936210239</v>
      </c>
      <c r="D30" s="295">
        <f t="shared" ref="D30:L30" si="11">D29*0.15</f>
        <v>6078.1466974493742</v>
      </c>
      <c r="E30" s="295">
        <f t="shared" si="11"/>
        <v>24298.025302801299</v>
      </c>
      <c r="F30" s="295">
        <f t="shared" si="11"/>
        <v>27923.846008393495</v>
      </c>
      <c r="G30" s="295">
        <f t="shared" si="11"/>
        <v>31850.100671531032</v>
      </c>
      <c r="H30" s="295">
        <f t="shared" si="11"/>
        <v>36126.138078398777</v>
      </c>
      <c r="I30" s="295">
        <f t="shared" si="11"/>
        <v>40731.566303069434</v>
      </c>
      <c r="J30" s="295">
        <f t="shared" si="11"/>
        <v>45720.467779172737</v>
      </c>
      <c r="K30" s="295">
        <f t="shared" si="11"/>
        <v>51125.636187519667</v>
      </c>
      <c r="L30" s="295">
        <f t="shared" si="11"/>
        <v>56982.837493469124</v>
      </c>
    </row>
    <row r="31" spans="1:12">
      <c r="A31" s="178" t="s">
        <v>113</v>
      </c>
      <c r="B31" s="178"/>
      <c r="C31" s="179">
        <f>C29-C30</f>
        <v>22538.317197185803</v>
      </c>
      <c r="D31" s="179">
        <f t="shared" ref="D31:L31" si="12">D29-D30</f>
        <v>34442.831285546454</v>
      </c>
      <c r="E31" s="179">
        <f t="shared" si="12"/>
        <v>137688.81004920736</v>
      </c>
      <c r="F31" s="179">
        <f t="shared" si="12"/>
        <v>158235.12738089648</v>
      </c>
      <c r="G31" s="179">
        <f t="shared" si="12"/>
        <v>180483.90380534253</v>
      </c>
      <c r="H31" s="179">
        <f t="shared" si="12"/>
        <v>204714.78244425973</v>
      </c>
      <c r="I31" s="179">
        <f t="shared" si="12"/>
        <v>230812.20905072681</v>
      </c>
      <c r="J31" s="179">
        <f t="shared" si="12"/>
        <v>259082.65074864551</v>
      </c>
      <c r="K31" s="179">
        <f t="shared" si="12"/>
        <v>289711.93839594483</v>
      </c>
      <c r="L31" s="179">
        <f t="shared" si="12"/>
        <v>322902.74579632503</v>
      </c>
    </row>
    <row r="32" spans="1:12">
      <c r="A32" s="294" t="s">
        <v>114</v>
      </c>
      <c r="B32" s="294"/>
      <c r="C32" s="303">
        <f>C31*0.25</f>
        <v>5634.5792992964507</v>
      </c>
      <c r="D32" s="303">
        <f t="shared" ref="D32:L32" si="13">D31*0.25</f>
        <v>8610.7078213866134</v>
      </c>
      <c r="E32" s="303">
        <f t="shared" si="13"/>
        <v>34422.202512301839</v>
      </c>
      <c r="F32" s="303">
        <f t="shared" si="13"/>
        <v>39558.781845224119</v>
      </c>
      <c r="G32" s="303">
        <f t="shared" si="13"/>
        <v>45120.975951335633</v>
      </c>
      <c r="H32" s="303">
        <f t="shared" si="13"/>
        <v>51178.695611064933</v>
      </c>
      <c r="I32" s="303">
        <f t="shared" si="13"/>
        <v>57703.052262681704</v>
      </c>
      <c r="J32" s="303">
        <f t="shared" si="13"/>
        <v>64770.662687161377</v>
      </c>
      <c r="K32" s="303">
        <f t="shared" si="13"/>
        <v>72427.984598986208</v>
      </c>
      <c r="L32" s="303">
        <f t="shared" si="13"/>
        <v>80725.686449081259</v>
      </c>
    </row>
    <row r="33" spans="1:13">
      <c r="A33" s="178" t="s">
        <v>115</v>
      </c>
      <c r="B33" s="178"/>
      <c r="C33" s="179">
        <f t="shared" ref="C33:L33" si="14">C31-C32</f>
        <v>16903.737897889354</v>
      </c>
      <c r="D33" s="179">
        <f t="shared" si="14"/>
        <v>25832.123464159842</v>
      </c>
      <c r="E33" s="179">
        <f t="shared" si="14"/>
        <v>103266.60753690552</v>
      </c>
      <c r="F33" s="179">
        <f t="shared" si="14"/>
        <v>118676.34553567236</v>
      </c>
      <c r="G33" s="179">
        <f t="shared" si="14"/>
        <v>135362.92785400691</v>
      </c>
      <c r="H33" s="179">
        <f t="shared" si="14"/>
        <v>153536.0868331948</v>
      </c>
      <c r="I33" s="179">
        <f t="shared" si="14"/>
        <v>173109.1567880451</v>
      </c>
      <c r="J33" s="179">
        <f t="shared" si="14"/>
        <v>194311.98806148412</v>
      </c>
      <c r="K33" s="179">
        <f t="shared" si="14"/>
        <v>217283.95379695861</v>
      </c>
      <c r="L33" s="179">
        <f t="shared" si="14"/>
        <v>242177.05934724378</v>
      </c>
    </row>
    <row r="34" spans="1:13">
      <c r="A34" s="294" t="s">
        <v>116</v>
      </c>
      <c r="B34" s="294"/>
      <c r="C34" s="295">
        <f t="shared" ref="C34:L34" si="15">C27</f>
        <v>8310.1083333333336</v>
      </c>
      <c r="D34" s="295">
        <f t="shared" si="15"/>
        <v>8310.1083333333336</v>
      </c>
      <c r="E34" s="295">
        <f t="shared" si="15"/>
        <v>8310.1083333333336</v>
      </c>
      <c r="F34" s="295">
        <f t="shared" si="15"/>
        <v>8310.1083333333336</v>
      </c>
      <c r="G34" s="295">
        <f t="shared" si="15"/>
        <v>8310.1083333333336</v>
      </c>
      <c r="H34" s="295">
        <f t="shared" si="15"/>
        <v>8310.1083333333336</v>
      </c>
      <c r="I34" s="295">
        <f t="shared" si="15"/>
        <v>8310.1083333333336</v>
      </c>
      <c r="J34" s="295">
        <f t="shared" si="15"/>
        <v>8310.1083333333336</v>
      </c>
      <c r="K34" s="295">
        <f t="shared" si="15"/>
        <v>8310.1083333333336</v>
      </c>
      <c r="L34" s="295">
        <f t="shared" si="15"/>
        <v>8310.1083333333336</v>
      </c>
    </row>
    <row r="35" spans="1:13">
      <c r="A35" s="294" t="s">
        <v>254</v>
      </c>
      <c r="B35" s="296"/>
      <c r="C35" s="295">
        <f>C28</f>
        <v>160</v>
      </c>
      <c r="D35" s="295">
        <f>D28</f>
        <v>160</v>
      </c>
      <c r="E35" s="295">
        <f>E28</f>
        <v>160</v>
      </c>
      <c r="F35" s="295">
        <f>F28</f>
        <v>160</v>
      </c>
      <c r="G35" s="295">
        <f>G28</f>
        <v>160</v>
      </c>
      <c r="H35" s="295"/>
      <c r="I35" s="295"/>
      <c r="J35" s="295"/>
      <c r="K35" s="295"/>
      <c r="L35" s="295"/>
    </row>
    <row r="36" spans="1:13">
      <c r="A36" s="294" t="s">
        <v>308</v>
      </c>
      <c r="B36" s="306">
        <f>'Inversion '!F61</f>
        <v>825083.5</v>
      </c>
      <c r="C36" s="294"/>
      <c r="D36" s="295"/>
      <c r="E36" s="295">
        <f>'Inversion '!F45</f>
        <v>1750</v>
      </c>
      <c r="F36" s="295"/>
      <c r="G36" s="295"/>
      <c r="H36" s="304">
        <f>'Inversion '!F45</f>
        <v>1750</v>
      </c>
      <c r="I36" s="304"/>
      <c r="J36" s="304"/>
      <c r="K36" s="304">
        <f>'Inversion '!F45</f>
        <v>1750</v>
      </c>
      <c r="L36" s="304"/>
    </row>
    <row r="37" spans="1:13">
      <c r="A37" s="294" t="s">
        <v>284</v>
      </c>
      <c r="B37" s="306"/>
      <c r="C37" s="295"/>
      <c r="D37" s="295"/>
      <c r="E37" s="295"/>
      <c r="F37" s="295"/>
      <c r="G37" s="295"/>
      <c r="H37" s="304"/>
      <c r="I37" s="304"/>
      <c r="J37" s="304"/>
      <c r="K37" s="304"/>
      <c r="L37" s="304">
        <f>'Depreciacion '!P17</f>
        <v>46432.416666666672</v>
      </c>
    </row>
    <row r="38" spans="1:13">
      <c r="A38" s="294" t="s">
        <v>117</v>
      </c>
      <c r="B38" s="306">
        <f>'Supuestos '!C57</f>
        <v>7703.4648551864784</v>
      </c>
      <c r="C38" s="295"/>
      <c r="D38" s="295"/>
      <c r="E38" s="295"/>
      <c r="F38" s="295"/>
      <c r="G38" s="296"/>
      <c r="H38" s="304"/>
      <c r="I38" s="304"/>
      <c r="J38" s="304"/>
      <c r="K38" s="304"/>
      <c r="L38" s="304"/>
    </row>
    <row r="39" spans="1:13">
      <c r="A39" s="294" t="s">
        <v>118</v>
      </c>
      <c r="B39" s="298"/>
      <c r="C39" s="295">
        <f>Prestamo!E29</f>
        <v>28473.40146929177</v>
      </c>
      <c r="D39" s="295">
        <f>Prestamo!F29</f>
        <v>31890.209645606788</v>
      </c>
      <c r="E39" s="295">
        <f>Prestamo!G29</f>
        <v>35717.034803079609</v>
      </c>
      <c r="F39" s="295">
        <f>Prestamo!H29</f>
        <v>40003.078979449165</v>
      </c>
      <c r="G39" s="295">
        <f>Prestamo!I29</f>
        <v>44803.448456983075</v>
      </c>
      <c r="H39" s="295">
        <f>Prestamo!J29</f>
        <v>50179.862271821054</v>
      </c>
      <c r="I39" s="295">
        <f>Prestamo!K29</f>
        <v>56201.445744439596</v>
      </c>
      <c r="J39" s="295">
        <f>Prestamo!L29</f>
        <v>62945.619233772355</v>
      </c>
      <c r="K39" s="295">
        <f>Prestamo!M29</f>
        <v>70499.093541825045</v>
      </c>
      <c r="L39" s="295">
        <f>Prestamo!N29</f>
        <v>78958.984766844063</v>
      </c>
    </row>
    <row r="40" spans="1:13">
      <c r="A40" s="294" t="s">
        <v>119</v>
      </c>
      <c r="B40" s="306">
        <f>Prestamo!B6</f>
        <v>499672.17891311191</v>
      </c>
      <c r="C40" s="295"/>
      <c r="D40" s="295"/>
      <c r="E40" s="295"/>
      <c r="F40" s="295"/>
      <c r="G40" s="295"/>
      <c r="H40" s="304"/>
      <c r="I40" s="304"/>
      <c r="J40" s="304"/>
      <c r="K40" s="304"/>
      <c r="L40" s="304"/>
    </row>
    <row r="41" spans="1:13">
      <c r="A41" s="294" t="s">
        <v>285</v>
      </c>
      <c r="B41" s="296"/>
      <c r="C41" s="295"/>
      <c r="D41" s="295"/>
      <c r="E41" s="295"/>
      <c r="F41" s="295"/>
      <c r="G41" s="305"/>
      <c r="H41" s="304"/>
      <c r="I41" s="304"/>
      <c r="J41" s="304"/>
      <c r="K41" s="304"/>
      <c r="L41" s="304">
        <f>'Supuestos '!C57</f>
        <v>7703.4648551864784</v>
      </c>
    </row>
    <row r="42" spans="1:13">
      <c r="A42" s="180" t="s">
        <v>98</v>
      </c>
      <c r="B42" s="191">
        <f>B40-B36-B38</f>
        <v>-333114.78594207455</v>
      </c>
      <c r="C42" s="191">
        <f t="shared" ref="C42:J42" si="16">C33+C34-C39+C35</f>
        <v>-3099.5552380690824</v>
      </c>
      <c r="D42" s="191">
        <f t="shared" si="16"/>
        <v>2412.0221518863909</v>
      </c>
      <c r="E42" s="191">
        <f>E33+E34-E39+E35-E36</f>
        <v>74269.681067159254</v>
      </c>
      <c r="F42" s="191">
        <f>F33+F34-F39+F35</f>
        <v>87143.374889556522</v>
      </c>
      <c r="G42" s="191">
        <f t="shared" si="16"/>
        <v>99029.587730357161</v>
      </c>
      <c r="H42" s="191">
        <f>H33+H34-H39+H35-H36</f>
        <v>109916.33289470708</v>
      </c>
      <c r="I42" s="191">
        <f t="shared" si="16"/>
        <v>125217.81937693885</v>
      </c>
      <c r="J42" s="191">
        <f t="shared" si="16"/>
        <v>139676.4771610451</v>
      </c>
      <c r="K42" s="191">
        <f>K33+K34-K39+K35-K36</f>
        <v>153344.9685884669</v>
      </c>
      <c r="L42" s="191">
        <f>L33+L34-L39+L35+L37+L41</f>
        <v>225664.06443558622</v>
      </c>
      <c r="M42" s="182"/>
    </row>
    <row r="43" spans="1:13">
      <c r="A43" s="294" t="s">
        <v>259</v>
      </c>
      <c r="B43" s="306">
        <f>NPV('Costo de Capital '!C19,'Analisis de sensibilidad'!C42:L42)+'Analisis de sensibilidad'!B42</f>
        <v>11732.665275899519</v>
      </c>
      <c r="C43" s="295"/>
      <c r="D43" s="295"/>
      <c r="E43" s="295"/>
      <c r="F43" s="295"/>
      <c r="G43" s="295"/>
      <c r="H43" s="295"/>
      <c r="I43" s="295"/>
      <c r="J43" s="295"/>
      <c r="K43" s="295"/>
      <c r="L43" s="295"/>
    </row>
    <row r="44" spans="1:13">
      <c r="A44" s="294" t="s">
        <v>260</v>
      </c>
      <c r="B44" s="307">
        <f>IRR(B42:L42)</f>
        <v>0.17682086873254216</v>
      </c>
      <c r="C44" s="295"/>
      <c r="D44" s="295"/>
      <c r="E44" s="295"/>
      <c r="F44" s="295"/>
      <c r="G44" s="295"/>
      <c r="H44" s="295"/>
      <c r="I44" s="295"/>
      <c r="J44" s="295"/>
      <c r="K44" s="295"/>
      <c r="L44" s="295"/>
    </row>
  </sheetData>
  <mergeCells count="1">
    <mergeCell ref="A19:G19"/>
  </mergeCells>
  <pageMargins left="0.7" right="0.7" top="0.75" bottom="0.75" header="0.3" footer="0.3"/>
  <pageSetup orientation="portrait" verticalDpi="300" r:id="rId1"/>
  <tableParts count="1">
    <tablePart r:id="rId2"/>
  </tableParts>
</worksheet>
</file>

<file path=xl/worksheets/sheet3.xml><?xml version="1.0" encoding="utf-8"?>
<worksheet xmlns="http://schemas.openxmlformats.org/spreadsheetml/2006/main" xmlns:r="http://schemas.openxmlformats.org/officeDocument/2006/relationships">
  <dimension ref="B1:L39"/>
  <sheetViews>
    <sheetView topLeftCell="A36" workbookViewId="0">
      <selection activeCell="C22" sqref="C22"/>
    </sheetView>
  </sheetViews>
  <sheetFormatPr baseColWidth="10" defaultRowHeight="14.3"/>
  <cols>
    <col min="2" max="2" width="25.125" bestFit="1" customWidth="1"/>
    <col min="3" max="3" width="16.75" bestFit="1" customWidth="1"/>
    <col min="4" max="4" width="11.25" bestFit="1" customWidth="1"/>
    <col min="5" max="5" width="15.625" customWidth="1"/>
    <col min="7" max="7" width="14.75" bestFit="1" customWidth="1"/>
    <col min="8" max="8" width="14.375" bestFit="1" customWidth="1"/>
  </cols>
  <sheetData>
    <row r="1" spans="2:10" ht="14.95" thickBot="1"/>
    <row r="2" spans="2:10" ht="48.75" customHeight="1" thickBot="1">
      <c r="B2" s="112"/>
      <c r="C2" s="113" t="s">
        <v>193</v>
      </c>
      <c r="D2" s="113" t="s">
        <v>194</v>
      </c>
      <c r="E2" s="286" t="s">
        <v>195</v>
      </c>
    </row>
    <row r="3" spans="2:10" ht="16.3" thickBot="1">
      <c r="B3" s="114" t="s">
        <v>196</v>
      </c>
      <c r="C3" s="115">
        <v>2157853</v>
      </c>
      <c r="D3" s="116">
        <f>C3/C5</f>
        <v>0.90430365551310787</v>
      </c>
      <c r="E3" s="117">
        <v>360</v>
      </c>
    </row>
    <row r="4" spans="2:10" ht="16.3" thickBot="1">
      <c r="B4" s="114" t="s">
        <v>197</v>
      </c>
      <c r="C4" s="115">
        <v>228351</v>
      </c>
      <c r="D4" s="116">
        <f>C4/C5</f>
        <v>9.5696344486892154E-2</v>
      </c>
      <c r="E4" s="117">
        <v>40</v>
      </c>
    </row>
    <row r="5" spans="2:10" ht="16.3" thickBot="1">
      <c r="B5" s="114" t="s">
        <v>55</v>
      </c>
      <c r="C5" s="115">
        <f>C3+C4</f>
        <v>2386204</v>
      </c>
      <c r="D5" s="116">
        <v>1</v>
      </c>
      <c r="E5" s="117">
        <f>E3+E4</f>
        <v>400</v>
      </c>
    </row>
    <row r="8" spans="2:10" ht="15.65">
      <c r="B8" s="118" t="s">
        <v>198</v>
      </c>
      <c r="H8" s="118" t="s">
        <v>199</v>
      </c>
    </row>
    <row r="9" spans="2:10" ht="14.95" thickBot="1"/>
    <row r="10" spans="2:10" ht="16.3" thickBot="1">
      <c r="C10" s="119" t="s">
        <v>200</v>
      </c>
      <c r="D10" s="120" t="s">
        <v>201</v>
      </c>
      <c r="H10" s="121" t="s">
        <v>200</v>
      </c>
      <c r="I10" s="122" t="s">
        <v>201</v>
      </c>
    </row>
    <row r="11" spans="2:10" ht="16.3" thickBot="1">
      <c r="B11" s="119" t="s">
        <v>202</v>
      </c>
      <c r="C11" s="123">
        <v>35</v>
      </c>
      <c r="D11" s="124">
        <v>0.87</v>
      </c>
      <c r="G11" s="121" t="s">
        <v>202</v>
      </c>
      <c r="H11" s="125">
        <v>256</v>
      </c>
      <c r="I11" s="126">
        <v>0.81</v>
      </c>
    </row>
    <row r="12" spans="2:10" ht="16.3" thickBot="1">
      <c r="B12" s="127" t="s">
        <v>203</v>
      </c>
      <c r="C12" s="123">
        <v>5</v>
      </c>
      <c r="D12" s="124">
        <v>0.13</v>
      </c>
      <c r="G12" s="128" t="s">
        <v>203</v>
      </c>
      <c r="H12" s="125">
        <v>59</v>
      </c>
      <c r="I12" s="126">
        <v>0.19</v>
      </c>
    </row>
    <row r="13" spans="2:10" ht="16.3" thickBot="1">
      <c r="B13" s="127" t="s">
        <v>204</v>
      </c>
      <c r="C13" s="123">
        <v>40</v>
      </c>
      <c r="D13" s="124">
        <v>1</v>
      </c>
      <c r="G13" s="128" t="s">
        <v>204</v>
      </c>
      <c r="H13" s="125">
        <v>315</v>
      </c>
      <c r="I13" s="126">
        <v>1</v>
      </c>
    </row>
    <row r="16" spans="2:10" ht="15.65">
      <c r="B16" s="334" t="s">
        <v>205</v>
      </c>
      <c r="C16" s="334"/>
      <c r="D16" s="129">
        <f>C4*D11</f>
        <v>198665.37</v>
      </c>
      <c r="E16" t="s">
        <v>206</v>
      </c>
      <c r="G16" s="334" t="s">
        <v>205</v>
      </c>
      <c r="H16" s="334"/>
      <c r="I16" s="129">
        <f>C3*I11</f>
        <v>1747860.9300000002</v>
      </c>
      <c r="J16" t="s">
        <v>206</v>
      </c>
    </row>
    <row r="17" spans="2:10" ht="15.65">
      <c r="B17" s="334" t="s">
        <v>207</v>
      </c>
      <c r="C17" s="334"/>
      <c r="D17" s="129">
        <f>D16*D28</f>
        <v>9030.244090909091</v>
      </c>
      <c r="E17" t="s">
        <v>206</v>
      </c>
      <c r="G17" s="334" t="s">
        <v>207</v>
      </c>
      <c r="H17" s="334"/>
      <c r="I17" s="129">
        <f>I16*I28</f>
        <v>50419.065288461548</v>
      </c>
      <c r="J17" t="s">
        <v>206</v>
      </c>
    </row>
    <row r="18" spans="2:10" ht="15.65">
      <c r="B18" s="334" t="s">
        <v>208</v>
      </c>
      <c r="C18" s="334"/>
      <c r="D18" s="129">
        <f>D17/12</f>
        <v>752.52034090909092</v>
      </c>
      <c r="E18" t="s">
        <v>206</v>
      </c>
      <c r="G18" s="334" t="s">
        <v>208</v>
      </c>
      <c r="H18" s="334"/>
      <c r="I18" s="129">
        <f>I17/12</f>
        <v>4201.5887740384624</v>
      </c>
      <c r="J18" t="s">
        <v>206</v>
      </c>
    </row>
    <row r="19" spans="2:10" ht="15.65">
      <c r="B19" s="334" t="s">
        <v>209</v>
      </c>
      <c r="C19" s="334"/>
      <c r="D19" s="129">
        <f>D18/7</f>
        <v>107.50290584415585</v>
      </c>
      <c r="E19" t="s">
        <v>206</v>
      </c>
      <c r="G19" s="334" t="s">
        <v>209</v>
      </c>
      <c r="H19" s="334"/>
      <c r="I19" s="129">
        <f>I18/7</f>
        <v>600.2269677197803</v>
      </c>
      <c r="J19" t="s">
        <v>206</v>
      </c>
    </row>
    <row r="22" spans="2:10">
      <c r="B22" s="5" t="s">
        <v>210</v>
      </c>
      <c r="C22" s="327">
        <f>D17+I17</f>
        <v>59449.309379370636</v>
      </c>
      <c r="D22" s="171">
        <f>C22/12</f>
        <v>4954.1091149475533</v>
      </c>
      <c r="E22" t="s">
        <v>275</v>
      </c>
    </row>
    <row r="23" spans="2:10">
      <c r="B23" s="60"/>
      <c r="C23" s="281">
        <v>1</v>
      </c>
      <c r="D23" s="282">
        <v>2</v>
      </c>
      <c r="E23" s="283">
        <v>3</v>
      </c>
    </row>
    <row r="24" spans="2:10">
      <c r="B24" s="60"/>
      <c r="C24" s="278">
        <f>C22*70%</f>
        <v>41614.516565559439</v>
      </c>
      <c r="D24" s="279">
        <f>C22*75%</f>
        <v>44586.982034527973</v>
      </c>
      <c r="E24" s="280">
        <f>C22</f>
        <v>59449.309379370636</v>
      </c>
    </row>
    <row r="25" spans="2:10">
      <c r="B25" s="60"/>
      <c r="C25" s="278"/>
      <c r="D25" s="279"/>
      <c r="E25" s="160"/>
    </row>
    <row r="26" spans="2:10" ht="14.95" thickBot="1">
      <c r="D26" s="131"/>
    </row>
    <row r="27" spans="2:10" ht="16.3" thickBot="1">
      <c r="C27" s="119" t="s">
        <v>200</v>
      </c>
      <c r="D27" s="120" t="s">
        <v>201</v>
      </c>
      <c r="H27" s="132" t="s">
        <v>200</v>
      </c>
      <c r="I27" s="133" t="s">
        <v>201</v>
      </c>
    </row>
    <row r="28" spans="2:10" ht="16.3" thickBot="1">
      <c r="B28" s="119" t="s">
        <v>211</v>
      </c>
      <c r="C28" s="123">
        <v>1</v>
      </c>
      <c r="D28" s="124">
        <f>C28/$C$32</f>
        <v>4.5454545454545456E-2</v>
      </c>
      <c r="G28" s="132" t="s">
        <v>211</v>
      </c>
      <c r="H28" s="134">
        <v>6</v>
      </c>
      <c r="I28" s="135">
        <f>H28/$H$32</f>
        <v>2.8846153846153848E-2</v>
      </c>
    </row>
    <row r="29" spans="2:10" ht="16.3" thickBot="1">
      <c r="B29" s="127" t="s">
        <v>212</v>
      </c>
      <c r="C29" s="123">
        <v>4</v>
      </c>
      <c r="D29" s="124">
        <f>C29/$C$32</f>
        <v>0.18181818181818182</v>
      </c>
      <c r="G29" s="136" t="s">
        <v>212</v>
      </c>
      <c r="H29" s="134">
        <v>67</v>
      </c>
      <c r="I29" s="135">
        <f>H29/$H$32</f>
        <v>0.32211538461538464</v>
      </c>
    </row>
    <row r="30" spans="2:10" ht="16.3" thickBot="1">
      <c r="B30" s="127" t="s">
        <v>213</v>
      </c>
      <c r="C30" s="123">
        <v>9</v>
      </c>
      <c r="D30" s="124">
        <f>C30/$C$32</f>
        <v>0.40909090909090912</v>
      </c>
      <c r="G30" s="136" t="s">
        <v>213</v>
      </c>
      <c r="H30" s="134">
        <v>70</v>
      </c>
      <c r="I30" s="135">
        <f>H30/$H$32</f>
        <v>0.33653846153846156</v>
      </c>
    </row>
    <row r="31" spans="2:10" ht="16.3" thickBot="1">
      <c r="B31" s="127" t="s">
        <v>214</v>
      </c>
      <c r="C31" s="123">
        <v>8</v>
      </c>
      <c r="D31" s="124">
        <f>C31/$C$32</f>
        <v>0.36363636363636365</v>
      </c>
      <c r="G31" s="137" t="s">
        <v>214</v>
      </c>
      <c r="H31" s="134">
        <v>65</v>
      </c>
      <c r="I31" s="135">
        <f>H31/$H$32</f>
        <v>0.3125</v>
      </c>
    </row>
    <row r="32" spans="2:10" ht="16.3" thickBot="1">
      <c r="B32" s="127" t="s">
        <v>204</v>
      </c>
      <c r="C32" s="123">
        <f>SUM(C28:C31)</f>
        <v>22</v>
      </c>
      <c r="D32" s="124">
        <f>C32/$C$32</f>
        <v>1</v>
      </c>
      <c r="G32" s="136" t="s">
        <v>204</v>
      </c>
      <c r="H32" s="134">
        <f>SUM(H28:H31)</f>
        <v>208</v>
      </c>
      <c r="I32" s="135">
        <f>H32/$H$32</f>
        <v>1</v>
      </c>
    </row>
    <row r="36" spans="2:12" ht="16.3">
      <c r="B36" s="285" t="s">
        <v>215</v>
      </c>
    </row>
    <row r="38" spans="2:12">
      <c r="B38" s="138"/>
      <c r="C38" s="284" t="s">
        <v>216</v>
      </c>
      <c r="D38" s="284" t="s">
        <v>217</v>
      </c>
      <c r="E38" s="284" t="s">
        <v>218</v>
      </c>
      <c r="F38" s="284" t="s">
        <v>219</v>
      </c>
      <c r="G38" s="284" t="s">
        <v>220</v>
      </c>
      <c r="H38" s="284" t="s">
        <v>221</v>
      </c>
      <c r="I38" s="284" t="s">
        <v>222</v>
      </c>
      <c r="J38" s="284" t="s">
        <v>223</v>
      </c>
      <c r="K38" s="284" t="s">
        <v>224</v>
      </c>
      <c r="L38" s="284" t="s">
        <v>225</v>
      </c>
    </row>
    <row r="39" spans="2:12">
      <c r="B39" s="284" t="s">
        <v>226</v>
      </c>
      <c r="C39" s="139">
        <f>C24</f>
        <v>41614.516565559439</v>
      </c>
      <c r="D39" s="139">
        <f>D24</f>
        <v>44586.982034527973</v>
      </c>
      <c r="E39" s="139">
        <f>E24</f>
        <v>59449.309379370636</v>
      </c>
      <c r="F39" s="139">
        <f t="shared" ref="F39:L39" si="0">E39*1.04</f>
        <v>61827.28175454546</v>
      </c>
      <c r="G39" s="139">
        <f t="shared" si="0"/>
        <v>64300.373024727283</v>
      </c>
      <c r="H39" s="139">
        <f t="shared" si="0"/>
        <v>66872.387945716371</v>
      </c>
      <c r="I39" s="139">
        <f t="shared" si="0"/>
        <v>69547.283463545027</v>
      </c>
      <c r="J39" s="139">
        <f t="shared" si="0"/>
        <v>72329.174802086825</v>
      </c>
      <c r="K39" s="139">
        <f t="shared" si="0"/>
        <v>75222.341794170294</v>
      </c>
      <c r="L39" s="139">
        <f t="shared" si="0"/>
        <v>78231.235465937105</v>
      </c>
    </row>
  </sheetData>
  <mergeCells count="8">
    <mergeCell ref="B19:C19"/>
    <mergeCell ref="G19:H19"/>
    <mergeCell ref="B16:C16"/>
    <mergeCell ref="G16:H16"/>
    <mergeCell ref="B17:C17"/>
    <mergeCell ref="G17:H17"/>
    <mergeCell ref="B18:C18"/>
    <mergeCell ref="G18:H1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C31"/>
  <sheetViews>
    <sheetView workbookViewId="0"/>
  </sheetViews>
  <sheetFormatPr baseColWidth="10" defaultRowHeight="14.3"/>
  <cols>
    <col min="1" max="3" width="36.75" customWidth="1"/>
  </cols>
  <sheetData>
    <row r="1" spans="1:3">
      <c r="A1" s="29" t="s">
        <v>350</v>
      </c>
    </row>
    <row r="3" spans="1:3">
      <c r="A3" t="s">
        <v>351</v>
      </c>
      <c r="B3" t="s">
        <v>352</v>
      </c>
      <c r="C3">
        <v>0</v>
      </c>
    </row>
    <row r="4" spans="1:3">
      <c r="A4" t="s">
        <v>353</v>
      </c>
    </row>
    <row r="5" spans="1:3">
      <c r="A5" t="s">
        <v>354</v>
      </c>
    </row>
    <row r="7" spans="1:3">
      <c r="A7" s="29" t="s">
        <v>355</v>
      </c>
      <c r="B7" t="s">
        <v>356</v>
      </c>
    </row>
    <row r="8" spans="1:3">
      <c r="B8">
        <v>3</v>
      </c>
    </row>
    <row r="10" spans="1:3">
      <c r="A10" t="s">
        <v>357</v>
      </c>
    </row>
    <row r="11" spans="1:3">
      <c r="A11" t="e">
        <f>CB_DATA_!#REF!</f>
        <v>#REF!</v>
      </c>
      <c r="B11" t="e">
        <f>Ingresos!#REF!</f>
        <v>#REF!</v>
      </c>
      <c r="C11" t="e">
        <f>'Flujo de caja del Inversionista'!#REF!</f>
        <v>#REF!</v>
      </c>
    </row>
    <row r="13" spans="1:3">
      <c r="A13" t="s">
        <v>358</v>
      </c>
    </row>
    <row r="14" spans="1:3">
      <c r="A14" t="s">
        <v>362</v>
      </c>
      <c r="B14" t="s">
        <v>366</v>
      </c>
      <c r="C14" t="s">
        <v>370</v>
      </c>
    </row>
    <row r="16" spans="1:3">
      <c r="A16" t="s">
        <v>359</v>
      </c>
    </row>
    <row r="19" spans="1:3">
      <c r="A19" t="s">
        <v>360</v>
      </c>
    </row>
    <row r="20" spans="1:3">
      <c r="A20">
        <v>31</v>
      </c>
      <c r="B20">
        <v>31</v>
      </c>
      <c r="C20">
        <v>31</v>
      </c>
    </row>
    <row r="25" spans="1:3">
      <c r="A25" s="29" t="s">
        <v>361</v>
      </c>
    </row>
    <row r="26" spans="1:3">
      <c r="A26" s="275" t="s">
        <v>363</v>
      </c>
      <c r="B26" s="275" t="s">
        <v>367</v>
      </c>
      <c r="C26" s="275" t="s">
        <v>367</v>
      </c>
    </row>
    <row r="27" spans="1:3">
      <c r="A27" t="s">
        <v>364</v>
      </c>
      <c r="B27" t="s">
        <v>369</v>
      </c>
      <c r="C27" t="s">
        <v>373</v>
      </c>
    </row>
    <row r="28" spans="1:3">
      <c r="A28" s="275" t="s">
        <v>365</v>
      </c>
      <c r="B28" s="275" t="s">
        <v>365</v>
      </c>
      <c r="C28" s="275" t="s">
        <v>365</v>
      </c>
    </row>
    <row r="29" spans="1:3">
      <c r="A29" s="275" t="s">
        <v>367</v>
      </c>
      <c r="B29" s="275" t="s">
        <v>363</v>
      </c>
      <c r="C29" s="275" t="s">
        <v>363</v>
      </c>
    </row>
    <row r="30" spans="1:3">
      <c r="A30" t="s">
        <v>372</v>
      </c>
      <c r="B30" t="s">
        <v>368</v>
      </c>
      <c r="C30" t="s">
        <v>371</v>
      </c>
    </row>
    <row r="31" spans="1:3">
      <c r="A31" s="275" t="s">
        <v>365</v>
      </c>
      <c r="B31" s="275" t="s">
        <v>365</v>
      </c>
      <c r="C31" s="275" t="s">
        <v>365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L15"/>
  <sheetViews>
    <sheetView topLeftCell="B1" workbookViewId="0">
      <selection activeCell="F9" sqref="F9"/>
    </sheetView>
  </sheetViews>
  <sheetFormatPr baseColWidth="10" defaultRowHeight="14.3"/>
  <cols>
    <col min="2" max="2" width="27.125" customWidth="1"/>
    <col min="3" max="3" width="14.25" bestFit="1" customWidth="1"/>
    <col min="4" max="4" width="17.375" customWidth="1"/>
    <col min="5" max="12" width="14.25" bestFit="1" customWidth="1"/>
  </cols>
  <sheetData>
    <row r="2" spans="2:12">
      <c r="B2" s="138"/>
      <c r="C2" s="138" t="s">
        <v>216</v>
      </c>
      <c r="D2" s="138" t="s">
        <v>217</v>
      </c>
      <c r="E2" s="138" t="s">
        <v>218</v>
      </c>
      <c r="F2" s="138" t="s">
        <v>219</v>
      </c>
      <c r="G2" s="138" t="s">
        <v>220</v>
      </c>
      <c r="H2" s="138" t="s">
        <v>221</v>
      </c>
      <c r="I2" s="138" t="s">
        <v>222</v>
      </c>
      <c r="J2" s="138" t="s">
        <v>223</v>
      </c>
      <c r="K2" s="138" t="s">
        <v>224</v>
      </c>
      <c r="L2" s="138" t="s">
        <v>225</v>
      </c>
    </row>
    <row r="3" spans="2:12">
      <c r="B3" t="s">
        <v>227</v>
      </c>
      <c r="C3" s="276">
        <v>4</v>
      </c>
      <c r="D3" s="62">
        <f>C3</f>
        <v>4</v>
      </c>
      <c r="E3" s="62">
        <v>5</v>
      </c>
      <c r="F3" s="62">
        <f>E3*1.03</f>
        <v>5.15</v>
      </c>
      <c r="G3" s="62">
        <f t="shared" ref="G3:L3" si="0">F3*1.03</f>
        <v>5.3045000000000009</v>
      </c>
      <c r="H3" s="62">
        <f t="shared" si="0"/>
        <v>5.4636350000000009</v>
      </c>
      <c r="I3" s="62">
        <f t="shared" si="0"/>
        <v>5.6275440500000009</v>
      </c>
      <c r="J3" s="62">
        <f t="shared" si="0"/>
        <v>5.796370371500001</v>
      </c>
      <c r="K3" s="62">
        <f t="shared" si="0"/>
        <v>5.9702614826450011</v>
      </c>
      <c r="L3" s="62">
        <f t="shared" si="0"/>
        <v>6.1493693271243517</v>
      </c>
    </row>
    <row r="4" spans="2:12">
      <c r="B4" t="s">
        <v>228</v>
      </c>
      <c r="C4" s="276">
        <v>15</v>
      </c>
      <c r="D4" s="62">
        <f>C4</f>
        <v>15</v>
      </c>
      <c r="E4" s="62">
        <f>D4*1.04</f>
        <v>15.600000000000001</v>
      </c>
      <c r="F4" s="62">
        <f>E4*1.04</f>
        <v>16.224000000000004</v>
      </c>
      <c r="G4" s="62">
        <f t="shared" ref="G4:L4" si="1">F4*1.04</f>
        <v>16.872960000000006</v>
      </c>
      <c r="H4" s="62">
        <f t="shared" si="1"/>
        <v>17.547878400000005</v>
      </c>
      <c r="I4" s="62">
        <f t="shared" si="1"/>
        <v>18.249793536000006</v>
      </c>
      <c r="J4" s="62">
        <f t="shared" si="1"/>
        <v>18.979785277440005</v>
      </c>
      <c r="K4" s="62">
        <f t="shared" si="1"/>
        <v>19.738976688537605</v>
      </c>
      <c r="L4" s="62">
        <f t="shared" si="1"/>
        <v>20.528535756079108</v>
      </c>
    </row>
    <row r="6" spans="2:12">
      <c r="B6" t="s">
        <v>233</v>
      </c>
      <c r="C6">
        <v>104</v>
      </c>
      <c r="D6" t="s">
        <v>238</v>
      </c>
    </row>
    <row r="7" spans="2:12">
      <c r="B7" t="s">
        <v>237</v>
      </c>
      <c r="C7">
        <v>300</v>
      </c>
      <c r="D7">
        <f>C7*12</f>
        <v>3600</v>
      </c>
    </row>
    <row r="9" spans="2:12">
      <c r="B9" t="s">
        <v>229</v>
      </c>
    </row>
    <row r="11" spans="2:12">
      <c r="B11" s="140"/>
      <c r="C11" s="141" t="s">
        <v>216</v>
      </c>
      <c r="D11" s="140" t="s">
        <v>217</v>
      </c>
      <c r="E11" s="140" t="s">
        <v>218</v>
      </c>
      <c r="F11" s="140" t="s">
        <v>219</v>
      </c>
      <c r="G11" s="140" t="s">
        <v>220</v>
      </c>
      <c r="H11" s="140" t="s">
        <v>221</v>
      </c>
      <c r="I11" s="140" t="s">
        <v>222</v>
      </c>
      <c r="J11" s="140" t="s">
        <v>223</v>
      </c>
      <c r="K11" s="140" t="s">
        <v>224</v>
      </c>
      <c r="L11" s="140" t="s">
        <v>225</v>
      </c>
    </row>
    <row r="12" spans="2:12">
      <c r="B12" s="183" t="s">
        <v>230</v>
      </c>
      <c r="C12" s="142">
        <f>Demanda!C39*Ingresos!C3</f>
        <v>166458.06626223776</v>
      </c>
      <c r="D12" s="142">
        <f>Demanda!D39*Ingresos!D3</f>
        <v>178347.92813811189</v>
      </c>
      <c r="E12" s="142">
        <f>Demanda!E39*Ingresos!E3</f>
        <v>297246.54689685319</v>
      </c>
      <c r="F12" s="142">
        <f>Demanda!F39*Ingresos!F3</f>
        <v>318410.50103590917</v>
      </c>
      <c r="G12" s="142">
        <f>Demanda!G39*Ingresos!G3</f>
        <v>341081.32870966592</v>
      </c>
      <c r="H12" s="142">
        <f>Demanda!H39*Ingresos!H3</f>
        <v>365366.31931379414</v>
      </c>
      <c r="I12" s="142">
        <f>Demanda!I39*Ingresos!I3</f>
        <v>391380.40124893625</v>
      </c>
      <c r="J12" s="142">
        <f>Demanda!J39*Ingresos!J3</f>
        <v>419246.68581786053</v>
      </c>
      <c r="K12" s="142">
        <f>Demanda!K39*Ingresos!K3</f>
        <v>449097.0498480922</v>
      </c>
      <c r="L12" s="142">
        <f>Demanda!L39*Ingresos!L3</f>
        <v>481072.75979727635</v>
      </c>
    </row>
    <row r="13" spans="2:12">
      <c r="B13" s="143" t="s">
        <v>231</v>
      </c>
      <c r="C13" s="144">
        <f>$C$6*C4</f>
        <v>1560</v>
      </c>
      <c r="D13" s="144">
        <f t="shared" ref="D13:L13" si="2">$C$6*D4</f>
        <v>1560</v>
      </c>
      <c r="E13" s="144">
        <f t="shared" si="2"/>
        <v>1622.4</v>
      </c>
      <c r="F13" s="144">
        <f t="shared" si="2"/>
        <v>1687.2960000000003</v>
      </c>
      <c r="G13" s="144">
        <f t="shared" si="2"/>
        <v>1754.7878400000006</v>
      </c>
      <c r="H13" s="144">
        <f t="shared" si="2"/>
        <v>1824.9793536000006</v>
      </c>
      <c r="I13" s="144">
        <f t="shared" si="2"/>
        <v>1897.9785277440005</v>
      </c>
      <c r="J13" s="144">
        <f t="shared" si="2"/>
        <v>1973.8976688537605</v>
      </c>
      <c r="K13" s="144">
        <f t="shared" si="2"/>
        <v>2052.8535756079109</v>
      </c>
      <c r="L13" s="144">
        <f t="shared" si="2"/>
        <v>2134.9677186322274</v>
      </c>
    </row>
    <row r="14" spans="2:12">
      <c r="B14" s="143" t="s">
        <v>232</v>
      </c>
      <c r="C14" s="144">
        <f>D7</f>
        <v>3600</v>
      </c>
      <c r="D14" s="144">
        <f>C14*1.05</f>
        <v>3780</v>
      </c>
      <c r="E14" s="144">
        <f t="shared" ref="E14:L14" si="3">D14*1.05</f>
        <v>3969</v>
      </c>
      <c r="F14" s="144">
        <f t="shared" si="3"/>
        <v>4167.45</v>
      </c>
      <c r="G14" s="144">
        <f t="shared" si="3"/>
        <v>4375.8225000000002</v>
      </c>
      <c r="H14" s="144">
        <f t="shared" si="3"/>
        <v>4594.6136250000009</v>
      </c>
      <c r="I14" s="144">
        <f t="shared" si="3"/>
        <v>4824.344306250001</v>
      </c>
      <c r="J14" s="144">
        <f t="shared" si="3"/>
        <v>5065.5615215625012</v>
      </c>
      <c r="K14" s="144">
        <f t="shared" si="3"/>
        <v>5318.8395976406264</v>
      </c>
      <c r="L14" s="144">
        <f t="shared" si="3"/>
        <v>5584.7815775226582</v>
      </c>
    </row>
    <row r="15" spans="2:12">
      <c r="B15" s="143" t="s">
        <v>204</v>
      </c>
      <c r="C15" s="144">
        <f>SUM(C12:C14)</f>
        <v>171618.06626223776</v>
      </c>
      <c r="D15" s="144">
        <f t="shared" ref="D15:K15" si="4">SUM(D12:D14)</f>
        <v>183687.92813811189</v>
      </c>
      <c r="E15" s="144">
        <f t="shared" si="4"/>
        <v>302837.94689685322</v>
      </c>
      <c r="F15" s="144">
        <f t="shared" si="4"/>
        <v>324265.24703590915</v>
      </c>
      <c r="G15" s="144">
        <f t="shared" si="4"/>
        <v>347211.93904966593</v>
      </c>
      <c r="H15" s="144">
        <f t="shared" si="4"/>
        <v>371785.91229239415</v>
      </c>
      <c r="I15" s="144">
        <f t="shared" si="4"/>
        <v>398102.72408293025</v>
      </c>
      <c r="J15" s="144">
        <f t="shared" si="4"/>
        <v>426286.1450082768</v>
      </c>
      <c r="K15" s="144">
        <f t="shared" si="4"/>
        <v>456468.74302134075</v>
      </c>
      <c r="L15" s="144">
        <f>SUM(L12:L14)</f>
        <v>488792.50909343123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C9"/>
  <sheetViews>
    <sheetView workbookViewId="0">
      <selection activeCell="D14" sqref="D14"/>
    </sheetView>
  </sheetViews>
  <sheetFormatPr baseColWidth="10" defaultRowHeight="14.3"/>
  <cols>
    <col min="2" max="2" width="27.875" bestFit="1" customWidth="1"/>
  </cols>
  <sheetData>
    <row r="1" spans="2:3" ht="14.95" thickBot="1"/>
    <row r="2" spans="2:3" ht="14.95" thickTop="1">
      <c r="B2" s="32" t="s">
        <v>87</v>
      </c>
      <c r="C2" s="33"/>
    </row>
    <row r="3" spans="2:3">
      <c r="B3" s="34" t="s">
        <v>93</v>
      </c>
      <c r="C3" s="8">
        <f>'Supuestos '!B42</f>
        <v>2018.52</v>
      </c>
    </row>
    <row r="4" spans="2:3">
      <c r="B4" s="35" t="s">
        <v>88</v>
      </c>
      <c r="C4" s="36">
        <f>'Supuestos '!B36</f>
        <v>990</v>
      </c>
    </row>
    <row r="5" spans="2:3">
      <c r="B5" s="35" t="s">
        <v>89</v>
      </c>
      <c r="C5" s="36">
        <f>'Supuestos '!B46</f>
        <v>300</v>
      </c>
    </row>
    <row r="6" spans="2:3">
      <c r="B6" s="35" t="s">
        <v>90</v>
      </c>
      <c r="C6" s="36">
        <f>'Supuestos '!B30</f>
        <v>1200</v>
      </c>
    </row>
    <row r="7" spans="2:3">
      <c r="B7" s="35" t="s">
        <v>91</v>
      </c>
      <c r="C7" s="36">
        <f>'Supuestos '!B50</f>
        <v>600</v>
      </c>
    </row>
    <row r="8" spans="2:3" ht="14.95" thickBot="1">
      <c r="B8" s="37" t="s">
        <v>92</v>
      </c>
      <c r="C8" s="38">
        <f>SUM(C3:C7)</f>
        <v>5108.5200000000004</v>
      </c>
    </row>
    <row r="9" spans="2:3" ht="14.95" thickTop="1">
      <c r="C9" s="27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K6"/>
  <sheetViews>
    <sheetView workbookViewId="0">
      <selection activeCell="B12" sqref="B12"/>
    </sheetView>
  </sheetViews>
  <sheetFormatPr baseColWidth="10" defaultRowHeight="14.3"/>
  <cols>
    <col min="1" max="1" width="32.375" bestFit="1" customWidth="1"/>
    <col min="2" max="2" width="11.375" bestFit="1" customWidth="1"/>
  </cols>
  <sheetData>
    <row r="2" spans="1:11">
      <c r="A2" s="79" t="s">
        <v>236</v>
      </c>
      <c r="B2" s="147">
        <v>1</v>
      </c>
      <c r="C2" s="148">
        <v>2</v>
      </c>
      <c r="D2" s="147">
        <v>3</v>
      </c>
      <c r="E2" s="148">
        <v>4</v>
      </c>
      <c r="F2" s="147">
        <v>5</v>
      </c>
      <c r="G2" s="148">
        <v>6</v>
      </c>
      <c r="H2" s="147">
        <v>7</v>
      </c>
      <c r="I2" s="148">
        <v>8</v>
      </c>
      <c r="J2" s="147">
        <v>9</v>
      </c>
      <c r="K2" s="149">
        <v>10</v>
      </c>
    </row>
    <row r="3" spans="1:11">
      <c r="A3" s="63" t="s">
        <v>176</v>
      </c>
      <c r="B3" s="64">
        <f>'Supuestos '!C8</f>
        <v>10368</v>
      </c>
      <c r="C3" s="150">
        <f>B3</f>
        <v>10368</v>
      </c>
      <c r="D3" s="150">
        <f t="shared" ref="D3:K3" si="0">C3</f>
        <v>10368</v>
      </c>
      <c r="E3" s="150">
        <f t="shared" si="0"/>
        <v>10368</v>
      </c>
      <c r="F3" s="150">
        <f t="shared" si="0"/>
        <v>10368</v>
      </c>
      <c r="G3" s="150">
        <f t="shared" si="0"/>
        <v>10368</v>
      </c>
      <c r="H3" s="150">
        <f t="shared" si="0"/>
        <v>10368</v>
      </c>
      <c r="I3" s="150">
        <f t="shared" si="0"/>
        <v>10368</v>
      </c>
      <c r="J3" s="150">
        <f t="shared" si="0"/>
        <v>10368</v>
      </c>
      <c r="K3" s="146">
        <f t="shared" si="0"/>
        <v>10368</v>
      </c>
    </row>
    <row r="4" spans="1:11">
      <c r="A4" s="145" t="s">
        <v>234</v>
      </c>
      <c r="B4" s="150">
        <f>'Rol de pagos '!J23</f>
        <v>63699.96800000003</v>
      </c>
      <c r="C4" s="150">
        <f t="shared" ref="C4:K5" si="1">B4*1.02</f>
        <v>64973.967360000031</v>
      </c>
      <c r="D4" s="150">
        <f t="shared" si="1"/>
        <v>66273.446707200026</v>
      </c>
      <c r="E4" s="150">
        <f t="shared" si="1"/>
        <v>67598.915641344021</v>
      </c>
      <c r="F4" s="150">
        <f t="shared" si="1"/>
        <v>68950.893954170897</v>
      </c>
      <c r="G4" s="150">
        <f t="shared" si="1"/>
        <v>70329.911833254315</v>
      </c>
      <c r="H4" s="150">
        <f t="shared" si="1"/>
        <v>71736.510069919401</v>
      </c>
      <c r="I4" s="150">
        <f t="shared" si="1"/>
        <v>73171.240271317787</v>
      </c>
      <c r="J4" s="150">
        <f t="shared" si="1"/>
        <v>74634.665076744146</v>
      </c>
      <c r="K4" s="146">
        <f t="shared" si="1"/>
        <v>76127.358378279037</v>
      </c>
    </row>
    <row r="5" spans="1:11">
      <c r="A5" s="78" t="s">
        <v>141</v>
      </c>
      <c r="B5" s="151">
        <f>B3+B4</f>
        <v>74067.968000000023</v>
      </c>
      <c r="C5" s="152">
        <f t="shared" si="1"/>
        <v>75549.327360000025</v>
      </c>
      <c r="D5" s="152">
        <f t="shared" si="1"/>
        <v>77060.313907200019</v>
      </c>
      <c r="E5" s="152">
        <f t="shared" si="1"/>
        <v>78601.520185344023</v>
      </c>
      <c r="F5" s="152">
        <f t="shared" si="1"/>
        <v>80173.550589050908</v>
      </c>
      <c r="G5" s="152">
        <f t="shared" si="1"/>
        <v>81777.021600831926</v>
      </c>
      <c r="H5" s="152">
        <f t="shared" si="1"/>
        <v>83412.562032848567</v>
      </c>
      <c r="I5" s="152">
        <f t="shared" si="1"/>
        <v>85080.813273505541</v>
      </c>
      <c r="J5" s="152">
        <f t="shared" si="1"/>
        <v>86782.429538975659</v>
      </c>
      <c r="K5" s="153">
        <f t="shared" si="1"/>
        <v>88518.078129755173</v>
      </c>
    </row>
    <row r="6" spans="1:11">
      <c r="A6" s="172"/>
      <c r="B6" s="173">
        <f>B5/12</f>
        <v>6172.3306666666685</v>
      </c>
      <c r="C6" s="174"/>
      <c r="D6" s="173"/>
      <c r="E6" s="173"/>
      <c r="F6" s="173"/>
      <c r="G6" s="173"/>
      <c r="H6" s="173"/>
      <c r="I6" s="173"/>
      <c r="J6" s="173"/>
      <c r="K6" s="17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dimension ref="B2:E27"/>
  <sheetViews>
    <sheetView topLeftCell="A6" workbookViewId="0">
      <selection activeCell="E12" sqref="E12"/>
    </sheetView>
  </sheetViews>
  <sheetFormatPr baseColWidth="10" defaultRowHeight="14.3"/>
  <cols>
    <col min="2" max="2" width="28.125" bestFit="1" customWidth="1"/>
    <col min="3" max="3" width="23.375" bestFit="1" customWidth="1"/>
  </cols>
  <sheetData>
    <row r="2" spans="2:5" ht="19.7">
      <c r="B2" s="104" t="s">
        <v>177</v>
      </c>
    </row>
    <row r="4" spans="2:5">
      <c r="B4" t="s">
        <v>178</v>
      </c>
    </row>
    <row r="5" spans="2:5">
      <c r="B5" t="s">
        <v>179</v>
      </c>
      <c r="C5" s="109">
        <v>9.375E-2</v>
      </c>
      <c r="D5" s="289"/>
      <c r="E5" s="205"/>
    </row>
    <row r="6" spans="2:5">
      <c r="B6" t="s">
        <v>180</v>
      </c>
      <c r="C6" s="287">
        <v>0.2</v>
      </c>
      <c r="D6" s="205"/>
      <c r="E6" s="205"/>
    </row>
    <row r="7" spans="2:5">
      <c r="B7" s="80" t="s">
        <v>181</v>
      </c>
      <c r="C7" s="214">
        <v>1.1000000000000001</v>
      </c>
      <c r="D7" s="289"/>
      <c r="E7" s="205"/>
    </row>
    <row r="8" spans="2:5">
      <c r="B8" s="80" t="s">
        <v>182</v>
      </c>
      <c r="C8" s="288">
        <v>8.0600000000000005E-2</v>
      </c>
      <c r="D8" s="289"/>
      <c r="E8" s="205"/>
    </row>
    <row r="9" spans="2:5">
      <c r="B9" s="105" t="s">
        <v>183</v>
      </c>
      <c r="C9" s="106">
        <f>C5+C7*(C6-C5)+C8</f>
        <v>0.29122500000000001</v>
      </c>
    </row>
    <row r="10" spans="2:5">
      <c r="C10" s="25"/>
    </row>
    <row r="11" spans="2:5">
      <c r="C11" s="25"/>
    </row>
    <row r="12" spans="2:5">
      <c r="C12" s="25"/>
    </row>
    <row r="14" spans="2:5">
      <c r="B14" t="s">
        <v>184</v>
      </c>
      <c r="C14" s="107">
        <f>Prestamo!B4</f>
        <v>832786.96485518652</v>
      </c>
    </row>
    <row r="15" spans="2:5">
      <c r="B15" t="s">
        <v>127</v>
      </c>
      <c r="C15" s="107">
        <f>Prestamo!B6</f>
        <v>499672.17891311191</v>
      </c>
    </row>
    <row r="16" spans="2:5">
      <c r="B16" t="s">
        <v>185</v>
      </c>
      <c r="C16" s="107">
        <f>Prestamo!B5</f>
        <v>333114.78594207461</v>
      </c>
    </row>
    <row r="17" spans="2:5">
      <c r="B17" t="s">
        <v>186</v>
      </c>
      <c r="C17" s="25">
        <f>Prestamo!B9</f>
        <v>0.12</v>
      </c>
    </row>
    <row r="18" spans="2:5">
      <c r="B18" t="s">
        <v>188</v>
      </c>
      <c r="C18" s="108">
        <f>+[1]Supuestos!B45</f>
        <v>0.25</v>
      </c>
    </row>
    <row r="19" spans="2:5">
      <c r="B19" t="s">
        <v>187</v>
      </c>
      <c r="C19" s="277">
        <f>+(C15/C14)*C17*(1-C18)+(C9*C16/C14)</f>
        <v>0.17049</v>
      </c>
      <c r="E19" s="160" t="s">
        <v>258</v>
      </c>
    </row>
    <row r="20" spans="2:5">
      <c r="B20" s="91"/>
      <c r="C20" s="89"/>
    </row>
    <row r="21" spans="2:5">
      <c r="B21" s="91"/>
      <c r="C21" s="89"/>
    </row>
    <row r="22" spans="2:5">
      <c r="B22" s="91"/>
      <c r="C22" s="89"/>
    </row>
    <row r="23" spans="2:5">
      <c r="B23" s="91"/>
      <c r="C23" s="89"/>
    </row>
    <row r="24" spans="2:5">
      <c r="B24" s="91"/>
      <c r="C24" s="89"/>
    </row>
    <row r="25" spans="2:5">
      <c r="B25" s="335"/>
      <c r="C25" s="335"/>
    </row>
    <row r="26" spans="2:5">
      <c r="B26" s="335"/>
      <c r="C26" s="335"/>
    </row>
    <row r="27" spans="2:5">
      <c r="B27" s="335"/>
      <c r="C27" s="335"/>
    </row>
  </sheetData>
  <mergeCells count="3">
    <mergeCell ref="B25:C25"/>
    <mergeCell ref="B26:C26"/>
    <mergeCell ref="B27:C27"/>
  </mergeCells>
  <pageMargins left="0.7" right="0.7" top="0.75" bottom="0.75" header="0.3" footer="0.3"/>
  <pageSetup paperSize="9" orientation="portrait" horizontalDpi="300" verticalDpi="300" r:id="rId1"/>
  <tableParts count="2">
    <tablePart r:id="rId2"/>
    <tablePart r:id="rId3"/>
  </tableParts>
</worksheet>
</file>

<file path=xl/worksheets/sheet9.xml><?xml version="1.0" encoding="utf-8"?>
<worksheet xmlns="http://schemas.openxmlformats.org/spreadsheetml/2006/main" xmlns:r="http://schemas.openxmlformats.org/officeDocument/2006/relationships">
  <dimension ref="A1:M16"/>
  <sheetViews>
    <sheetView workbookViewId="0">
      <selection activeCell="B2" sqref="B2"/>
    </sheetView>
  </sheetViews>
  <sheetFormatPr baseColWidth="10" defaultRowHeight="14.3"/>
  <cols>
    <col min="1" max="1" width="21.625" bestFit="1" customWidth="1"/>
    <col min="2" max="2" width="13" bestFit="1" customWidth="1"/>
    <col min="3" max="5" width="13.75" bestFit="1" customWidth="1"/>
    <col min="6" max="11" width="14.625" bestFit="1" customWidth="1"/>
    <col min="12" max="12" width="11.75" bestFit="1" customWidth="1"/>
    <col min="13" max="13" width="10.625" bestFit="1" customWidth="1"/>
  </cols>
  <sheetData>
    <row r="1" spans="1:13">
      <c r="A1" s="80" t="s">
        <v>148</v>
      </c>
      <c r="B1" s="81" t="s">
        <v>101</v>
      </c>
      <c r="C1" s="81" t="s">
        <v>102</v>
      </c>
      <c r="D1" s="81" t="s">
        <v>103</v>
      </c>
      <c r="E1" s="81" t="s">
        <v>104</v>
      </c>
      <c r="F1" s="81" t="s">
        <v>105</v>
      </c>
      <c r="G1" s="81" t="s">
        <v>122</v>
      </c>
      <c r="H1" s="81" t="s">
        <v>123</v>
      </c>
      <c r="I1" s="81" t="s">
        <v>124</v>
      </c>
      <c r="J1" s="81" t="s">
        <v>125</v>
      </c>
      <c r="K1" s="81" t="s">
        <v>126</v>
      </c>
    </row>
    <row r="2" spans="1:13">
      <c r="A2" s="81" t="s">
        <v>106</v>
      </c>
      <c r="B2" s="82">
        <f>Ingresos!C12</f>
        <v>166458.06626223776</v>
      </c>
      <c r="C2" s="82">
        <f>Ingresos!D12</f>
        <v>178347.92813811189</v>
      </c>
      <c r="D2" s="82">
        <f>Ingresos!E12</f>
        <v>297246.54689685319</v>
      </c>
      <c r="E2" s="82">
        <f>Ingresos!F12</f>
        <v>318410.50103590917</v>
      </c>
      <c r="F2" s="82">
        <f>Ingresos!G12</f>
        <v>341081.32870966592</v>
      </c>
      <c r="G2" s="82">
        <f>Ingresos!H12</f>
        <v>365366.31931379414</v>
      </c>
      <c r="H2" s="82">
        <f>Ingresos!I12</f>
        <v>391380.40124893625</v>
      </c>
      <c r="I2" s="82">
        <f>Ingresos!J12</f>
        <v>419246.68581786053</v>
      </c>
      <c r="J2" s="82">
        <f>Ingresos!K12</f>
        <v>449097.0498480922</v>
      </c>
      <c r="K2" s="82">
        <f>Ingresos!L12</f>
        <v>481072.75979727635</v>
      </c>
    </row>
    <row r="3" spans="1:13">
      <c r="A3" s="81" t="s">
        <v>146</v>
      </c>
      <c r="B3" s="82">
        <f>CO!$B$5</f>
        <v>74067.968000000023</v>
      </c>
      <c r="C3" s="82">
        <f>CO!$B$5</f>
        <v>74067.968000000023</v>
      </c>
      <c r="D3" s="82">
        <f>CO!$B$5</f>
        <v>74067.968000000023</v>
      </c>
      <c r="E3" s="82">
        <f>CO!$B$5</f>
        <v>74067.968000000023</v>
      </c>
      <c r="F3" s="82">
        <f>CO!$B$5</f>
        <v>74067.968000000023</v>
      </c>
      <c r="G3" s="82">
        <f>CO!$B$5</f>
        <v>74067.968000000023</v>
      </c>
      <c r="H3" s="82">
        <f>CO!$B$5</f>
        <v>74067.968000000023</v>
      </c>
      <c r="I3" s="82">
        <f>CO!$B$5</f>
        <v>74067.968000000023</v>
      </c>
      <c r="J3" s="82">
        <f>CO!$B$5</f>
        <v>74067.968000000023</v>
      </c>
      <c r="K3" s="82">
        <f>CO!$B$5</f>
        <v>74067.968000000023</v>
      </c>
    </row>
    <row r="4" spans="1:13">
      <c r="A4" s="81" t="s">
        <v>147</v>
      </c>
      <c r="B4" s="82">
        <f>CNO!$C$8</f>
        <v>5108.5200000000004</v>
      </c>
      <c r="C4" s="82">
        <f>CNO!$C$8</f>
        <v>5108.5200000000004</v>
      </c>
      <c r="D4" s="82">
        <f>CNO!$C$8</f>
        <v>5108.5200000000004</v>
      </c>
      <c r="E4" s="82">
        <f>CNO!$C$8</f>
        <v>5108.5200000000004</v>
      </c>
      <c r="F4" s="82">
        <f>CNO!$C$8</f>
        <v>5108.5200000000004</v>
      </c>
      <c r="G4" s="82">
        <f>CNO!$C$8</f>
        <v>5108.5200000000004</v>
      </c>
      <c r="H4" s="82">
        <f>CNO!$C$8</f>
        <v>5108.5200000000004</v>
      </c>
      <c r="I4" s="82">
        <f>CNO!$C$8</f>
        <v>5108.5200000000004</v>
      </c>
      <c r="J4" s="82">
        <f>CNO!$C$8</f>
        <v>5108.5200000000004</v>
      </c>
      <c r="K4" s="82">
        <f>CNO!$C$8</f>
        <v>5108.5200000000004</v>
      </c>
    </row>
    <row r="5" spans="1:13">
      <c r="A5" s="81" t="s">
        <v>149</v>
      </c>
      <c r="B5" s="82">
        <f>B2-B3-B4</f>
        <v>87281.57826223773</v>
      </c>
      <c r="C5" s="82">
        <f t="shared" ref="C5:K5" si="0">C2-C3-C4</f>
        <v>99171.440138111866</v>
      </c>
      <c r="D5" s="82">
        <f t="shared" si="0"/>
        <v>218070.05889685318</v>
      </c>
      <c r="E5" s="82">
        <f t="shared" si="0"/>
        <v>239234.01303590916</v>
      </c>
      <c r="F5" s="82">
        <f t="shared" si="0"/>
        <v>261904.84070966594</v>
      </c>
      <c r="G5" s="82">
        <f t="shared" si="0"/>
        <v>286189.83131379413</v>
      </c>
      <c r="H5" s="82">
        <f t="shared" si="0"/>
        <v>312203.91324893618</v>
      </c>
      <c r="I5" s="82">
        <f t="shared" si="0"/>
        <v>340070.19781786052</v>
      </c>
      <c r="J5" s="82">
        <f t="shared" si="0"/>
        <v>369920.56184809213</v>
      </c>
      <c r="K5" s="82">
        <f t="shared" si="0"/>
        <v>401896.27179727633</v>
      </c>
    </row>
    <row r="6" spans="1:13">
      <c r="A6" s="81" t="s">
        <v>150</v>
      </c>
      <c r="B6" s="82">
        <f>B5</f>
        <v>87281.57826223773</v>
      </c>
      <c r="C6" s="82">
        <f>B6+C5</f>
        <v>186453.0184003496</v>
      </c>
      <c r="D6" s="82">
        <f t="shared" ref="D6:K6" si="1">C6+D5</f>
        <v>404523.07729720278</v>
      </c>
      <c r="E6" s="82">
        <f t="shared" si="1"/>
        <v>643757.09033311193</v>
      </c>
      <c r="F6" s="82">
        <f t="shared" si="1"/>
        <v>905661.93104277784</v>
      </c>
      <c r="G6" s="82">
        <f t="shared" si="1"/>
        <v>1191851.7623565719</v>
      </c>
      <c r="H6" s="82">
        <f t="shared" si="1"/>
        <v>1504055.675605508</v>
      </c>
      <c r="I6" s="82">
        <f t="shared" si="1"/>
        <v>1844125.8734233687</v>
      </c>
      <c r="J6" s="82">
        <f t="shared" si="1"/>
        <v>2214046.4352714606</v>
      </c>
      <c r="K6" s="82">
        <f t="shared" si="1"/>
        <v>2615942.7070687367</v>
      </c>
    </row>
    <row r="7" spans="1:13">
      <c r="A7" s="81"/>
      <c r="B7" s="82"/>
      <c r="C7" s="82"/>
      <c r="D7" s="82"/>
      <c r="E7" s="82"/>
      <c r="F7" s="82"/>
      <c r="G7" s="82"/>
      <c r="H7" s="82"/>
      <c r="I7" s="82"/>
      <c r="J7" s="82"/>
      <c r="K7" s="82"/>
    </row>
    <row r="9" spans="1:13">
      <c r="A9" s="242"/>
      <c r="B9" s="243" t="s">
        <v>264</v>
      </c>
      <c r="C9" s="243" t="s">
        <v>265</v>
      </c>
      <c r="D9" s="243" t="s">
        <v>266</v>
      </c>
      <c r="E9" s="243" t="s">
        <v>267</v>
      </c>
      <c r="F9" s="243" t="s">
        <v>268</v>
      </c>
      <c r="G9" s="243" t="s">
        <v>269</v>
      </c>
      <c r="H9" s="243" t="s">
        <v>270</v>
      </c>
      <c r="I9" s="243" t="s">
        <v>320</v>
      </c>
      <c r="J9" s="243" t="s">
        <v>271</v>
      </c>
      <c r="K9" s="243" t="s">
        <v>272</v>
      </c>
      <c r="L9" s="243" t="s">
        <v>273</v>
      </c>
      <c r="M9" s="243" t="s">
        <v>274</v>
      </c>
    </row>
    <row r="10" spans="1:13">
      <c r="A10" s="239" t="s">
        <v>261</v>
      </c>
      <c r="B10" s="240">
        <f>Ingresos!$C$15/12</f>
        <v>14301.505521853147</v>
      </c>
      <c r="C10" s="240">
        <f>Ingresos!$C$15/12</f>
        <v>14301.505521853147</v>
      </c>
      <c r="D10" s="240">
        <f>Ingresos!$C$15/12</f>
        <v>14301.505521853147</v>
      </c>
      <c r="E10" s="240">
        <f>Ingresos!$C$15/12</f>
        <v>14301.505521853147</v>
      </c>
      <c r="F10" s="240">
        <f>Ingresos!$C$15/12</f>
        <v>14301.505521853147</v>
      </c>
      <c r="G10" s="240">
        <f>Ingresos!$C$15/12</f>
        <v>14301.505521853147</v>
      </c>
      <c r="H10" s="240">
        <f>Ingresos!$C$15/12</f>
        <v>14301.505521853147</v>
      </c>
      <c r="I10" s="240">
        <f>Ingresos!$C$15/12</f>
        <v>14301.505521853147</v>
      </c>
      <c r="J10" s="240">
        <f>Ingresos!$C$15/12</f>
        <v>14301.505521853147</v>
      </c>
      <c r="K10" s="240">
        <f>Ingresos!$C$15/12</f>
        <v>14301.505521853147</v>
      </c>
      <c r="L10" s="240">
        <f>Ingresos!$C$15/12</f>
        <v>14301.505521853147</v>
      </c>
      <c r="M10" s="240">
        <f>Ingresos!$C$15/12</f>
        <v>14301.505521853147</v>
      </c>
    </row>
    <row r="11" spans="1:13">
      <c r="A11" s="239" t="s">
        <v>262</v>
      </c>
      <c r="B11" s="241">
        <f>CO!B6</f>
        <v>6172.3306666666685</v>
      </c>
      <c r="C11" s="241">
        <f>B11</f>
        <v>6172.3306666666685</v>
      </c>
      <c r="D11" s="241">
        <f t="shared" ref="D11:M11" si="2">C11</f>
        <v>6172.3306666666685</v>
      </c>
      <c r="E11" s="241">
        <f t="shared" si="2"/>
        <v>6172.3306666666685</v>
      </c>
      <c r="F11" s="241">
        <f t="shared" si="2"/>
        <v>6172.3306666666685</v>
      </c>
      <c r="G11" s="241">
        <f t="shared" si="2"/>
        <v>6172.3306666666685</v>
      </c>
      <c r="H11" s="241">
        <f t="shared" si="2"/>
        <v>6172.3306666666685</v>
      </c>
      <c r="I11" s="241">
        <f t="shared" si="2"/>
        <v>6172.3306666666685</v>
      </c>
      <c r="J11" s="241">
        <f t="shared" si="2"/>
        <v>6172.3306666666685</v>
      </c>
      <c r="K11" s="241">
        <f t="shared" si="2"/>
        <v>6172.3306666666685</v>
      </c>
      <c r="L11" s="241">
        <f t="shared" si="2"/>
        <v>6172.3306666666685</v>
      </c>
      <c r="M11" s="241">
        <f t="shared" si="2"/>
        <v>6172.3306666666685</v>
      </c>
    </row>
    <row r="12" spans="1:13">
      <c r="A12" s="244" t="s">
        <v>147</v>
      </c>
      <c r="B12" s="246">
        <f>CNO!C8/12</f>
        <v>425.71000000000004</v>
      </c>
      <c r="C12" s="246">
        <f>B12</f>
        <v>425.71000000000004</v>
      </c>
      <c r="D12" s="246">
        <f t="shared" ref="D12:M12" si="3">C12</f>
        <v>425.71000000000004</v>
      </c>
      <c r="E12" s="246">
        <f t="shared" si="3"/>
        <v>425.71000000000004</v>
      </c>
      <c r="F12" s="246">
        <f t="shared" si="3"/>
        <v>425.71000000000004</v>
      </c>
      <c r="G12" s="246">
        <f t="shared" si="3"/>
        <v>425.71000000000004</v>
      </c>
      <c r="H12" s="246">
        <f t="shared" si="3"/>
        <v>425.71000000000004</v>
      </c>
      <c r="I12" s="246">
        <f t="shared" si="3"/>
        <v>425.71000000000004</v>
      </c>
      <c r="J12" s="246">
        <f t="shared" si="3"/>
        <v>425.71000000000004</v>
      </c>
      <c r="K12" s="246">
        <f t="shared" si="3"/>
        <v>425.71000000000004</v>
      </c>
      <c r="L12" s="246">
        <f t="shared" si="3"/>
        <v>425.71000000000004</v>
      </c>
      <c r="M12" s="246">
        <f t="shared" si="3"/>
        <v>425.71000000000004</v>
      </c>
    </row>
    <row r="13" spans="1:13">
      <c r="A13" s="244" t="s">
        <v>149</v>
      </c>
      <c r="B13" s="245">
        <f>B10-B11-B12</f>
        <v>7703.4648551864784</v>
      </c>
      <c r="C13" s="245">
        <f t="shared" ref="C13:M13" si="4">C10-C11-C12</f>
        <v>7703.4648551864784</v>
      </c>
      <c r="D13" s="245">
        <f t="shared" si="4"/>
        <v>7703.4648551864784</v>
      </c>
      <c r="E13" s="245">
        <f t="shared" si="4"/>
        <v>7703.4648551864784</v>
      </c>
      <c r="F13" s="245">
        <f t="shared" si="4"/>
        <v>7703.4648551864784</v>
      </c>
      <c r="G13" s="245">
        <f t="shared" si="4"/>
        <v>7703.4648551864784</v>
      </c>
      <c r="H13" s="245">
        <f t="shared" si="4"/>
        <v>7703.4648551864784</v>
      </c>
      <c r="I13" s="245">
        <f t="shared" si="4"/>
        <v>7703.4648551864784</v>
      </c>
      <c r="J13" s="245">
        <f t="shared" si="4"/>
        <v>7703.4648551864784</v>
      </c>
      <c r="K13" s="245">
        <f t="shared" si="4"/>
        <v>7703.4648551864784</v>
      </c>
      <c r="L13" s="245">
        <f t="shared" si="4"/>
        <v>7703.4648551864784</v>
      </c>
      <c r="M13" s="245">
        <f t="shared" si="4"/>
        <v>7703.4648551864784</v>
      </c>
    </row>
    <row r="14" spans="1:13">
      <c r="A14" s="244" t="s">
        <v>263</v>
      </c>
      <c r="B14" s="247">
        <f>B13</f>
        <v>7703.4648551864784</v>
      </c>
      <c r="C14" s="245">
        <f>B14+C13</f>
        <v>15406.929710372957</v>
      </c>
      <c r="D14" s="245">
        <f t="shared" ref="D14:M14" si="5">C14+D13</f>
        <v>23110.394565559436</v>
      </c>
      <c r="E14" s="245">
        <f t="shared" si="5"/>
        <v>30813.859420745914</v>
      </c>
      <c r="F14" s="245">
        <f t="shared" si="5"/>
        <v>38517.324275932391</v>
      </c>
      <c r="G14" s="245">
        <f t="shared" si="5"/>
        <v>46220.789131118872</v>
      </c>
      <c r="H14" s="245">
        <f t="shared" si="5"/>
        <v>53924.253986305353</v>
      </c>
      <c r="I14" s="245">
        <f t="shared" si="5"/>
        <v>61627.718841491835</v>
      </c>
      <c r="J14" s="245">
        <f t="shared" si="5"/>
        <v>69331.183696678316</v>
      </c>
      <c r="K14" s="245">
        <f t="shared" si="5"/>
        <v>77034.648551864797</v>
      </c>
      <c r="L14" s="245">
        <f t="shared" si="5"/>
        <v>84738.113407051278</v>
      </c>
      <c r="M14" s="245">
        <f t="shared" si="5"/>
        <v>92441.578262237759</v>
      </c>
    </row>
    <row r="16" spans="1:13">
      <c r="B16" s="200"/>
      <c r="C16" s="200"/>
      <c r="D16" s="200"/>
      <c r="E16" s="200"/>
      <c r="F16" s="200"/>
      <c r="G16" s="200"/>
      <c r="H16" s="200"/>
      <c r="I16" s="200"/>
      <c r="J16" s="200"/>
      <c r="K16" s="200"/>
      <c r="L16" s="200"/>
      <c r="M16" s="200"/>
    </row>
  </sheetData>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Supuestos </vt:lpstr>
      <vt:lpstr>Inversion </vt:lpstr>
      <vt:lpstr>Demanda</vt:lpstr>
      <vt:lpstr>Ingresos</vt:lpstr>
      <vt:lpstr>CNO</vt:lpstr>
      <vt:lpstr>CO</vt:lpstr>
      <vt:lpstr>Costo de Capital </vt:lpstr>
      <vt:lpstr>Capital de Trabajo </vt:lpstr>
      <vt:lpstr>Prestamo</vt:lpstr>
      <vt:lpstr>Depreciacion </vt:lpstr>
      <vt:lpstr>Rol de pagos </vt:lpstr>
      <vt:lpstr>Estado de resultados</vt:lpstr>
      <vt:lpstr>Flujo de caja del Inversionista</vt:lpstr>
      <vt:lpstr>Flujo de caja del proyecto</vt:lpstr>
      <vt:lpstr>PayBack</vt:lpstr>
      <vt:lpstr>Est Sit Inic</vt:lpstr>
      <vt:lpstr>BG</vt:lpstr>
      <vt:lpstr>Hoja1</vt:lpstr>
      <vt:lpstr>Analisis de sensibilidad</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Andreit@</dc:creator>
  <cp:lastModifiedBy>Hansen-Holm</cp:lastModifiedBy>
  <dcterms:created xsi:type="dcterms:W3CDTF">2010-01-05T13:56:11Z</dcterms:created>
  <dcterms:modified xsi:type="dcterms:W3CDTF">2010-02-22T20:24:53Z</dcterms:modified>
</cp:coreProperties>
</file>