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65" windowWidth="9720" windowHeight="6525" activeTab="1"/>
  </bookViews>
  <sheets>
    <sheet name="cotiz-aislamien-FERRETERA" sheetId="1" r:id="rId1"/>
    <sheet name="PÉRDIDAS TU" sheetId="2" r:id="rId2"/>
    <sheet name="PÉRDIDAS espesor recomen CAP-IX" sheetId="3" r:id="rId3"/>
    <sheet name="cotiz-AISL-RICARDO ARIAS" sheetId="4" r:id="rId4"/>
    <sheet name="PÉRDIDAS combustible" sheetId="5" r:id="rId5"/>
    <sheet name="PÉRDIDAS espesor recomen" sheetId="6" r:id="rId6"/>
  </sheets>
  <definedNames/>
  <calcPr fullCalcOnLoad="1"/>
</workbook>
</file>

<file path=xl/sharedStrings.xml><?xml version="1.0" encoding="utf-8"?>
<sst xmlns="http://schemas.openxmlformats.org/spreadsheetml/2006/main" count="781" uniqueCount="136">
  <si>
    <t>Costo de las 1000 lb de vapor:  $</t>
  </si>
  <si>
    <t>2"</t>
  </si>
  <si>
    <t>Asesor:   Ing. Ángel García</t>
  </si>
  <si>
    <t>Empresa:    Cia AZUCARERA VALDEZ</t>
  </si>
  <si>
    <t xml:space="preserve">Dirección:  Milagro </t>
  </si>
  <si>
    <t>3"</t>
  </si>
  <si>
    <t>PERDIDAS POR TUBERÍAS SIN AISLAR</t>
  </si>
  <si>
    <t>Descripción</t>
  </si>
  <si>
    <t>Presión de vapor  (Psig)</t>
  </si>
  <si>
    <t xml:space="preserve">LÍNEA DE ALIMENTACIÓN TURBO BOMBA  POZO </t>
  </si>
  <si>
    <t xml:space="preserve">LÍNEA DE DESCARGA TURBO BOMBA  POZO </t>
  </si>
  <si>
    <t>LÍNEA DE ALIMENTACIÓN TURBO GENERADOR 3-4</t>
  </si>
  <si>
    <t>LÍNEA DE DESCARGA TURBO GENERADOR 6</t>
  </si>
  <si>
    <t>LÍNEA DE ALIMENTACIÓN MOLINOS 1-2-3-4-2° JUEGO</t>
  </si>
  <si>
    <t>LÍNEA DE ALIMENTACIÓN MOLINOS 5-6 ,DESFIBRADOR</t>
  </si>
  <si>
    <t>LÍNEA DE ALIMENTACIÓN  1° JUEGO DE CUCHILLAS</t>
  </si>
  <si>
    <t xml:space="preserve"> LÍNEA DE DESCARGA UNIÓN PLANTA ELÉCTRICA-CALDERAS SECCIÓN TANDEM 1</t>
  </si>
  <si>
    <t>LÍNEA ENTRADA SEPARADOR A UN COSTADO DE DESFIBRADOR TANDEM 2</t>
  </si>
  <si>
    <t>LÍNEA DE ALIMENTACIÓN DESFIBRADOR TANDEM 2</t>
  </si>
  <si>
    <t>LÍNEA DE PRINCIPAL DE ALIMENTACIÓN MOLINOS 1-3-4</t>
  </si>
  <si>
    <t>LÍNEA DE DESCARGA  PRINCIPAL MOLINOS 1-3-4</t>
  </si>
  <si>
    <t>LÍNEA ALIMENTACIÓN PRINCIPAL MOLINO 1 TANDEM 2</t>
  </si>
  <si>
    <t>SEPARADOR  MOLINO 1 TANDEM 2</t>
  </si>
  <si>
    <t xml:space="preserve">LÍNEA ALIMENTACIÓN SEPARADOR  ENTRE MOLINO 5-6 </t>
  </si>
  <si>
    <t>LÍNEA DE DESCARGA  MOLINO 2 TANDEM 1</t>
  </si>
  <si>
    <r>
      <t xml:space="preserve">P. C. del  Bagazo de caña de azúcar   </t>
    </r>
    <r>
      <rPr>
        <b/>
        <sz val="12"/>
        <rFont val="Arial"/>
        <family val="2"/>
      </rPr>
      <t>4,400 Kcal/Kg             18,265 Btu/Kg</t>
    </r>
  </si>
  <si>
    <r>
      <t xml:space="preserve">P. C. del  Bunker            </t>
    </r>
    <r>
      <rPr>
        <b/>
        <sz val="12"/>
        <rFont val="Arial"/>
        <family val="2"/>
      </rPr>
      <t>153,200 Btu/Gal</t>
    </r>
  </si>
  <si>
    <r>
      <t xml:space="preserve">Tiempo de trabajo          </t>
    </r>
    <r>
      <rPr>
        <b/>
        <sz val="12"/>
        <rFont val="Arial"/>
        <family val="2"/>
      </rPr>
      <t xml:space="preserve"> 24 H </t>
    </r>
    <r>
      <rPr>
        <sz val="12"/>
        <rFont val="Arial"/>
        <family val="2"/>
      </rPr>
      <t>diarias</t>
    </r>
  </si>
  <si>
    <r>
      <t xml:space="preserve">Costo del Bunker             </t>
    </r>
    <r>
      <rPr>
        <b/>
        <sz val="12"/>
        <rFont val="Arial"/>
        <family val="2"/>
      </rPr>
      <t>$ 0.56/ gal</t>
    </r>
  </si>
  <si>
    <t>4"</t>
  </si>
  <si>
    <t>LB/H</t>
  </si>
  <si>
    <t>$/H</t>
  </si>
  <si>
    <t>Dinero desperdiciado anualmente* longitud de tubería relacionado con las 1000 lbrs de vapor ($/año)</t>
  </si>
  <si>
    <t>Dinero desperdiciado anualmente* longitud de tubería por utilización solo de bunker ($/año)</t>
  </si>
  <si>
    <t>diámetro</t>
  </si>
  <si>
    <t>10"</t>
  </si>
  <si>
    <t>LÍNEA DE ALIMENTACIÓN MOLINOS 5-6 ,DESFIBRADOR  TANDEM # 1</t>
  </si>
  <si>
    <t xml:space="preserve">LÍNEA DE ALIMENTACIÓN  1° JUEGO DE CUCHILLAS TANDEM #1 </t>
  </si>
  <si>
    <t>LÍNEA ALIMENTACIÓN SEPARADOR  ENTRE MOLINO 5-6  TANDEM # 1</t>
  </si>
  <si>
    <t>LÍNEA DE ALIMENTACIÓN MOLINOS 1-2-3-4-2° JUEGO  TANDEM # 1</t>
  </si>
  <si>
    <t>6"</t>
  </si>
  <si>
    <t>12"</t>
  </si>
  <si>
    <t>LÍNEA DE PRINCIPAL DE ALIMENTACIÓN MOLINOS 1-3-4 TANDEM # 2</t>
  </si>
  <si>
    <t>8"</t>
  </si>
  <si>
    <t>36"</t>
  </si>
  <si>
    <t>28"</t>
  </si>
  <si>
    <t xml:space="preserve">Diámetro de la tubería </t>
  </si>
  <si>
    <t xml:space="preserve">Espesor de lana de vidrio </t>
  </si>
  <si>
    <t>Pérdida monetaria (por 1mt)</t>
  </si>
  <si>
    <t>Presión     (Psig)</t>
  </si>
  <si>
    <t>20"</t>
  </si>
  <si>
    <t>Inversión</t>
  </si>
  <si>
    <t>Amortización    ( meses )</t>
  </si>
  <si>
    <t>Pérdida monetaria (por 0.90mt)</t>
  </si>
  <si>
    <t>DENSIDAD:140kG/M3</t>
  </si>
  <si>
    <t>LONG: 0.90MT</t>
  </si>
  <si>
    <t>ANCHO:IGUAL AL PERIMETRO</t>
  </si>
  <si>
    <t>MANTAS PARA TUBERÍAS</t>
  </si>
  <si>
    <t>INVERSIÓN</t>
  </si>
  <si>
    <t>Amortización   ( meses)</t>
  </si>
  <si>
    <t>ancho del la manta</t>
  </si>
  <si>
    <t>Longitud de tubería sin aislamiento    (mt)</t>
  </si>
  <si>
    <t># de rollos</t>
  </si>
  <si>
    <t>1000 lb vapor</t>
  </si>
  <si>
    <t>precio unit</t>
  </si>
  <si>
    <t>Pérdida monetaria por longitud de tubería sin aislamiento  ($ / año )</t>
  </si>
  <si>
    <t>Amortización            ( meses)</t>
  </si>
  <si>
    <t>INVERSIÓN      ( $ )</t>
  </si>
  <si>
    <t>Amortización          ( años )</t>
  </si>
  <si>
    <t>Pérdida monetaria    $/año                  (por 0.90mt)</t>
  </si>
  <si>
    <t>ancho del la manta (in)</t>
  </si>
  <si>
    <t xml:space="preserve">tabla de vapor </t>
  </si>
  <si>
    <t>BTU/Lbm</t>
  </si>
  <si>
    <t>Temperatura  promedio del vapor   ( °F )</t>
  </si>
  <si>
    <t>ccccrreegido</t>
  </si>
  <si>
    <t>Pérdidas anuales             ( Btu /año)</t>
  </si>
  <si>
    <t>Galones/año Empleados</t>
  </si>
  <si>
    <t>Pérdidas anuales                  ( Btu/año )</t>
  </si>
  <si>
    <t>Longitud   de tubería sin aislar                     ( m )</t>
  </si>
  <si>
    <t>Consumo de bagazo                     ( Kg /año)</t>
  </si>
  <si>
    <t>Longitud   de tubería sin aislar                    ( m )</t>
  </si>
  <si>
    <t>Pérdidas Totales por metro de tubería sin aislar                              ( Btu/h )</t>
  </si>
  <si>
    <t>Consumo de bagazo                         ( Kg/año )</t>
  </si>
  <si>
    <t>(Gal./año) Empleados</t>
  </si>
  <si>
    <t>Temperatura  promedio del vapor                         ( °F )</t>
  </si>
  <si>
    <t>LÍNEA DE ALIMENTACIÓN TURBO GENERADOR ELECTRICO # 6</t>
  </si>
  <si>
    <t>Pérdidas Totales por longitud de tubería sin aislar                         ( Btu/h )</t>
  </si>
  <si>
    <t>Diámetro de la  tubería      ( in )</t>
  </si>
  <si>
    <t>Temperatura  superficial en la tubería                         ( °F )</t>
  </si>
  <si>
    <t>Conductividad térmica del material aislante (lana de vidrio)             ( W / m º K )</t>
  </si>
  <si>
    <t>Espesor aislamiento recomendado         ( in )</t>
  </si>
  <si>
    <t>5"</t>
  </si>
  <si>
    <r>
      <t xml:space="preserve">Tiempo de trabajo       </t>
    </r>
    <r>
      <rPr>
        <b/>
        <sz val="12"/>
        <rFont val="Arial"/>
        <family val="2"/>
      </rPr>
      <t xml:space="preserve">    24 H </t>
    </r>
    <r>
      <rPr>
        <sz val="12"/>
        <rFont val="Arial"/>
        <family val="2"/>
      </rPr>
      <t>diarias ( 6 meses de Zafra )</t>
    </r>
  </si>
  <si>
    <r>
      <t xml:space="preserve">P. C. del  Bunker             </t>
    </r>
    <r>
      <rPr>
        <b/>
        <sz val="12"/>
        <rFont val="Arial"/>
        <family val="2"/>
      </rPr>
      <t>153,200 Btu/Gal</t>
    </r>
  </si>
  <si>
    <t>precio ferretera</t>
  </si>
  <si>
    <t>fob calorcol</t>
  </si>
  <si>
    <t>factor de viaje por traslado</t>
  </si>
  <si>
    <t>P=3,1416*Dtubería</t>
  </si>
  <si>
    <t>precio ferretera-10%</t>
  </si>
  <si>
    <t>(precio ferretera-10%)+iva12%</t>
  </si>
  <si>
    <t>Precio total</t>
  </si>
  <si>
    <t>D TUBERIA</t>
  </si>
  <si>
    <t>ESPESOR</t>
  </si>
  <si>
    <t>LONGITUD</t>
  </si>
  <si>
    <t xml:space="preserve">NUMERO DE MANTAS </t>
  </si>
  <si>
    <t xml:space="preserve">LONGITUD DE MANTA </t>
  </si>
  <si>
    <t>ANCHO DE LA MANTA</t>
  </si>
  <si>
    <t xml:space="preserve">INVERSION POR LAS MANTAS </t>
  </si>
  <si>
    <t>Precio total POR UNIDAD</t>
  </si>
  <si>
    <t>MANO DE OBRA  $                        UNITARIO            TOTAL</t>
  </si>
  <si>
    <t>INVERSIÓN TOTAL POR INSTALC</t>
  </si>
  <si>
    <t>$/AÑO</t>
  </si>
  <si>
    <t>AÑOS                           ( ZAFRA )</t>
  </si>
  <si>
    <t>EN DOS ZAFRAS SE AMORTIZARAN ESTAS PERDIDAS DE CALOR POR FALTA DE AISLAMIENTO</t>
  </si>
  <si>
    <t>Pérdida Monetaria por longuitud de tubería  sin aislamiento                                  ( $ / ZAFRA )</t>
  </si>
  <si>
    <t>Espesor recomend. para aislamiento          ( in )</t>
  </si>
  <si>
    <t>Inversión por las  Mantas                    ( $ )</t>
  </si>
  <si>
    <t>Inversión en mano de obra              ( $ )</t>
  </si>
  <si>
    <t>Número de Mantas a usar.               ( Lana Mineral )</t>
  </si>
  <si>
    <t>Pérdidas por zafra                  ( Btu / Zafra )</t>
  </si>
  <si>
    <t>Consumo de bagazo ( Kg /Zafra)</t>
  </si>
  <si>
    <t xml:space="preserve">Bunker (Gal./Zafra) </t>
  </si>
  <si>
    <t>Dinero desperdiciado por Zafra* longitud de tubería por utilización solo de bunker ($/Zafra)</t>
  </si>
  <si>
    <r>
      <t>Dinero desperdiciado por Zafra* longitud de tubería. Relacionado con el costo de las 1000 lb</t>
    </r>
    <r>
      <rPr>
        <b/>
        <vertAlign val="subscript"/>
        <sz val="10"/>
        <rFont val="Arial"/>
        <family val="2"/>
      </rPr>
      <t>vapor</t>
    </r>
    <r>
      <rPr>
        <b/>
        <sz val="10"/>
        <rFont val="Arial"/>
        <family val="2"/>
      </rPr>
      <t xml:space="preserve"> ($/Zafra)</t>
    </r>
  </si>
  <si>
    <t>TOTAL A INVERTIR: ( $ )</t>
  </si>
  <si>
    <t xml:space="preserve">Inversión Total                                       ( Material  y   Mano de Obra)                                  ( $ ) </t>
  </si>
  <si>
    <t>Consumo de bagazo                     ( Kg /Zafra)</t>
  </si>
  <si>
    <t>(Gal./zafra) Empleados</t>
  </si>
  <si>
    <t>Pérdidas Totales por longitud de tubería sin aislar                         ( Btu/Zafra)</t>
  </si>
  <si>
    <t xml:space="preserve">Equivalente en Consumo adicional de Bagazo y Bunker </t>
  </si>
  <si>
    <t>Total</t>
  </si>
  <si>
    <t>Temperatura promedio del vapor                         ( °F )</t>
  </si>
  <si>
    <t>Longitud   de tubería sin aislar                     ( Ft )</t>
  </si>
  <si>
    <t>Conductividad térmica del material aislante (lana de vidrio)             ( Btu / Hr-Ft-ºF )</t>
  </si>
  <si>
    <r>
      <t>DENSIDAD</t>
    </r>
    <r>
      <rPr>
        <sz val="12"/>
        <rFont val="Arial"/>
        <family val="2"/>
      </rPr>
      <t>: 9 LB / Ft</t>
    </r>
    <r>
      <rPr>
        <vertAlign val="superscript"/>
        <sz val="12"/>
        <rFont val="Arial"/>
        <family val="2"/>
      </rPr>
      <t xml:space="preserve">3  </t>
    </r>
    <r>
      <rPr>
        <sz val="12"/>
        <rFont val="Arial"/>
        <family val="2"/>
      </rPr>
      <t xml:space="preserve">,  </t>
    </r>
    <r>
      <rPr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LONGITUD DE MANTA</t>
    </r>
    <r>
      <rPr>
        <sz val="12"/>
        <rFont val="Arial"/>
        <family val="2"/>
      </rPr>
      <t xml:space="preserve">: 0,90 mt=2,95Ft  ,   </t>
    </r>
    <r>
      <rPr>
        <b/>
        <sz val="12"/>
        <rFont val="Arial"/>
        <family val="2"/>
      </rPr>
      <t xml:space="preserve">ANCHO DE LA MANTA </t>
    </r>
    <r>
      <rPr>
        <sz val="12"/>
        <rFont val="Arial"/>
        <family val="2"/>
      </rPr>
      <t xml:space="preserve">= AL PERIMETRO DE LA TUBERÍA  A AISLAR </t>
    </r>
  </si>
  <si>
    <r>
      <t xml:space="preserve">P. C. Bagazo de caña:   </t>
    </r>
    <r>
      <rPr>
        <b/>
        <sz val="12"/>
        <rFont val="Arial"/>
        <family val="2"/>
      </rPr>
      <t>4,400 Kcal/Kg  = 17,459 Btu/Kg</t>
    </r>
  </si>
</sst>
</file>

<file path=xl/styles.xml><?xml version="1.0" encoding="utf-8"?>
<styleSheet xmlns="http://schemas.openxmlformats.org/spreadsheetml/2006/main">
  <numFmts count="6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_-* #,##0\ &quot;Pts&quot;_-;\-* #,##0\ &quot;Pts&quot;_-;_-* &quot;-&quot;\ &quot;Pts&quot;_-;_-@_-"/>
    <numFmt numFmtId="196" formatCode="_-* #,##0\ _P_t_s_-;\-* #,##0\ _P_t_s_-;_-* &quot;-&quot;\ _P_t_s_-;_-@_-"/>
    <numFmt numFmtId="197" formatCode="_-* #,##0.00\ &quot;Pts&quot;_-;\-* #,##0.00\ &quot;Pts&quot;_-;_-* &quot;-&quot;??\ &quot;Pts&quot;_-;_-@_-"/>
    <numFmt numFmtId="198" formatCode="_-* #,##0.00\ _P_t_s_-;\-* #,##0.00\ _P_t_s_-;_-* &quot;-&quot;??\ _P_t_s_-;_-@_-"/>
    <numFmt numFmtId="199" formatCode="&quot;S/&quot;#,##0;&quot;S/&quot;\-#,##0"/>
    <numFmt numFmtId="200" formatCode="&quot;S/&quot;#,##0;[Red]&quot;S/&quot;\-#,##0"/>
    <numFmt numFmtId="201" formatCode="&quot;S/&quot;#,##0.00;&quot;S/&quot;\-#,##0.00"/>
    <numFmt numFmtId="202" formatCode="&quot;S/&quot;#,##0.00;[Red]&quot;S/&quot;\-#,##0.00"/>
    <numFmt numFmtId="203" formatCode="_ &quot;S/&quot;* #,##0_ ;_ &quot;S/&quot;* \-#,##0_ ;_ &quot;S/&quot;* &quot;-&quot;_ ;_ @_ "/>
    <numFmt numFmtId="204" formatCode="_ &quot;S/&quot;* #,##0.00_ ;_ &quot;S/&quot;* \-#,##0.00_ ;_ &quot;S/&quot;* &quot;-&quot;??_ ;_ @_ "/>
    <numFmt numFmtId="205" formatCode="0.0"/>
    <numFmt numFmtId="206" formatCode="0.0000"/>
    <numFmt numFmtId="207" formatCode="0.000"/>
    <numFmt numFmtId="208" formatCode="0.000000"/>
    <numFmt numFmtId="209" formatCode="0.00000"/>
    <numFmt numFmtId="210" formatCode="&quot;$&quot;#,##0.00"/>
    <numFmt numFmtId="211" formatCode="#,##0.0000"/>
    <numFmt numFmtId="212" formatCode="#,##0.00;[Red]#,##0.00"/>
    <numFmt numFmtId="213" formatCode="&quot;$&quot;#,##0.00;[Red]&quot;$&quot;#,##0.00"/>
    <numFmt numFmtId="214" formatCode="#,##0;[Red]#,##0"/>
    <numFmt numFmtId="215" formatCode="#,##0.0"/>
    <numFmt numFmtId="216" formatCode="#,##0.000"/>
    <numFmt numFmtId="217" formatCode="#,##0.00000"/>
    <numFmt numFmtId="218" formatCode="0.0000000"/>
    <numFmt numFmtId="219" formatCode="#,##0.000000"/>
    <numFmt numFmtId="220" formatCode="#,##0.0000000"/>
  </numFmts>
  <fonts count="1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sz val="12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vertAlign val="superscript"/>
      <sz val="12"/>
      <name val="Arial"/>
      <family val="2"/>
    </font>
    <font>
      <sz val="10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21" applyFont="1">
      <alignment/>
      <protection/>
    </xf>
    <xf numFmtId="1" fontId="4" fillId="0" borderId="0" xfId="21" applyNumberFormat="1" applyFont="1" applyFill="1" applyBorder="1" applyAlignment="1">
      <alignment/>
      <protection/>
    </xf>
    <xf numFmtId="2" fontId="4" fillId="0" borderId="0" xfId="21" applyNumberFormat="1" applyFont="1" applyFill="1" applyBorder="1" applyAlignment="1">
      <alignment horizontal="center"/>
      <protection/>
    </xf>
    <xf numFmtId="0" fontId="2" fillId="0" borderId="0" xfId="21" applyFont="1">
      <alignment/>
      <protection/>
    </xf>
    <xf numFmtId="1" fontId="4" fillId="2" borderId="1" xfId="21" applyNumberFormat="1" applyFont="1" applyFill="1" applyBorder="1" applyAlignment="1">
      <alignment/>
      <protection/>
    </xf>
    <xf numFmtId="1" fontId="4" fillId="2" borderId="2" xfId="21" applyNumberFormat="1" applyFont="1" applyFill="1" applyBorder="1" applyAlignment="1">
      <alignment vertical="center"/>
      <protection/>
    </xf>
    <xf numFmtId="1" fontId="4" fillId="2" borderId="3" xfId="21" applyNumberFormat="1" applyFont="1" applyFill="1" applyBorder="1" applyAlignment="1">
      <alignment/>
      <protection/>
    </xf>
    <xf numFmtId="0" fontId="2" fillId="2" borderId="4" xfId="21" applyFont="1" applyFill="1" applyBorder="1">
      <alignment/>
      <protection/>
    </xf>
    <xf numFmtId="2" fontId="11" fillId="0" borderId="0" xfId="21" applyNumberFormat="1" applyFont="1" applyFill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0" fontId="2" fillId="0" borderId="0" xfId="0" applyFont="1" applyAlignment="1">
      <alignment/>
    </xf>
    <xf numFmtId="0" fontId="2" fillId="2" borderId="5" xfId="21" applyFont="1" applyFill="1" applyBorder="1" applyAlignment="1">
      <alignment horizontal="center"/>
      <protection/>
    </xf>
    <xf numFmtId="0" fontId="2" fillId="2" borderId="5" xfId="21" applyFont="1" applyFill="1" applyBorder="1">
      <alignment/>
      <protection/>
    </xf>
    <xf numFmtId="0" fontId="2" fillId="2" borderId="0" xfId="21" applyFont="1" applyFill="1" applyBorder="1" applyAlignment="1">
      <alignment horizontal="center"/>
      <protection/>
    </xf>
    <xf numFmtId="0" fontId="2" fillId="2" borderId="0" xfId="21" applyFont="1" applyFill="1" applyBorder="1">
      <alignment/>
      <protection/>
    </xf>
    <xf numFmtId="0" fontId="2" fillId="2" borderId="4" xfId="21" applyFont="1" applyFill="1" applyBorder="1" applyAlignment="1">
      <alignment horizontal="center"/>
      <protection/>
    </xf>
    <xf numFmtId="1" fontId="5" fillId="0" borderId="0" xfId="21" applyNumberFormat="1" applyFont="1" applyFill="1" applyBorder="1" applyAlignment="1">
      <alignment/>
      <protection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4" fontId="0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6" xfId="0" applyNumberForma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 hidden="1"/>
    </xf>
    <xf numFmtId="4" fontId="0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0" xfId="0" applyNumberFormat="1" applyBorder="1" applyAlignment="1" applyProtection="1">
      <alignment horizontal="center" vertical="center" wrapText="1"/>
      <protection hidden="1"/>
    </xf>
    <xf numFmtId="4" fontId="0" fillId="0" borderId="0" xfId="0" applyNumberFormat="1" applyFill="1" applyBorder="1" applyAlignment="1" applyProtection="1">
      <alignment horizontal="center" vertical="center" wrapText="1"/>
      <protection hidden="1"/>
    </xf>
    <xf numFmtId="0" fontId="0" fillId="3" borderId="6" xfId="0" applyFill="1" applyBorder="1" applyAlignment="1">
      <alignment/>
    </xf>
    <xf numFmtId="0" fontId="1" fillId="0" borderId="0" xfId="0" applyFont="1" applyAlignment="1">
      <alignment/>
    </xf>
    <xf numFmtId="0" fontId="3" fillId="0" borderId="0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4" fontId="0" fillId="0" borderId="6" xfId="0" applyNumberFormat="1" applyFont="1" applyBorder="1" applyAlignment="1" applyProtection="1">
      <alignment horizontal="center" vertical="center" wrapText="1"/>
      <protection hidden="1"/>
    </xf>
    <xf numFmtId="4" fontId="0" fillId="0" borderId="6" xfId="0" applyNumberFormat="1" applyBorder="1" applyAlignment="1" applyProtection="1">
      <alignment horizontal="center" vertical="center" wrapText="1"/>
      <protection hidden="1"/>
    </xf>
    <xf numFmtId="4" fontId="10" fillId="4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211" fontId="0" fillId="0" borderId="0" xfId="0" applyNumberFormat="1" applyAlignment="1">
      <alignment horizontal="center" vertical="center" wrapText="1"/>
    </xf>
    <xf numFmtId="4" fontId="10" fillId="4" borderId="8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left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" fontId="0" fillId="0" borderId="16" xfId="0" applyNumberFormat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16" xfId="0" applyNumberFormat="1" applyBorder="1" applyAlignment="1" applyProtection="1">
      <alignment horizontal="center" vertical="center" wrapText="1"/>
      <protection hidden="1"/>
    </xf>
    <xf numFmtId="0" fontId="2" fillId="0" borderId="0" xfId="21" applyFont="1" applyFill="1" applyBorder="1">
      <alignment/>
      <protection/>
    </xf>
    <xf numFmtId="0" fontId="2" fillId="0" borderId="0" xfId="2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13" fillId="0" borderId="0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/>
    </xf>
    <xf numFmtId="210" fontId="0" fillId="0" borderId="6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 horizontal="center" vertical="center" wrapText="1"/>
    </xf>
    <xf numFmtId="210" fontId="0" fillId="0" borderId="16" xfId="0" applyNumberFormat="1" applyBorder="1" applyAlignment="1">
      <alignment horizontal="center" vertical="center" wrapText="1"/>
    </xf>
    <xf numFmtId="0" fontId="0" fillId="0" borderId="18" xfId="0" applyBorder="1" applyAlignment="1">
      <alignment/>
    </xf>
    <xf numFmtId="3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 applyProtection="1">
      <alignment horizontal="center" vertical="center" wrapText="1"/>
      <protection hidden="1"/>
    </xf>
    <xf numFmtId="4" fontId="0" fillId="0" borderId="21" xfId="0" applyNumberFormat="1" applyBorder="1" applyAlignment="1">
      <alignment horizontal="center" vertical="center" wrapText="1"/>
    </xf>
    <xf numFmtId="210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210" fontId="0" fillId="0" borderId="21" xfId="0" applyNumberFormat="1" applyFont="1" applyBorder="1" applyAlignment="1">
      <alignment horizontal="center" vertical="center" wrapText="1"/>
    </xf>
    <xf numFmtId="210" fontId="0" fillId="0" borderId="0" xfId="0" applyNumberFormat="1" applyAlignment="1">
      <alignment horizontal="center" vertical="center" wrapText="1"/>
    </xf>
    <xf numFmtId="210" fontId="0" fillId="0" borderId="6" xfId="0" applyNumberFormat="1" applyFont="1" applyBorder="1" applyAlignment="1">
      <alignment horizontal="center" vertical="center" wrapText="1"/>
    </xf>
    <xf numFmtId="210" fontId="0" fillId="0" borderId="16" xfId="0" applyNumberFormat="1" applyFont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3" borderId="23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left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 applyProtection="1">
      <alignment horizontal="center" vertical="center" wrapText="1"/>
      <protection hidden="1"/>
    </xf>
    <xf numFmtId="4" fontId="6" fillId="0" borderId="21" xfId="0" applyNumberFormat="1" applyFont="1" applyBorder="1" applyAlignment="1" applyProtection="1">
      <alignment horizontal="center" vertical="center" wrapText="1"/>
      <protection hidden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210" fontId="6" fillId="0" borderId="21" xfId="0" applyNumberFormat="1" applyFont="1" applyBorder="1" applyAlignment="1">
      <alignment horizontal="center" vertical="center" wrapText="1"/>
    </xf>
    <xf numFmtId="205" fontId="6" fillId="0" borderId="31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left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 applyProtection="1">
      <alignment horizontal="center" vertical="center" wrapText="1"/>
      <protection hidden="1"/>
    </xf>
    <xf numFmtId="4" fontId="6" fillId="0" borderId="6" xfId="0" applyNumberFormat="1" applyFont="1" applyBorder="1" applyAlignment="1" applyProtection="1">
      <alignment horizontal="center" vertical="center" wrapText="1"/>
      <protection hidden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210" fontId="6" fillId="0" borderId="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4" fontId="6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16" xfId="0" applyNumberFormat="1" applyFont="1" applyBorder="1" applyAlignment="1" applyProtection="1">
      <alignment horizontal="center" vertical="center" wrapText="1"/>
      <protection hidden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210" fontId="6" fillId="0" borderId="16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205" fontId="6" fillId="0" borderId="37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210" fontId="6" fillId="0" borderId="11" xfId="0" applyNumberFormat="1" applyFont="1" applyBorder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 wrapText="1"/>
    </xf>
    <xf numFmtId="207" fontId="1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/>
    </xf>
    <xf numFmtId="215" fontId="0" fillId="0" borderId="6" xfId="0" applyNumberFormat="1" applyFill="1" applyBorder="1" applyAlignment="1" applyProtection="1">
      <alignment horizontal="center" vertical="center" wrapText="1"/>
      <protection hidden="1"/>
    </xf>
    <xf numFmtId="3" fontId="0" fillId="0" borderId="6" xfId="0" applyNumberFormat="1" applyFont="1" applyBorder="1" applyAlignment="1" applyProtection="1">
      <alignment horizontal="center" vertical="center" wrapText="1"/>
      <protection hidden="1"/>
    </xf>
    <xf numFmtId="3" fontId="0" fillId="0" borderId="6" xfId="0" applyNumberFormat="1" applyBorder="1" applyAlignment="1" applyProtection="1">
      <alignment horizontal="center" vertical="center" wrapText="1"/>
      <protection hidden="1"/>
    </xf>
    <xf numFmtId="3" fontId="0" fillId="0" borderId="6" xfId="0" applyNumberFormat="1" applyFill="1" applyBorder="1" applyAlignment="1" applyProtection="1">
      <alignment horizontal="center" vertical="center" wrapText="1"/>
      <protection hidden="1"/>
    </xf>
    <xf numFmtId="3" fontId="0" fillId="0" borderId="16" xfId="0" applyNumberFormat="1" applyFill="1" applyBorder="1" applyAlignment="1" applyProtection="1">
      <alignment horizontal="center" vertical="center" wrapText="1"/>
      <protection hidden="1"/>
    </xf>
    <xf numFmtId="4" fontId="0" fillId="0" borderId="16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6" xfId="0" applyNumberFormat="1" applyFont="1" applyBorder="1" applyAlignment="1" applyProtection="1">
      <alignment horizontal="center" vertical="center" wrapText="1"/>
      <protection hidden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205" fontId="0" fillId="0" borderId="6" xfId="0" applyNumberFormat="1" applyFont="1" applyBorder="1" applyAlignment="1">
      <alignment horizontal="center" vertical="center" wrapText="1"/>
    </xf>
    <xf numFmtId="205" fontId="0" fillId="0" borderId="6" xfId="0" applyNumberFormat="1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17" fontId="0" fillId="0" borderId="6" xfId="0" applyNumberFormat="1" applyFont="1" applyBorder="1" applyAlignment="1" applyProtection="1">
      <alignment horizontal="center" vertical="center" wrapText="1"/>
      <protection hidden="1"/>
    </xf>
    <xf numFmtId="3" fontId="0" fillId="0" borderId="6" xfId="0" applyNumberFormat="1" applyFont="1" applyFill="1" applyBorder="1" applyAlignment="1" applyProtection="1">
      <alignment horizontal="center" vertical="center" wrapText="1"/>
      <protection hidden="1"/>
    </xf>
    <xf numFmtId="215" fontId="0" fillId="0" borderId="6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16" xfId="0" applyNumberFormat="1" applyFont="1" applyBorder="1" applyAlignment="1" applyProtection="1">
      <alignment horizontal="center" vertical="center" wrapText="1"/>
      <protection hidden="1"/>
    </xf>
    <xf numFmtId="217" fontId="0" fillId="0" borderId="16" xfId="0" applyNumberFormat="1" applyFont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horizontal="center" vertical="center" wrapText="1"/>
      <protection hidden="1"/>
    </xf>
    <xf numFmtId="3" fontId="0" fillId="0" borderId="14" xfId="0" applyNumberFormat="1" applyFont="1" applyBorder="1" applyAlignment="1" applyProtection="1">
      <alignment horizontal="center" vertical="center" wrapText="1"/>
      <protection hidden="1"/>
    </xf>
    <xf numFmtId="205" fontId="0" fillId="0" borderId="16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10" fillId="4" borderId="25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10" fillId="4" borderId="43" xfId="0" applyNumberFormat="1" applyFont="1" applyFill="1" applyBorder="1" applyAlignment="1">
      <alignment horizontal="center" vertical="center" wrapText="1"/>
    </xf>
    <xf numFmtId="215" fontId="0" fillId="0" borderId="32" xfId="0" applyNumberFormat="1" applyFont="1" applyBorder="1" applyAlignment="1">
      <alignment horizontal="center" vertical="center" wrapText="1"/>
    </xf>
    <xf numFmtId="215" fontId="0" fillId="0" borderId="34" xfId="0" applyNumberFormat="1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" fontId="10" fillId="4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15" fontId="0" fillId="0" borderId="6" xfId="0" applyNumberFormat="1" applyFont="1" applyBorder="1" applyAlignment="1" applyProtection="1">
      <alignment horizontal="center" vertical="center" wrapText="1"/>
      <protection hidden="1"/>
    </xf>
    <xf numFmtId="4" fontId="0" fillId="3" borderId="6" xfId="0" applyNumberFormat="1" applyFont="1" applyFill="1" applyBorder="1" applyAlignment="1" applyProtection="1">
      <alignment horizontal="center" vertical="center" wrapText="1"/>
      <protection hidden="1"/>
    </xf>
    <xf numFmtId="2" fontId="0" fillId="3" borderId="9" xfId="0" applyNumberForma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0" fontId="0" fillId="3" borderId="6" xfId="0" applyFill="1" applyBorder="1" applyAlignment="1">
      <alignment wrapText="1"/>
    </xf>
    <xf numFmtId="9" fontId="0" fillId="0" borderId="6" xfId="0" applyNumberFormat="1" applyBorder="1" applyAlignment="1">
      <alignment/>
    </xf>
    <xf numFmtId="2" fontId="0" fillId="5" borderId="6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2" fontId="0" fillId="6" borderId="6" xfId="0" applyNumberFormat="1" applyFill="1" applyBorder="1" applyAlignment="1">
      <alignment horizontal="center" vertical="center"/>
    </xf>
    <xf numFmtId="0" fontId="10" fillId="6" borderId="6" xfId="0" applyFont="1" applyFill="1" applyBorder="1" applyAlignment="1">
      <alignment wrapText="1"/>
    </xf>
    <xf numFmtId="4" fontId="0" fillId="0" borderId="0" xfId="0" applyNumberFormat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 applyProtection="1">
      <alignment horizontal="center" vertical="center" wrapText="1"/>
      <protection hidden="1"/>
    </xf>
    <xf numFmtId="4" fontId="2" fillId="0" borderId="6" xfId="0" applyNumberFormat="1" applyFont="1" applyBorder="1" applyAlignment="1" applyProtection="1">
      <alignment horizontal="center" vertical="center" wrapText="1"/>
      <protection hidden="1"/>
    </xf>
    <xf numFmtId="217" fontId="2" fillId="0" borderId="6" xfId="0" applyNumberFormat="1" applyFont="1" applyBorder="1" applyAlignment="1" applyProtection="1">
      <alignment horizontal="center" vertical="center" wrapText="1"/>
      <protection hidden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205" fontId="2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6" xfId="0" applyNumberFormat="1" applyFont="1" applyFill="1" applyBorder="1" applyAlignment="1">
      <alignment horizontal="center" vertical="center" wrapText="1"/>
    </xf>
    <xf numFmtId="215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 applyProtection="1">
      <alignment horizontal="center" vertical="center" wrapText="1"/>
      <protection hidden="1"/>
    </xf>
    <xf numFmtId="4" fontId="2" fillId="0" borderId="16" xfId="0" applyNumberFormat="1" applyFont="1" applyBorder="1" applyAlignment="1" applyProtection="1">
      <alignment horizontal="center" vertical="center" wrapText="1"/>
      <protection hidden="1"/>
    </xf>
    <xf numFmtId="217" fontId="2" fillId="0" borderId="16" xfId="0" applyNumberFormat="1" applyFont="1" applyBorder="1" applyAlignment="1" applyProtection="1">
      <alignment horizontal="center" vertical="center" wrapText="1"/>
      <protection hidden="1"/>
    </xf>
    <xf numFmtId="3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4" fontId="2" fillId="0" borderId="41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4" fontId="10" fillId="5" borderId="45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" fontId="0" fillId="0" borderId="41" xfId="0" applyNumberFormat="1" applyFont="1" applyBorder="1" applyAlignment="1" applyProtection="1">
      <alignment horizontal="center" vertical="center" wrapText="1"/>
      <protection hidden="1"/>
    </xf>
    <xf numFmtId="4" fontId="0" fillId="0" borderId="46" xfId="0" applyNumberFormat="1" applyFont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right" vertical="center"/>
      <protection/>
    </xf>
    <xf numFmtId="1" fontId="4" fillId="0" borderId="0" xfId="21" applyNumberFormat="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horizontal="right" vertical="center"/>
      <protection/>
    </xf>
    <xf numFmtId="0" fontId="12" fillId="0" borderId="0" xfId="2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211" fontId="0" fillId="0" borderId="6" xfId="0" applyNumberFormat="1" applyFont="1" applyBorder="1" applyAlignment="1" applyProtection="1">
      <alignment horizontal="center" vertical="center" wrapText="1"/>
      <protection hidden="1"/>
    </xf>
    <xf numFmtId="211" fontId="0" fillId="0" borderId="16" xfId="0" applyNumberFormat="1" applyFont="1" applyBorder="1" applyAlignment="1" applyProtection="1">
      <alignment horizontal="center" vertical="center" wrapText="1"/>
      <protection hidden="1"/>
    </xf>
    <xf numFmtId="0" fontId="1" fillId="0" borderId="3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 wrapText="1"/>
    </xf>
    <xf numFmtId="4" fontId="10" fillId="0" borderId="39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hequeo de tramp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457200</xdr:colOff>
      <xdr:row>57</xdr:row>
      <xdr:rowOff>0</xdr:rowOff>
    </xdr:from>
    <xdr:to>
      <xdr:col>29</xdr:col>
      <xdr:colOff>514350</xdr:colOff>
      <xdr:row>70</xdr:row>
      <xdr:rowOff>257175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96975" y="17345025"/>
          <a:ext cx="937260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49</xdr:row>
      <xdr:rowOff>390525</xdr:rowOff>
    </xdr:from>
    <xdr:to>
      <xdr:col>49</xdr:col>
      <xdr:colOff>0</xdr:colOff>
      <xdr:row>50</xdr:row>
      <xdr:rowOff>9525</xdr:rowOff>
    </xdr:to>
    <xdr:sp>
      <xdr:nvSpPr>
        <xdr:cNvPr id="1" name="Line 6"/>
        <xdr:cNvSpPr>
          <a:spLocks/>
        </xdr:cNvSpPr>
      </xdr:nvSpPr>
      <xdr:spPr>
        <a:xfrm flipV="1">
          <a:off x="36023550" y="182689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752475</xdr:colOff>
      <xdr:row>49</xdr:row>
      <xdr:rowOff>390525</xdr:rowOff>
    </xdr:from>
    <xdr:to>
      <xdr:col>49</xdr:col>
      <xdr:colOff>752475</xdr:colOff>
      <xdr:row>49</xdr:row>
      <xdr:rowOff>390525</xdr:rowOff>
    </xdr:to>
    <xdr:sp>
      <xdr:nvSpPr>
        <xdr:cNvPr id="2" name="Line 7"/>
        <xdr:cNvSpPr>
          <a:spLocks/>
        </xdr:cNvSpPr>
      </xdr:nvSpPr>
      <xdr:spPr>
        <a:xfrm flipH="1">
          <a:off x="35252025" y="182689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49</xdr:row>
      <xdr:rowOff>390525</xdr:rowOff>
    </xdr:from>
    <xdr:to>
      <xdr:col>50</xdr:col>
      <xdr:colOff>0</xdr:colOff>
      <xdr:row>50</xdr:row>
      <xdr:rowOff>9525</xdr:rowOff>
    </xdr:to>
    <xdr:sp>
      <xdr:nvSpPr>
        <xdr:cNvPr id="3" name="Line 8"/>
        <xdr:cNvSpPr>
          <a:spLocks/>
        </xdr:cNvSpPr>
      </xdr:nvSpPr>
      <xdr:spPr>
        <a:xfrm flipV="1">
          <a:off x="36785550" y="182689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752475</xdr:colOff>
      <xdr:row>49</xdr:row>
      <xdr:rowOff>390525</xdr:rowOff>
    </xdr:from>
    <xdr:to>
      <xdr:col>50</xdr:col>
      <xdr:colOff>0</xdr:colOff>
      <xdr:row>49</xdr:row>
      <xdr:rowOff>390525</xdr:rowOff>
    </xdr:to>
    <xdr:sp>
      <xdr:nvSpPr>
        <xdr:cNvPr id="4" name="Line 9"/>
        <xdr:cNvSpPr>
          <a:spLocks/>
        </xdr:cNvSpPr>
      </xdr:nvSpPr>
      <xdr:spPr>
        <a:xfrm flipH="1">
          <a:off x="36776025" y="18268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49</xdr:row>
      <xdr:rowOff>390525</xdr:rowOff>
    </xdr:from>
    <xdr:to>
      <xdr:col>18</xdr:col>
      <xdr:colOff>0</xdr:colOff>
      <xdr:row>50</xdr:row>
      <xdr:rowOff>9525</xdr:rowOff>
    </xdr:to>
    <xdr:sp>
      <xdr:nvSpPr>
        <xdr:cNvPr id="5" name="Line 10"/>
        <xdr:cNvSpPr>
          <a:spLocks/>
        </xdr:cNvSpPr>
      </xdr:nvSpPr>
      <xdr:spPr>
        <a:xfrm flipV="1">
          <a:off x="12639675" y="182689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49</xdr:row>
      <xdr:rowOff>390525</xdr:rowOff>
    </xdr:from>
    <xdr:to>
      <xdr:col>18</xdr:col>
      <xdr:colOff>0</xdr:colOff>
      <xdr:row>49</xdr:row>
      <xdr:rowOff>390525</xdr:rowOff>
    </xdr:to>
    <xdr:sp>
      <xdr:nvSpPr>
        <xdr:cNvPr id="6" name="Line 12"/>
        <xdr:cNvSpPr>
          <a:spLocks/>
        </xdr:cNvSpPr>
      </xdr:nvSpPr>
      <xdr:spPr>
        <a:xfrm flipH="1">
          <a:off x="12639675" y="1826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142875</xdr:colOff>
      <xdr:row>53</xdr:row>
      <xdr:rowOff>38100</xdr:rowOff>
    </xdr:from>
    <xdr:to>
      <xdr:col>50</xdr:col>
      <xdr:colOff>371475</xdr:colOff>
      <xdr:row>66</xdr:row>
      <xdr:rowOff>295275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32575" y="19154775"/>
          <a:ext cx="937260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AF47"/>
  <sheetViews>
    <sheetView zoomScale="25" zoomScaleNormal="25" workbookViewId="0" topLeftCell="V7">
      <selection activeCell="S21" sqref="S21"/>
    </sheetView>
  </sheetViews>
  <sheetFormatPr defaultColWidth="11.421875" defaultRowHeight="12.75"/>
  <cols>
    <col min="5" max="5" width="20.140625" style="0" customWidth="1"/>
    <col min="6" max="6" width="15.421875" style="0" customWidth="1"/>
    <col min="7" max="7" width="16.140625" style="0" customWidth="1"/>
    <col min="9" max="9" width="14.28125" style="0" customWidth="1"/>
    <col min="11" max="11" width="15.57421875" style="0" customWidth="1"/>
    <col min="21" max="21" width="59.8515625" style="0" customWidth="1"/>
    <col min="22" max="22" width="11.57421875" style="0" customWidth="1"/>
    <col min="23" max="23" width="17.421875" style="0" customWidth="1"/>
    <col min="24" max="24" width="12.7109375" style="0" customWidth="1"/>
    <col min="25" max="25" width="15.421875" style="0" customWidth="1"/>
    <col min="26" max="26" width="31.8515625" style="0" customWidth="1"/>
    <col min="27" max="27" width="20.140625" style="0" customWidth="1"/>
    <col min="28" max="28" width="17.421875" style="0" customWidth="1"/>
    <col min="29" max="29" width="21.140625" style="0" customWidth="1"/>
    <col min="30" max="30" width="18.8515625" style="0" customWidth="1"/>
    <col min="31" max="31" width="18.7109375" style="0" bestFit="1" customWidth="1"/>
    <col min="32" max="32" width="20.140625" style="0" bestFit="1" customWidth="1"/>
  </cols>
  <sheetData>
    <row r="7" spans="3:9" ht="45" customHeight="1">
      <c r="C7" s="66" t="s">
        <v>49</v>
      </c>
      <c r="D7" s="66" t="s">
        <v>46</v>
      </c>
      <c r="E7" s="66" t="s">
        <v>47</v>
      </c>
      <c r="F7" s="66" t="s">
        <v>48</v>
      </c>
      <c r="G7" s="67" t="s">
        <v>53</v>
      </c>
      <c r="H7" s="66" t="s">
        <v>51</v>
      </c>
      <c r="I7" s="66" t="s">
        <v>52</v>
      </c>
    </row>
    <row r="8" spans="2:13" ht="12.75">
      <c r="B8">
        <v>1</v>
      </c>
      <c r="C8" s="41">
        <v>300</v>
      </c>
      <c r="D8" s="31" t="s">
        <v>29</v>
      </c>
      <c r="E8" s="40" t="s">
        <v>5</v>
      </c>
      <c r="F8" s="40">
        <v>3.35</v>
      </c>
      <c r="G8" s="68">
        <f>F8*0.9</f>
        <v>3.015</v>
      </c>
      <c r="H8" s="40">
        <f>L8*1.4</f>
        <v>8.554</v>
      </c>
      <c r="I8" s="40"/>
      <c r="J8" s="40"/>
      <c r="L8">
        <v>6.11</v>
      </c>
      <c r="M8">
        <f>1.4*L8</f>
        <v>8.554</v>
      </c>
    </row>
    <row r="9" spans="2:13" ht="12.75">
      <c r="B9">
        <f>B8+1</f>
        <v>2</v>
      </c>
      <c r="C9" s="41">
        <v>300</v>
      </c>
      <c r="D9" s="31" t="s">
        <v>35</v>
      </c>
      <c r="E9" s="40" t="s">
        <v>29</v>
      </c>
      <c r="F9" s="40">
        <v>17.71</v>
      </c>
      <c r="G9" s="68">
        <f aca="true" t="shared" si="0" ref="G9:G23">F9*0.9</f>
        <v>15.939000000000002</v>
      </c>
      <c r="H9" s="40">
        <f aca="true" t="shared" si="1" ref="H9:H23">L9*1.4</f>
        <v>18.927999999999997</v>
      </c>
      <c r="I9" s="40"/>
      <c r="J9" s="40"/>
      <c r="L9">
        <v>13.52</v>
      </c>
      <c r="M9">
        <f aca="true" t="shared" si="2" ref="M9:M23">1.4*L9</f>
        <v>18.927999999999997</v>
      </c>
    </row>
    <row r="10" spans="2:13" ht="12.75">
      <c r="B10">
        <f aca="true" t="shared" si="3" ref="B10:B23">B9+1</f>
        <v>3</v>
      </c>
      <c r="C10" s="41">
        <v>300</v>
      </c>
      <c r="D10" s="31" t="s">
        <v>40</v>
      </c>
      <c r="E10" s="40" t="s">
        <v>29</v>
      </c>
      <c r="F10" s="40">
        <v>16.38</v>
      </c>
      <c r="G10" s="68">
        <f t="shared" si="0"/>
        <v>14.741999999999999</v>
      </c>
      <c r="H10" s="40">
        <f t="shared" si="1"/>
        <v>14.35</v>
      </c>
      <c r="I10" s="40"/>
      <c r="J10" s="40"/>
      <c r="L10">
        <v>10.25</v>
      </c>
      <c r="M10">
        <f t="shared" si="2"/>
        <v>14.35</v>
      </c>
    </row>
    <row r="11" spans="2:13" ht="12.75">
      <c r="B11">
        <f t="shared" si="3"/>
        <v>4</v>
      </c>
      <c r="C11" s="41">
        <v>300</v>
      </c>
      <c r="D11" s="31" t="s">
        <v>40</v>
      </c>
      <c r="E11" s="40" t="s">
        <v>29</v>
      </c>
      <c r="F11" s="40">
        <v>15.21</v>
      </c>
      <c r="G11" s="68">
        <f t="shared" si="0"/>
        <v>13.689000000000002</v>
      </c>
      <c r="H11" s="40">
        <f t="shared" si="1"/>
        <v>14.35</v>
      </c>
      <c r="I11" s="40"/>
      <c r="J11" s="40"/>
      <c r="L11">
        <v>10.25</v>
      </c>
      <c r="M11">
        <f t="shared" si="2"/>
        <v>14.35</v>
      </c>
    </row>
    <row r="12" spans="2:13" ht="12.75">
      <c r="B12">
        <f t="shared" si="3"/>
        <v>5</v>
      </c>
      <c r="C12" s="41">
        <v>300</v>
      </c>
      <c r="D12" s="31" t="s">
        <v>41</v>
      </c>
      <c r="E12" s="40" t="s">
        <v>29</v>
      </c>
      <c r="F12" s="40">
        <v>32.33</v>
      </c>
      <c r="G12" s="68">
        <f t="shared" si="0"/>
        <v>29.096999999999998</v>
      </c>
      <c r="H12" s="40">
        <f t="shared" si="1"/>
        <v>21.363999999999997</v>
      </c>
      <c r="I12" s="40"/>
      <c r="J12" s="40"/>
      <c r="L12">
        <v>15.26</v>
      </c>
      <c r="M12">
        <f t="shared" si="2"/>
        <v>21.363999999999997</v>
      </c>
    </row>
    <row r="13" spans="2:13" ht="12.75">
      <c r="B13">
        <f t="shared" si="3"/>
        <v>6</v>
      </c>
      <c r="C13" s="41">
        <v>300</v>
      </c>
      <c r="D13" s="31" t="s">
        <v>29</v>
      </c>
      <c r="E13" s="40" t="s">
        <v>5</v>
      </c>
      <c r="F13" s="40">
        <v>13.9</v>
      </c>
      <c r="G13" s="68">
        <f t="shared" si="0"/>
        <v>12.51</v>
      </c>
      <c r="H13" s="40">
        <f t="shared" si="1"/>
        <v>8.554</v>
      </c>
      <c r="I13" s="40"/>
      <c r="J13" s="40"/>
      <c r="L13">
        <v>6.11</v>
      </c>
      <c r="M13">
        <f t="shared" si="2"/>
        <v>8.554</v>
      </c>
    </row>
    <row r="14" spans="2:13" ht="12.75">
      <c r="B14">
        <f t="shared" si="3"/>
        <v>7</v>
      </c>
      <c r="C14" s="41">
        <v>300</v>
      </c>
      <c r="D14" s="31" t="s">
        <v>43</v>
      </c>
      <c r="E14" s="40" t="s">
        <v>29</v>
      </c>
      <c r="F14" s="40">
        <v>26.84</v>
      </c>
      <c r="G14" s="68">
        <f t="shared" si="0"/>
        <v>24.156</v>
      </c>
      <c r="H14" s="40">
        <f t="shared" si="1"/>
        <v>16.618</v>
      </c>
      <c r="I14" s="40"/>
      <c r="J14" s="40"/>
      <c r="L14">
        <v>11.87</v>
      </c>
      <c r="M14">
        <f t="shared" si="2"/>
        <v>16.618</v>
      </c>
    </row>
    <row r="15" spans="2:13" ht="12.75">
      <c r="B15">
        <f t="shared" si="3"/>
        <v>8</v>
      </c>
      <c r="C15" s="41">
        <v>300</v>
      </c>
      <c r="D15" s="31" t="s">
        <v>40</v>
      </c>
      <c r="E15" s="40" t="s">
        <v>29</v>
      </c>
      <c r="F15" s="40">
        <v>9.78</v>
      </c>
      <c r="G15" s="68">
        <f t="shared" si="0"/>
        <v>8.802</v>
      </c>
      <c r="H15" s="40">
        <f t="shared" si="1"/>
        <v>14.35</v>
      </c>
      <c r="I15" s="40"/>
      <c r="J15" s="40"/>
      <c r="L15">
        <v>10.25</v>
      </c>
      <c r="M15">
        <f t="shared" si="2"/>
        <v>14.35</v>
      </c>
    </row>
    <row r="16" spans="2:13" ht="12.75">
      <c r="B16">
        <f t="shared" si="3"/>
        <v>9</v>
      </c>
      <c r="C16" s="41">
        <v>300</v>
      </c>
      <c r="D16" s="31" t="s">
        <v>40</v>
      </c>
      <c r="E16" s="40" t="s">
        <v>29</v>
      </c>
      <c r="F16" s="40">
        <v>0.89</v>
      </c>
      <c r="G16" s="68">
        <f t="shared" si="0"/>
        <v>0.801</v>
      </c>
      <c r="H16" s="40">
        <f t="shared" si="1"/>
        <v>14.35</v>
      </c>
      <c r="I16" s="40"/>
      <c r="J16" s="40"/>
      <c r="L16">
        <v>10.25</v>
      </c>
      <c r="M16">
        <f t="shared" si="2"/>
        <v>14.35</v>
      </c>
    </row>
    <row r="17" spans="2:13" ht="12.75">
      <c r="B17">
        <f t="shared" si="3"/>
        <v>10</v>
      </c>
      <c r="C17" s="41">
        <v>300</v>
      </c>
      <c r="D17" s="31" t="s">
        <v>35</v>
      </c>
      <c r="E17" s="40" t="s">
        <v>29</v>
      </c>
      <c r="F17" s="40">
        <v>9.6</v>
      </c>
      <c r="G17" s="68">
        <f t="shared" si="0"/>
        <v>8.64</v>
      </c>
      <c r="H17" s="40">
        <f t="shared" si="1"/>
        <v>18.927999999999997</v>
      </c>
      <c r="I17" s="40"/>
      <c r="J17" s="40"/>
      <c r="L17">
        <v>13.52</v>
      </c>
      <c r="M17">
        <f t="shared" si="2"/>
        <v>18.927999999999997</v>
      </c>
    </row>
    <row r="18" spans="2:13" ht="12.75">
      <c r="B18">
        <f t="shared" si="3"/>
        <v>11</v>
      </c>
      <c r="C18" s="41">
        <v>20</v>
      </c>
      <c r="D18" s="31" t="s">
        <v>40</v>
      </c>
      <c r="E18" s="40" t="s">
        <v>1</v>
      </c>
      <c r="F18" s="40">
        <v>22.46</v>
      </c>
      <c r="G18" s="68">
        <f t="shared" si="0"/>
        <v>20.214000000000002</v>
      </c>
      <c r="H18" s="40">
        <f t="shared" si="1"/>
        <v>7.013999999999999</v>
      </c>
      <c r="I18" s="40"/>
      <c r="J18" s="40"/>
      <c r="L18">
        <v>5.01</v>
      </c>
      <c r="M18">
        <f t="shared" si="2"/>
        <v>7.013999999999999</v>
      </c>
    </row>
    <row r="19" spans="2:13" ht="12.75">
      <c r="B19">
        <f t="shared" si="3"/>
        <v>12</v>
      </c>
      <c r="C19" s="41">
        <v>20</v>
      </c>
      <c r="D19" s="31" t="s">
        <v>40</v>
      </c>
      <c r="E19" s="40" t="s">
        <v>1</v>
      </c>
      <c r="F19" s="40">
        <v>5.53</v>
      </c>
      <c r="G19" s="68">
        <f t="shared" si="0"/>
        <v>4.977</v>
      </c>
      <c r="H19" s="40">
        <f t="shared" si="1"/>
        <v>7.013999999999999</v>
      </c>
      <c r="I19" s="40"/>
      <c r="J19" s="40"/>
      <c r="L19">
        <v>5.01</v>
      </c>
      <c r="M19">
        <f t="shared" si="2"/>
        <v>7.013999999999999</v>
      </c>
    </row>
    <row r="20" spans="2:13" ht="12.75">
      <c r="B20">
        <f t="shared" si="3"/>
        <v>13</v>
      </c>
      <c r="C20" s="41">
        <v>20</v>
      </c>
      <c r="D20" s="31" t="s">
        <v>41</v>
      </c>
      <c r="E20" s="40" t="s">
        <v>1</v>
      </c>
      <c r="F20" s="40">
        <v>6.25</v>
      </c>
      <c r="G20" s="68">
        <f t="shared" si="0"/>
        <v>5.625</v>
      </c>
      <c r="H20" s="40">
        <f t="shared" si="1"/>
        <v>11.508000000000001</v>
      </c>
      <c r="I20" s="40"/>
      <c r="J20" s="40"/>
      <c r="L20">
        <v>8.22</v>
      </c>
      <c r="M20">
        <f t="shared" si="2"/>
        <v>11.508000000000001</v>
      </c>
    </row>
    <row r="21" spans="2:13" ht="12.75">
      <c r="B21">
        <f t="shared" si="3"/>
        <v>14</v>
      </c>
      <c r="C21" s="41">
        <v>20</v>
      </c>
      <c r="D21" s="69" t="s">
        <v>44</v>
      </c>
      <c r="E21" s="40" t="s">
        <v>1</v>
      </c>
      <c r="F21" s="40">
        <v>33.31</v>
      </c>
      <c r="G21" s="68">
        <f t="shared" si="0"/>
        <v>29.979000000000003</v>
      </c>
      <c r="H21" s="40">
        <f t="shared" si="1"/>
        <v>30.729999999999997</v>
      </c>
      <c r="I21" s="40"/>
      <c r="J21" s="40"/>
      <c r="L21">
        <v>21.95</v>
      </c>
      <c r="M21">
        <f t="shared" si="2"/>
        <v>30.729999999999997</v>
      </c>
    </row>
    <row r="22" spans="2:13" ht="12.75">
      <c r="B22">
        <f t="shared" si="3"/>
        <v>15</v>
      </c>
      <c r="C22" s="41">
        <v>20</v>
      </c>
      <c r="D22" s="31" t="s">
        <v>50</v>
      </c>
      <c r="E22" s="40" t="s">
        <v>1</v>
      </c>
      <c r="F22" s="40">
        <v>21.77</v>
      </c>
      <c r="G22" s="68">
        <f t="shared" si="0"/>
        <v>19.593</v>
      </c>
      <c r="H22" s="40">
        <f t="shared" si="1"/>
        <v>16.744</v>
      </c>
      <c r="I22" s="40"/>
      <c r="J22" s="40"/>
      <c r="L22">
        <v>11.96</v>
      </c>
      <c r="M22">
        <f t="shared" si="2"/>
        <v>16.744</v>
      </c>
    </row>
    <row r="23" spans="2:13" ht="12.75">
      <c r="B23">
        <f t="shared" si="3"/>
        <v>16</v>
      </c>
      <c r="C23" s="41">
        <v>20</v>
      </c>
      <c r="D23" s="31" t="s">
        <v>35</v>
      </c>
      <c r="E23" s="40" t="s">
        <v>1</v>
      </c>
      <c r="F23" s="40">
        <v>12.63</v>
      </c>
      <c r="G23" s="68">
        <f t="shared" si="0"/>
        <v>11.367</v>
      </c>
      <c r="H23" s="40">
        <f t="shared" si="1"/>
        <v>10.052</v>
      </c>
      <c r="I23" s="40"/>
      <c r="J23" s="40"/>
      <c r="L23">
        <v>7.18</v>
      </c>
      <c r="M23">
        <f t="shared" si="2"/>
        <v>10.052</v>
      </c>
    </row>
    <row r="24" spans="3:10" ht="12.75">
      <c r="C24" s="40"/>
      <c r="D24" s="40"/>
      <c r="E24" s="40"/>
      <c r="F24" s="40"/>
      <c r="G24" s="40"/>
      <c r="H24" s="40"/>
      <c r="I24" s="40"/>
      <c r="J24" s="40"/>
    </row>
    <row r="25" spans="3:10" ht="12.75">
      <c r="C25" s="40"/>
      <c r="D25" s="40"/>
      <c r="E25" s="40"/>
      <c r="F25" s="40"/>
      <c r="G25" s="40"/>
      <c r="H25" s="40"/>
      <c r="I25" s="40"/>
      <c r="J25" s="40"/>
    </row>
    <row r="26" spans="4:9" ht="12.75">
      <c r="D26" s="19"/>
      <c r="E26" s="19"/>
      <c r="F26" s="19"/>
      <c r="G26" s="19"/>
      <c r="H26" s="19"/>
      <c r="I26" s="19"/>
    </row>
    <row r="27" spans="3:29" ht="12.75">
      <c r="C27" s="70" t="s">
        <v>57</v>
      </c>
      <c r="D27" s="19"/>
      <c r="E27" s="19"/>
      <c r="F27" s="19"/>
      <c r="G27" s="19"/>
      <c r="H27" s="19"/>
      <c r="I27" s="19"/>
      <c r="U27" s="70" t="s">
        <v>57</v>
      </c>
      <c r="V27" s="70"/>
      <c r="W27" s="19"/>
      <c r="X27" s="19"/>
      <c r="Y27" s="19"/>
      <c r="Z27" s="19"/>
      <c r="AA27" s="19"/>
      <c r="AC27" s="19"/>
    </row>
    <row r="28" spans="3:29" ht="24.75" customHeight="1" thickBot="1">
      <c r="C28" s="70" t="s">
        <v>54</v>
      </c>
      <c r="D28" s="19"/>
      <c r="E28" s="66" t="s">
        <v>55</v>
      </c>
      <c r="F28" s="253" t="s">
        <v>56</v>
      </c>
      <c r="G28" s="253"/>
      <c r="H28" s="19"/>
      <c r="I28" s="19"/>
      <c r="K28" t="s">
        <v>97</v>
      </c>
      <c r="U28" s="70" t="s">
        <v>54</v>
      </c>
      <c r="V28" s="66" t="s">
        <v>55</v>
      </c>
      <c r="W28" s="254" t="s">
        <v>56</v>
      </c>
      <c r="X28" s="254"/>
      <c r="Z28" s="66"/>
      <c r="AA28" s="19"/>
      <c r="AC28" s="19"/>
    </row>
    <row r="29" spans="3:32" ht="69.75" customHeight="1" thickBot="1">
      <c r="C29" s="82" t="s">
        <v>49</v>
      </c>
      <c r="D29" s="83" t="s">
        <v>46</v>
      </c>
      <c r="E29" s="83" t="s">
        <v>47</v>
      </c>
      <c r="F29" s="83" t="s">
        <v>48</v>
      </c>
      <c r="G29" s="83" t="s">
        <v>53</v>
      </c>
      <c r="H29" s="83" t="s">
        <v>58</v>
      </c>
      <c r="I29" s="83" t="s">
        <v>59</v>
      </c>
      <c r="J29" s="84"/>
      <c r="K29" s="90" t="s">
        <v>60</v>
      </c>
      <c r="N29" s="184" t="s">
        <v>96</v>
      </c>
      <c r="O29" t="s">
        <v>95</v>
      </c>
      <c r="P29" s="184" t="s">
        <v>94</v>
      </c>
      <c r="Q29" s="186">
        <v>0.1</v>
      </c>
      <c r="R29" s="184" t="s">
        <v>98</v>
      </c>
      <c r="S29" s="184" t="s">
        <v>99</v>
      </c>
      <c r="T29" s="184" t="s">
        <v>100</v>
      </c>
      <c r="U29" s="93" t="s">
        <v>7</v>
      </c>
      <c r="V29" s="94" t="s">
        <v>49</v>
      </c>
      <c r="W29" s="94" t="s">
        <v>61</v>
      </c>
      <c r="X29" s="95" t="s">
        <v>46</v>
      </c>
      <c r="Y29" s="95" t="s">
        <v>47</v>
      </c>
      <c r="Z29" s="95" t="s">
        <v>65</v>
      </c>
      <c r="AA29" s="95" t="s">
        <v>69</v>
      </c>
      <c r="AB29" s="129" t="s">
        <v>67</v>
      </c>
      <c r="AC29" s="95" t="s">
        <v>66</v>
      </c>
      <c r="AD29" s="95" t="s">
        <v>68</v>
      </c>
      <c r="AE29" s="95" t="s">
        <v>70</v>
      </c>
      <c r="AF29" s="96" t="s">
        <v>62</v>
      </c>
    </row>
    <row r="30" spans="3:32" ht="30" customHeight="1">
      <c r="C30" s="77">
        <v>300</v>
      </c>
      <c r="D30" s="78" t="s">
        <v>29</v>
      </c>
      <c r="E30" s="79" t="s">
        <v>5</v>
      </c>
      <c r="F30" s="80">
        <v>3.35</v>
      </c>
      <c r="G30" s="85">
        <f>F30*0.9</f>
        <v>3.015</v>
      </c>
      <c r="H30" s="86">
        <f>S30+R30</f>
        <v>11.3904</v>
      </c>
      <c r="I30" s="89">
        <f>(H30/G30)*12</f>
        <v>45.334925373134325</v>
      </c>
      <c r="J30" s="81"/>
      <c r="K30" s="91">
        <v>12.56</v>
      </c>
      <c r="N30" s="185">
        <f>P30/O30</f>
        <v>1.8494271685761048</v>
      </c>
      <c r="O30" s="80">
        <v>6.11</v>
      </c>
      <c r="P30">
        <v>11.3</v>
      </c>
      <c r="Q30">
        <f>P30*0.1</f>
        <v>1.1300000000000001</v>
      </c>
      <c r="R30">
        <f>P30-Q30</f>
        <v>10.17</v>
      </c>
      <c r="S30">
        <f>R30*0.12</f>
        <v>1.2204</v>
      </c>
      <c r="T30">
        <f>R30+S30</f>
        <v>11.3904</v>
      </c>
      <c r="U30" s="97" t="s">
        <v>9</v>
      </c>
      <c r="V30" s="98">
        <v>300</v>
      </c>
      <c r="W30" s="99">
        <v>100</v>
      </c>
      <c r="X30" s="100" t="s">
        <v>29</v>
      </c>
      <c r="Y30" s="101" t="s">
        <v>5</v>
      </c>
      <c r="Z30" s="102">
        <v>3120.63</v>
      </c>
      <c r="AA30" s="103">
        <f>Z30*0.9</f>
        <v>2808.567</v>
      </c>
      <c r="AB30" s="130">
        <f>AF30*H30</f>
        <v>1265.6</v>
      </c>
      <c r="AC30" s="101">
        <f>(AB30/AA30)*12</f>
        <v>5.407455118571143</v>
      </c>
      <c r="AD30" s="104">
        <f>AB30/AA30</f>
        <v>0.45062125988092855</v>
      </c>
      <c r="AE30" s="105">
        <v>12.56</v>
      </c>
      <c r="AF30" s="106">
        <f>W30/0.9</f>
        <v>111.11111111111111</v>
      </c>
    </row>
    <row r="31" spans="3:32" ht="30" customHeight="1">
      <c r="C31" s="72">
        <v>300</v>
      </c>
      <c r="D31" s="38" t="s">
        <v>35</v>
      </c>
      <c r="E31" s="23" t="s">
        <v>29</v>
      </c>
      <c r="F31" s="71">
        <v>17.71</v>
      </c>
      <c r="G31" s="87">
        <f aca="true" t="shared" si="4" ref="G31:G45">F31*0.9</f>
        <v>15.939000000000002</v>
      </c>
      <c r="H31" s="86">
        <f aca="true" t="shared" si="5" ref="H31:H45">S31+R31</f>
        <v>25.21008</v>
      </c>
      <c r="I31" s="89">
        <f aca="true" t="shared" si="6" ref="I31:I45">(H31/G31)*12</f>
        <v>18.9799209486166</v>
      </c>
      <c r="J31" s="73"/>
      <c r="K31" s="91">
        <v>31.41</v>
      </c>
      <c r="N31" s="185">
        <f aca="true" t="shared" si="7" ref="N31:N45">P31/O31</f>
        <v>1.8498520710059174</v>
      </c>
      <c r="O31" s="71">
        <v>13.52</v>
      </c>
      <c r="P31">
        <v>25.01</v>
      </c>
      <c r="Q31">
        <f aca="true" t="shared" si="8" ref="Q31:Q45">P31*0.1</f>
        <v>2.5010000000000003</v>
      </c>
      <c r="R31">
        <f aca="true" t="shared" si="9" ref="R31:R44">P31-Q31</f>
        <v>22.509</v>
      </c>
      <c r="S31">
        <f aca="true" t="shared" si="10" ref="S31:S45">R31*0.12</f>
        <v>2.70108</v>
      </c>
      <c r="T31">
        <f aca="true" t="shared" si="11" ref="T31:T45">R31+S31</f>
        <v>25.21008</v>
      </c>
      <c r="U31" s="107" t="s">
        <v>11</v>
      </c>
      <c r="V31" s="108">
        <v>300</v>
      </c>
      <c r="W31" s="109">
        <v>5</v>
      </c>
      <c r="X31" s="110" t="s">
        <v>35</v>
      </c>
      <c r="Y31" s="111" t="s">
        <v>29</v>
      </c>
      <c r="Z31" s="112">
        <v>824.98</v>
      </c>
      <c r="AA31" s="113">
        <f aca="true" t="shared" si="12" ref="AA31:AA45">Z31*0.9</f>
        <v>742.4820000000001</v>
      </c>
      <c r="AB31" s="113">
        <f aca="true" t="shared" si="13" ref="AB31:AB45">AF31*H31</f>
        <v>140.056</v>
      </c>
      <c r="AC31" s="101">
        <f aca="true" t="shared" si="14" ref="AC31:AC45">(AB31/AA31)*12</f>
        <v>2.2635861879479906</v>
      </c>
      <c r="AD31" s="104">
        <f aca="true" t="shared" si="15" ref="AD31:AD45">AB31/AA31</f>
        <v>0.18863218232899923</v>
      </c>
      <c r="AE31" s="114">
        <v>31.41</v>
      </c>
      <c r="AF31" s="115">
        <f aca="true" t="shared" si="16" ref="AF31:AF45">W31/0.9</f>
        <v>5.555555555555555</v>
      </c>
    </row>
    <row r="32" spans="3:32" ht="30" customHeight="1">
      <c r="C32" s="72">
        <v>300</v>
      </c>
      <c r="D32" s="38" t="s">
        <v>40</v>
      </c>
      <c r="E32" s="23" t="s">
        <v>29</v>
      </c>
      <c r="F32" s="71">
        <v>16.38</v>
      </c>
      <c r="G32" s="87">
        <f t="shared" si="4"/>
        <v>14.741999999999999</v>
      </c>
      <c r="H32" s="86">
        <f t="shared" si="5"/>
        <v>19.11168</v>
      </c>
      <c r="I32" s="89">
        <f t="shared" si="6"/>
        <v>15.556923076923077</v>
      </c>
      <c r="J32" s="73"/>
      <c r="K32" s="91">
        <v>18.84</v>
      </c>
      <c r="N32" s="185">
        <f t="shared" si="7"/>
        <v>1.8497560975609757</v>
      </c>
      <c r="O32" s="71">
        <v>10.25</v>
      </c>
      <c r="P32">
        <v>18.96</v>
      </c>
      <c r="Q32">
        <f t="shared" si="8"/>
        <v>1.8960000000000001</v>
      </c>
      <c r="R32">
        <f t="shared" si="9"/>
        <v>17.064</v>
      </c>
      <c r="S32">
        <f t="shared" si="10"/>
        <v>2.0476799999999997</v>
      </c>
      <c r="T32">
        <f t="shared" si="11"/>
        <v>19.11168</v>
      </c>
      <c r="U32" s="107" t="s">
        <v>14</v>
      </c>
      <c r="V32" s="108">
        <v>300</v>
      </c>
      <c r="W32" s="109">
        <v>3</v>
      </c>
      <c r="X32" s="110" t="s">
        <v>40</v>
      </c>
      <c r="Y32" s="111" t="s">
        <v>29</v>
      </c>
      <c r="Z32" s="112">
        <v>457.79</v>
      </c>
      <c r="AA32" s="113">
        <f t="shared" si="12"/>
        <v>412.011</v>
      </c>
      <c r="AB32" s="113">
        <f t="shared" si="13"/>
        <v>63.7056</v>
      </c>
      <c r="AC32" s="101">
        <f t="shared" si="14"/>
        <v>1.855453373817689</v>
      </c>
      <c r="AD32" s="104">
        <f t="shared" si="15"/>
        <v>0.15462111448480742</v>
      </c>
      <c r="AE32" s="114">
        <v>18.84</v>
      </c>
      <c r="AF32" s="115">
        <f t="shared" si="16"/>
        <v>3.333333333333333</v>
      </c>
    </row>
    <row r="33" spans="3:32" ht="30" customHeight="1">
      <c r="C33" s="72">
        <v>300</v>
      </c>
      <c r="D33" s="38" t="s">
        <v>40</v>
      </c>
      <c r="E33" s="23" t="s">
        <v>29</v>
      </c>
      <c r="F33" s="71">
        <v>15.21</v>
      </c>
      <c r="G33" s="87">
        <f t="shared" si="4"/>
        <v>13.689000000000002</v>
      </c>
      <c r="H33" s="86">
        <f t="shared" si="5"/>
        <v>19.11168</v>
      </c>
      <c r="I33" s="89">
        <f t="shared" si="6"/>
        <v>16.753609467455618</v>
      </c>
      <c r="J33" s="73"/>
      <c r="K33" s="91">
        <v>18.84</v>
      </c>
      <c r="N33" s="185">
        <f t="shared" si="7"/>
        <v>1.8497560975609757</v>
      </c>
      <c r="O33" s="71">
        <v>10.25</v>
      </c>
      <c r="P33">
        <v>18.96</v>
      </c>
      <c r="Q33">
        <f t="shared" si="8"/>
        <v>1.8960000000000001</v>
      </c>
      <c r="R33">
        <f t="shared" si="9"/>
        <v>17.064</v>
      </c>
      <c r="S33">
        <f t="shared" si="10"/>
        <v>2.0476799999999997</v>
      </c>
      <c r="T33">
        <f t="shared" si="11"/>
        <v>19.11168</v>
      </c>
      <c r="U33" s="107" t="s">
        <v>15</v>
      </c>
      <c r="V33" s="108">
        <v>300</v>
      </c>
      <c r="W33" s="109">
        <v>3</v>
      </c>
      <c r="X33" s="110" t="s">
        <v>40</v>
      </c>
      <c r="Y33" s="111" t="s">
        <v>29</v>
      </c>
      <c r="Z33" s="112">
        <v>425.12</v>
      </c>
      <c r="AA33" s="113">
        <f t="shared" si="12"/>
        <v>382.608</v>
      </c>
      <c r="AB33" s="113">
        <f t="shared" si="13"/>
        <v>63.7056</v>
      </c>
      <c r="AC33" s="101">
        <f t="shared" si="14"/>
        <v>1.9980429055325553</v>
      </c>
      <c r="AD33" s="104">
        <f t="shared" si="15"/>
        <v>0.16650357546104627</v>
      </c>
      <c r="AE33" s="114">
        <v>18.84</v>
      </c>
      <c r="AF33" s="115">
        <f t="shared" si="16"/>
        <v>3.333333333333333</v>
      </c>
    </row>
    <row r="34" spans="3:32" ht="30" customHeight="1">
      <c r="C34" s="72">
        <v>300</v>
      </c>
      <c r="D34" s="38" t="s">
        <v>41</v>
      </c>
      <c r="E34" s="23" t="s">
        <v>29</v>
      </c>
      <c r="F34" s="71">
        <v>32.33</v>
      </c>
      <c r="G34" s="87">
        <f t="shared" si="4"/>
        <v>29.096999999999998</v>
      </c>
      <c r="H34" s="86">
        <f t="shared" si="5"/>
        <v>28.45584</v>
      </c>
      <c r="I34" s="89">
        <f t="shared" si="6"/>
        <v>11.735576863594185</v>
      </c>
      <c r="J34" s="73"/>
      <c r="K34" s="91">
        <v>37.69</v>
      </c>
      <c r="N34" s="185">
        <f t="shared" si="7"/>
        <v>1.8499344692005244</v>
      </c>
      <c r="O34" s="71">
        <v>15.26</v>
      </c>
      <c r="P34">
        <v>28.23</v>
      </c>
      <c r="Q34">
        <f t="shared" si="8"/>
        <v>2.8230000000000004</v>
      </c>
      <c r="R34">
        <f t="shared" si="9"/>
        <v>25.407</v>
      </c>
      <c r="S34">
        <f t="shared" si="10"/>
        <v>3.0488399999999998</v>
      </c>
      <c r="T34">
        <f t="shared" si="11"/>
        <v>28.45584</v>
      </c>
      <c r="U34" s="107" t="s">
        <v>17</v>
      </c>
      <c r="V34" s="108">
        <v>300</v>
      </c>
      <c r="W34" s="109">
        <v>6</v>
      </c>
      <c r="X34" s="110" t="s">
        <v>41</v>
      </c>
      <c r="Y34" s="111" t="s">
        <v>29</v>
      </c>
      <c r="Z34" s="112">
        <v>1807.05</v>
      </c>
      <c r="AA34" s="113">
        <f t="shared" si="12"/>
        <v>1626.345</v>
      </c>
      <c r="AB34" s="113">
        <f t="shared" si="13"/>
        <v>189.70559999999998</v>
      </c>
      <c r="AC34" s="101">
        <f t="shared" si="14"/>
        <v>1.3997443346891338</v>
      </c>
      <c r="AD34" s="104">
        <f t="shared" si="15"/>
        <v>0.1166453612240945</v>
      </c>
      <c r="AE34" s="114">
        <v>37.69</v>
      </c>
      <c r="AF34" s="115">
        <f t="shared" si="16"/>
        <v>6.666666666666666</v>
      </c>
    </row>
    <row r="35" spans="3:32" ht="30" customHeight="1">
      <c r="C35" s="72">
        <v>300</v>
      </c>
      <c r="D35" s="38" t="s">
        <v>29</v>
      </c>
      <c r="E35" s="23" t="s">
        <v>5</v>
      </c>
      <c r="F35" s="71">
        <v>13.9</v>
      </c>
      <c r="G35" s="87">
        <f t="shared" si="4"/>
        <v>12.51</v>
      </c>
      <c r="H35" s="86">
        <f t="shared" si="5"/>
        <v>11.3904</v>
      </c>
      <c r="I35" s="89">
        <f t="shared" si="6"/>
        <v>10.926043165467625</v>
      </c>
      <c r="J35" s="73"/>
      <c r="K35" s="91">
        <v>12.56</v>
      </c>
      <c r="N35" s="185">
        <f t="shared" si="7"/>
        <v>1.8494271685761048</v>
      </c>
      <c r="O35" s="71">
        <v>6.11</v>
      </c>
      <c r="P35">
        <v>11.3</v>
      </c>
      <c r="Q35">
        <f t="shared" si="8"/>
        <v>1.1300000000000001</v>
      </c>
      <c r="R35">
        <f t="shared" si="9"/>
        <v>10.17</v>
      </c>
      <c r="S35">
        <f t="shared" si="10"/>
        <v>1.2204</v>
      </c>
      <c r="T35">
        <f t="shared" si="11"/>
        <v>11.3904</v>
      </c>
      <c r="U35" s="107" t="s">
        <v>18</v>
      </c>
      <c r="V35" s="108">
        <v>300</v>
      </c>
      <c r="W35" s="109">
        <v>10</v>
      </c>
      <c r="X35" s="110" t="s">
        <v>29</v>
      </c>
      <c r="Y35" s="111" t="s">
        <v>5</v>
      </c>
      <c r="Z35" s="112">
        <v>1294.8</v>
      </c>
      <c r="AA35" s="113">
        <f t="shared" si="12"/>
        <v>1165.32</v>
      </c>
      <c r="AB35" s="113">
        <f t="shared" si="13"/>
        <v>126.55999999999999</v>
      </c>
      <c r="AC35" s="101">
        <f t="shared" si="14"/>
        <v>1.3032643394089176</v>
      </c>
      <c r="AD35" s="104">
        <f t="shared" si="15"/>
        <v>0.1086053616174098</v>
      </c>
      <c r="AE35" s="114">
        <v>12.56</v>
      </c>
      <c r="AF35" s="115">
        <f t="shared" si="16"/>
        <v>11.11111111111111</v>
      </c>
    </row>
    <row r="36" spans="3:32" ht="30" customHeight="1">
      <c r="C36" s="72">
        <v>300</v>
      </c>
      <c r="D36" s="38" t="s">
        <v>43</v>
      </c>
      <c r="E36" s="23" t="s">
        <v>29</v>
      </c>
      <c r="F36" s="71">
        <v>26.84</v>
      </c>
      <c r="G36" s="87">
        <f t="shared" si="4"/>
        <v>24.156</v>
      </c>
      <c r="H36" s="86">
        <f t="shared" si="5"/>
        <v>22.13568</v>
      </c>
      <c r="I36" s="89">
        <f t="shared" si="6"/>
        <v>10.996363636363638</v>
      </c>
      <c r="J36" s="73"/>
      <c r="K36" s="91">
        <v>25.13</v>
      </c>
      <c r="N36" s="185">
        <f t="shared" si="7"/>
        <v>1.8500421229991577</v>
      </c>
      <c r="O36" s="71">
        <v>11.87</v>
      </c>
      <c r="P36">
        <v>21.96</v>
      </c>
      <c r="Q36">
        <f t="shared" si="8"/>
        <v>2.196</v>
      </c>
      <c r="R36">
        <f t="shared" si="9"/>
        <v>19.764</v>
      </c>
      <c r="S36">
        <f t="shared" si="10"/>
        <v>2.37168</v>
      </c>
      <c r="T36">
        <f t="shared" si="11"/>
        <v>22.13568</v>
      </c>
      <c r="U36" s="107" t="s">
        <v>19</v>
      </c>
      <c r="V36" s="108">
        <v>300</v>
      </c>
      <c r="W36" s="109">
        <v>20</v>
      </c>
      <c r="X36" s="110" t="s">
        <v>43</v>
      </c>
      <c r="Y36" s="111" t="s">
        <v>29</v>
      </c>
      <c r="Z36" s="112">
        <v>5000.35</v>
      </c>
      <c r="AA36" s="113">
        <f t="shared" si="12"/>
        <v>4500.3150000000005</v>
      </c>
      <c r="AB36" s="113">
        <f t="shared" si="13"/>
        <v>491.904</v>
      </c>
      <c r="AC36" s="101">
        <f t="shared" si="14"/>
        <v>1.3116521843470954</v>
      </c>
      <c r="AD36" s="104">
        <f t="shared" si="15"/>
        <v>0.10930434869559129</v>
      </c>
      <c r="AE36" s="114">
        <v>25.13</v>
      </c>
      <c r="AF36" s="115">
        <f t="shared" si="16"/>
        <v>22.22222222222222</v>
      </c>
    </row>
    <row r="37" spans="3:32" ht="30" customHeight="1">
      <c r="C37" s="72">
        <v>300</v>
      </c>
      <c r="D37" s="38" t="s">
        <v>40</v>
      </c>
      <c r="E37" s="23" t="s">
        <v>29</v>
      </c>
      <c r="F37" s="71">
        <v>9.78</v>
      </c>
      <c r="G37" s="87">
        <f t="shared" si="4"/>
        <v>8.802</v>
      </c>
      <c r="H37" s="86">
        <f t="shared" si="5"/>
        <v>19.11168</v>
      </c>
      <c r="I37" s="89">
        <f t="shared" si="6"/>
        <v>26.055460122699387</v>
      </c>
      <c r="J37" s="73"/>
      <c r="K37" s="91">
        <v>18.84</v>
      </c>
      <c r="N37" s="185">
        <f t="shared" si="7"/>
        <v>1.8497560975609757</v>
      </c>
      <c r="O37" s="71">
        <v>10.25</v>
      </c>
      <c r="P37">
        <v>18.96</v>
      </c>
      <c r="Q37">
        <f t="shared" si="8"/>
        <v>1.8960000000000001</v>
      </c>
      <c r="R37">
        <f t="shared" si="9"/>
        <v>17.064</v>
      </c>
      <c r="S37">
        <f t="shared" si="10"/>
        <v>2.0476799999999997</v>
      </c>
      <c r="T37">
        <f t="shared" si="11"/>
        <v>19.11168</v>
      </c>
      <c r="U37" s="107" t="s">
        <v>21</v>
      </c>
      <c r="V37" s="108">
        <v>300</v>
      </c>
      <c r="W37" s="109">
        <v>2</v>
      </c>
      <c r="X37" s="110" t="s">
        <v>40</v>
      </c>
      <c r="Y37" s="111" t="s">
        <v>29</v>
      </c>
      <c r="Z37" s="112">
        <v>182.26</v>
      </c>
      <c r="AA37" s="113">
        <f t="shared" si="12"/>
        <v>164.034</v>
      </c>
      <c r="AB37" s="113">
        <f t="shared" si="13"/>
        <v>42.4704</v>
      </c>
      <c r="AC37" s="101">
        <f t="shared" si="14"/>
        <v>3.1069461209261497</v>
      </c>
      <c r="AD37" s="104">
        <f t="shared" si="15"/>
        <v>0.2589121767438458</v>
      </c>
      <c r="AE37" s="114">
        <v>18.84</v>
      </c>
      <c r="AF37" s="115">
        <f t="shared" si="16"/>
        <v>2.2222222222222223</v>
      </c>
    </row>
    <row r="38" spans="3:32" ht="30" customHeight="1">
      <c r="C38" s="72">
        <v>300</v>
      </c>
      <c r="D38" s="38" t="s">
        <v>40</v>
      </c>
      <c r="E38" s="23" t="s">
        <v>29</v>
      </c>
      <c r="F38" s="71">
        <v>0.89</v>
      </c>
      <c r="G38" s="87">
        <f t="shared" si="4"/>
        <v>0.801</v>
      </c>
      <c r="H38" s="86">
        <f t="shared" si="5"/>
        <v>19.11168</v>
      </c>
      <c r="I38" s="89">
        <f t="shared" si="6"/>
        <v>286.3173033707865</v>
      </c>
      <c r="J38" s="73"/>
      <c r="K38" s="91">
        <v>18.84</v>
      </c>
      <c r="N38" s="185">
        <f t="shared" si="7"/>
        <v>1.8497560975609757</v>
      </c>
      <c r="O38" s="71">
        <v>10.25</v>
      </c>
      <c r="P38">
        <v>18.96</v>
      </c>
      <c r="Q38">
        <f t="shared" si="8"/>
        <v>1.8960000000000001</v>
      </c>
      <c r="R38">
        <f t="shared" si="9"/>
        <v>17.064</v>
      </c>
      <c r="S38">
        <f t="shared" si="10"/>
        <v>2.0476799999999997</v>
      </c>
      <c r="T38">
        <f t="shared" si="11"/>
        <v>19.11168</v>
      </c>
      <c r="U38" s="107" t="s">
        <v>22</v>
      </c>
      <c r="V38" s="108">
        <v>300</v>
      </c>
      <c r="W38" s="109">
        <v>3</v>
      </c>
      <c r="X38" s="110" t="s">
        <v>40</v>
      </c>
      <c r="Y38" s="111" t="s">
        <v>29</v>
      </c>
      <c r="Z38" s="112">
        <v>24.83</v>
      </c>
      <c r="AA38" s="113">
        <f t="shared" si="12"/>
        <v>22.346999999999998</v>
      </c>
      <c r="AB38" s="113">
        <f t="shared" si="13"/>
        <v>63.7056</v>
      </c>
      <c r="AC38" s="101">
        <f t="shared" si="14"/>
        <v>34.20894079742247</v>
      </c>
      <c r="AD38" s="104">
        <f t="shared" si="15"/>
        <v>2.8507450664518728</v>
      </c>
      <c r="AE38" s="114">
        <v>18.84</v>
      </c>
      <c r="AF38" s="115">
        <f t="shared" si="16"/>
        <v>3.333333333333333</v>
      </c>
    </row>
    <row r="39" spans="3:32" ht="30" customHeight="1">
      <c r="C39" s="72">
        <v>300</v>
      </c>
      <c r="D39" s="38" t="s">
        <v>35</v>
      </c>
      <c r="E39" s="23" t="s">
        <v>29</v>
      </c>
      <c r="F39" s="71">
        <v>9.6</v>
      </c>
      <c r="G39" s="87">
        <f t="shared" si="4"/>
        <v>8.64</v>
      </c>
      <c r="H39" s="86">
        <f t="shared" si="5"/>
        <v>25.21008</v>
      </c>
      <c r="I39" s="89">
        <f t="shared" si="6"/>
        <v>35.013999999999996</v>
      </c>
      <c r="J39" s="73"/>
      <c r="K39" s="91">
        <v>31.41</v>
      </c>
      <c r="N39" s="185">
        <f t="shared" si="7"/>
        <v>1.8498520710059174</v>
      </c>
      <c r="O39" s="71">
        <v>13.52</v>
      </c>
      <c r="P39">
        <v>25.01</v>
      </c>
      <c r="Q39">
        <f t="shared" si="8"/>
        <v>2.5010000000000003</v>
      </c>
      <c r="R39">
        <f t="shared" si="9"/>
        <v>22.509</v>
      </c>
      <c r="S39">
        <f t="shared" si="10"/>
        <v>2.70108</v>
      </c>
      <c r="T39">
        <f t="shared" si="11"/>
        <v>25.21008</v>
      </c>
      <c r="U39" s="107" t="s">
        <v>23</v>
      </c>
      <c r="V39" s="108">
        <v>300</v>
      </c>
      <c r="W39" s="109">
        <v>10</v>
      </c>
      <c r="X39" s="110" t="s">
        <v>35</v>
      </c>
      <c r="Y39" s="111" t="s">
        <v>29</v>
      </c>
      <c r="Z39" s="112">
        <v>894.6</v>
      </c>
      <c r="AA39" s="113">
        <f t="shared" si="12"/>
        <v>805.14</v>
      </c>
      <c r="AB39" s="113">
        <f t="shared" si="13"/>
        <v>280.112</v>
      </c>
      <c r="AC39" s="101">
        <f t="shared" si="14"/>
        <v>4.174856546687533</v>
      </c>
      <c r="AD39" s="104">
        <f t="shared" si="15"/>
        <v>0.3479047122239611</v>
      </c>
      <c r="AE39" s="114">
        <v>31.41</v>
      </c>
      <c r="AF39" s="115">
        <f t="shared" si="16"/>
        <v>11.11111111111111</v>
      </c>
    </row>
    <row r="40" spans="3:32" ht="30" customHeight="1">
      <c r="C40" s="72">
        <v>20</v>
      </c>
      <c r="D40" s="38" t="s">
        <v>40</v>
      </c>
      <c r="E40" s="23" t="s">
        <v>1</v>
      </c>
      <c r="F40" s="71">
        <v>22.46</v>
      </c>
      <c r="G40" s="87">
        <f t="shared" si="4"/>
        <v>20.214000000000002</v>
      </c>
      <c r="H40" s="86">
        <f t="shared" si="5"/>
        <v>9.34416</v>
      </c>
      <c r="I40" s="89">
        <f t="shared" si="6"/>
        <v>5.5471415850400705</v>
      </c>
      <c r="J40" s="73"/>
      <c r="K40" s="91">
        <v>18.84</v>
      </c>
      <c r="N40" s="185">
        <f t="shared" si="7"/>
        <v>1.8502994011976048</v>
      </c>
      <c r="O40" s="71">
        <v>5.01</v>
      </c>
      <c r="P40">
        <v>9.27</v>
      </c>
      <c r="Q40">
        <f t="shared" si="8"/>
        <v>0.927</v>
      </c>
      <c r="R40">
        <f t="shared" si="9"/>
        <v>8.343</v>
      </c>
      <c r="S40">
        <f t="shared" si="10"/>
        <v>1.00116</v>
      </c>
      <c r="T40">
        <f t="shared" si="11"/>
        <v>9.34416</v>
      </c>
      <c r="U40" s="107" t="s">
        <v>13</v>
      </c>
      <c r="V40" s="108">
        <v>20</v>
      </c>
      <c r="W40" s="116">
        <v>2</v>
      </c>
      <c r="X40" s="110" t="s">
        <v>40</v>
      </c>
      <c r="Y40" s="111" t="s">
        <v>1</v>
      </c>
      <c r="Z40" s="112">
        <v>418.47</v>
      </c>
      <c r="AA40" s="113">
        <f t="shared" si="12"/>
        <v>376.62300000000005</v>
      </c>
      <c r="AB40" s="113">
        <f t="shared" si="13"/>
        <v>20.7648</v>
      </c>
      <c r="AC40" s="101">
        <f t="shared" si="14"/>
        <v>0.6616101512653236</v>
      </c>
      <c r="AD40" s="104">
        <f t="shared" si="15"/>
        <v>0.055134179272110305</v>
      </c>
      <c r="AE40" s="114">
        <v>18.84</v>
      </c>
      <c r="AF40" s="115">
        <f t="shared" si="16"/>
        <v>2.2222222222222223</v>
      </c>
    </row>
    <row r="41" spans="3:32" ht="30" customHeight="1">
      <c r="C41" s="72">
        <v>20</v>
      </c>
      <c r="D41" s="38" t="s">
        <v>40</v>
      </c>
      <c r="E41" s="23" t="s">
        <v>1</v>
      </c>
      <c r="F41" s="71">
        <v>5.53</v>
      </c>
      <c r="G41" s="87">
        <f t="shared" si="4"/>
        <v>4.977</v>
      </c>
      <c r="H41" s="86">
        <f t="shared" si="5"/>
        <v>9.34416</v>
      </c>
      <c r="I41" s="89">
        <f t="shared" si="6"/>
        <v>22.529620253164556</v>
      </c>
      <c r="J41" s="73"/>
      <c r="K41" s="91">
        <v>18.84</v>
      </c>
      <c r="N41" s="185">
        <f t="shared" si="7"/>
        <v>1.8502994011976048</v>
      </c>
      <c r="O41" s="71">
        <v>5.01</v>
      </c>
      <c r="P41">
        <v>9.27</v>
      </c>
      <c r="Q41">
        <f t="shared" si="8"/>
        <v>0.927</v>
      </c>
      <c r="R41">
        <f t="shared" si="9"/>
        <v>8.343</v>
      </c>
      <c r="S41">
        <f t="shared" si="10"/>
        <v>1.00116</v>
      </c>
      <c r="T41">
        <f t="shared" si="11"/>
        <v>9.34416</v>
      </c>
      <c r="U41" s="117" t="s">
        <v>10</v>
      </c>
      <c r="V41" s="108">
        <v>20</v>
      </c>
      <c r="W41" s="116">
        <v>5</v>
      </c>
      <c r="X41" s="110" t="s">
        <v>40</v>
      </c>
      <c r="Y41" s="111" t="s">
        <v>1</v>
      </c>
      <c r="Z41" s="112">
        <v>257.71</v>
      </c>
      <c r="AA41" s="113">
        <f t="shared" si="12"/>
        <v>231.939</v>
      </c>
      <c r="AB41" s="113">
        <f t="shared" si="13"/>
        <v>51.912</v>
      </c>
      <c r="AC41" s="101">
        <f t="shared" si="14"/>
        <v>2.6858096309805597</v>
      </c>
      <c r="AD41" s="104">
        <f t="shared" si="15"/>
        <v>0.22381746924837997</v>
      </c>
      <c r="AE41" s="114">
        <v>18.84</v>
      </c>
      <c r="AF41" s="115">
        <f t="shared" si="16"/>
        <v>5.555555555555555</v>
      </c>
    </row>
    <row r="42" spans="3:32" ht="30" customHeight="1">
      <c r="C42" s="72">
        <v>20</v>
      </c>
      <c r="D42" s="38" t="s">
        <v>41</v>
      </c>
      <c r="E42" s="23" t="s">
        <v>1</v>
      </c>
      <c r="F42" s="71">
        <v>6.25</v>
      </c>
      <c r="G42" s="87">
        <f t="shared" si="4"/>
        <v>5.625</v>
      </c>
      <c r="H42" s="86">
        <f t="shared" si="5"/>
        <v>15.33168</v>
      </c>
      <c r="I42" s="89">
        <f t="shared" si="6"/>
        <v>32.707584</v>
      </c>
      <c r="J42" s="73"/>
      <c r="K42" s="91">
        <v>37.69</v>
      </c>
      <c r="N42" s="185">
        <f t="shared" si="7"/>
        <v>1.8503649635036497</v>
      </c>
      <c r="O42" s="71">
        <v>8.22</v>
      </c>
      <c r="P42">
        <v>15.21</v>
      </c>
      <c r="Q42">
        <f t="shared" si="8"/>
        <v>1.5210000000000001</v>
      </c>
      <c r="R42">
        <f t="shared" si="9"/>
        <v>13.689</v>
      </c>
      <c r="S42">
        <f t="shared" si="10"/>
        <v>1.64268</v>
      </c>
      <c r="T42">
        <f t="shared" si="11"/>
        <v>15.33168</v>
      </c>
      <c r="U42" s="117" t="s">
        <v>12</v>
      </c>
      <c r="V42" s="108">
        <v>20</v>
      </c>
      <c r="W42" s="116">
        <v>2</v>
      </c>
      <c r="X42" s="110" t="s">
        <v>41</v>
      </c>
      <c r="Y42" s="111" t="s">
        <v>1</v>
      </c>
      <c r="Z42" s="112">
        <v>116.39</v>
      </c>
      <c r="AA42" s="113">
        <f t="shared" si="12"/>
        <v>104.751</v>
      </c>
      <c r="AB42" s="113">
        <f t="shared" si="13"/>
        <v>34.0704</v>
      </c>
      <c r="AC42" s="101">
        <f t="shared" si="14"/>
        <v>3.903015723000258</v>
      </c>
      <c r="AD42" s="104">
        <f t="shared" si="15"/>
        <v>0.32525131025002146</v>
      </c>
      <c r="AE42" s="114">
        <v>37.69</v>
      </c>
      <c r="AF42" s="115">
        <f t="shared" si="16"/>
        <v>2.2222222222222223</v>
      </c>
    </row>
    <row r="43" spans="3:32" ht="30" customHeight="1">
      <c r="C43" s="72">
        <v>20</v>
      </c>
      <c r="D43" s="37" t="s">
        <v>44</v>
      </c>
      <c r="E43" s="23" t="s">
        <v>1</v>
      </c>
      <c r="F43" s="71">
        <v>33.31</v>
      </c>
      <c r="G43" s="87">
        <f t="shared" si="4"/>
        <v>29.979000000000003</v>
      </c>
      <c r="H43" s="86">
        <f t="shared" si="5"/>
        <v>40.93488</v>
      </c>
      <c r="I43" s="89">
        <f t="shared" si="6"/>
        <v>16.385421795256676</v>
      </c>
      <c r="J43" s="73"/>
      <c r="K43" s="91">
        <v>113.09</v>
      </c>
      <c r="N43" s="185">
        <f t="shared" si="7"/>
        <v>1.850113895216401</v>
      </c>
      <c r="O43" s="71">
        <v>21.95</v>
      </c>
      <c r="P43">
        <v>40.61</v>
      </c>
      <c r="Q43">
        <f t="shared" si="8"/>
        <v>4.061</v>
      </c>
      <c r="R43">
        <f t="shared" si="9"/>
        <v>36.549</v>
      </c>
      <c r="S43">
        <f t="shared" si="10"/>
        <v>4.385879999999999</v>
      </c>
      <c r="T43">
        <f t="shared" si="11"/>
        <v>40.93488</v>
      </c>
      <c r="U43" s="117" t="s">
        <v>16</v>
      </c>
      <c r="V43" s="108">
        <v>20</v>
      </c>
      <c r="W43" s="116">
        <v>1.5</v>
      </c>
      <c r="X43" s="110" t="s">
        <v>44</v>
      </c>
      <c r="Y43" s="111" t="s">
        <v>1</v>
      </c>
      <c r="Z43" s="112">
        <v>465.48</v>
      </c>
      <c r="AA43" s="113">
        <f t="shared" si="12"/>
        <v>418.932</v>
      </c>
      <c r="AB43" s="113">
        <f t="shared" si="13"/>
        <v>68.22479999999999</v>
      </c>
      <c r="AC43" s="101">
        <f t="shared" si="14"/>
        <v>1.9542493769871956</v>
      </c>
      <c r="AD43" s="104">
        <f t="shared" si="15"/>
        <v>0.16285411474893297</v>
      </c>
      <c r="AE43" s="114">
        <v>113.09</v>
      </c>
      <c r="AF43" s="115">
        <f t="shared" si="16"/>
        <v>1.6666666666666665</v>
      </c>
    </row>
    <row r="44" spans="3:32" ht="30" customHeight="1">
      <c r="C44" s="72">
        <v>20</v>
      </c>
      <c r="D44" s="38" t="s">
        <v>50</v>
      </c>
      <c r="E44" s="23" t="s">
        <v>1</v>
      </c>
      <c r="F44" s="71">
        <v>21.77</v>
      </c>
      <c r="G44" s="87">
        <f t="shared" si="4"/>
        <v>19.593</v>
      </c>
      <c r="H44" s="86">
        <f t="shared" si="5"/>
        <v>22.307039999999997</v>
      </c>
      <c r="I44" s="89">
        <f t="shared" si="6"/>
        <v>13.66225080385852</v>
      </c>
      <c r="J44" s="73"/>
      <c r="K44" s="91">
        <v>62.83</v>
      </c>
      <c r="N44" s="185">
        <f t="shared" si="7"/>
        <v>1.8503344481605348</v>
      </c>
      <c r="O44" s="71">
        <v>11.96</v>
      </c>
      <c r="P44">
        <v>22.13</v>
      </c>
      <c r="Q44">
        <f t="shared" si="8"/>
        <v>2.213</v>
      </c>
      <c r="R44">
        <f t="shared" si="9"/>
        <v>19.916999999999998</v>
      </c>
      <c r="S44">
        <f t="shared" si="10"/>
        <v>2.3900399999999995</v>
      </c>
      <c r="T44">
        <f t="shared" si="11"/>
        <v>22.307039999999997</v>
      </c>
      <c r="U44" s="117" t="s">
        <v>20</v>
      </c>
      <c r="V44" s="108">
        <v>20</v>
      </c>
      <c r="W44" s="116">
        <v>50</v>
      </c>
      <c r="X44" s="110" t="s">
        <v>50</v>
      </c>
      <c r="Y44" s="111" t="s">
        <v>1</v>
      </c>
      <c r="Z44" s="112">
        <v>10140.07</v>
      </c>
      <c r="AA44" s="113">
        <f t="shared" si="12"/>
        <v>9126.063</v>
      </c>
      <c r="AB44" s="113">
        <f t="shared" si="13"/>
        <v>1239.28</v>
      </c>
      <c r="AC44" s="101">
        <f t="shared" si="14"/>
        <v>1.6295482509818306</v>
      </c>
      <c r="AD44" s="104">
        <f t="shared" si="15"/>
        <v>0.13579568758181923</v>
      </c>
      <c r="AE44" s="114">
        <v>62.83</v>
      </c>
      <c r="AF44" s="115">
        <f t="shared" si="16"/>
        <v>55.55555555555556</v>
      </c>
    </row>
    <row r="45" spans="3:32" ht="30" customHeight="1" thickBot="1">
      <c r="C45" s="74">
        <v>20</v>
      </c>
      <c r="D45" s="62" t="s">
        <v>35</v>
      </c>
      <c r="E45" s="58" t="s">
        <v>1</v>
      </c>
      <c r="F45" s="75">
        <v>12.63</v>
      </c>
      <c r="G45" s="88">
        <f t="shared" si="4"/>
        <v>11.367</v>
      </c>
      <c r="H45" s="86">
        <f t="shared" si="5"/>
        <v>13.38624</v>
      </c>
      <c r="I45" s="89">
        <f t="shared" si="6"/>
        <v>14.1316864608076</v>
      </c>
      <c r="J45" s="76"/>
      <c r="K45" s="91">
        <v>31.41</v>
      </c>
      <c r="N45" s="185">
        <f t="shared" si="7"/>
        <v>1.84958217270195</v>
      </c>
      <c r="O45" s="75">
        <v>7.18</v>
      </c>
      <c r="P45">
        <v>13.28</v>
      </c>
      <c r="Q45">
        <f t="shared" si="8"/>
        <v>1.328</v>
      </c>
      <c r="R45">
        <f>P45-Q45</f>
        <v>11.952</v>
      </c>
      <c r="S45">
        <f t="shared" si="10"/>
        <v>1.43424</v>
      </c>
      <c r="T45">
        <f t="shared" si="11"/>
        <v>13.38624</v>
      </c>
      <c r="U45" s="118" t="s">
        <v>24</v>
      </c>
      <c r="V45" s="119">
        <v>20</v>
      </c>
      <c r="W45" s="120">
        <v>10</v>
      </c>
      <c r="X45" s="121" t="s">
        <v>35</v>
      </c>
      <c r="Y45" s="122" t="s">
        <v>1</v>
      </c>
      <c r="Z45" s="123">
        <v>1176.45</v>
      </c>
      <c r="AA45" s="124">
        <f t="shared" si="12"/>
        <v>1058.805</v>
      </c>
      <c r="AB45" s="124">
        <f t="shared" si="13"/>
        <v>148.736</v>
      </c>
      <c r="AC45" s="125">
        <f t="shared" si="14"/>
        <v>1.6857041664895798</v>
      </c>
      <c r="AD45" s="126">
        <f t="shared" si="15"/>
        <v>0.140475347207465</v>
      </c>
      <c r="AE45" s="127">
        <v>31.41</v>
      </c>
      <c r="AF45" s="128">
        <f t="shared" si="16"/>
        <v>11.11111111111111</v>
      </c>
    </row>
    <row r="46" spans="3:26" ht="12.75">
      <c r="C46" s="40"/>
      <c r="D46" s="40"/>
      <c r="E46" s="40"/>
      <c r="F46" s="40"/>
      <c r="G46" s="40"/>
      <c r="H46" s="40" t="s">
        <v>64</v>
      </c>
      <c r="I46" s="42"/>
      <c r="K46" s="92"/>
      <c r="Z46" s="22"/>
    </row>
    <row r="47" ht="12.75">
      <c r="K47" s="92"/>
    </row>
  </sheetData>
  <mergeCells count="2">
    <mergeCell ref="F28:G28"/>
    <mergeCell ref="W28:X28"/>
  </mergeCells>
  <printOptions horizontalCentered="1" verticalCentered="1"/>
  <pageMargins left="1.062992125984252" right="0.75" top="1" bottom="1" header="0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25" zoomScaleNormal="25" workbookViewId="0" topLeftCell="A22">
      <selection activeCell="O46" sqref="O46"/>
    </sheetView>
  </sheetViews>
  <sheetFormatPr defaultColWidth="11.421875" defaultRowHeight="12.75"/>
  <cols>
    <col min="3" max="3" width="39.57421875" style="0" customWidth="1"/>
    <col min="4" max="4" width="9.421875" style="0" customWidth="1"/>
    <col min="5" max="5" width="12.7109375" style="0" customWidth="1"/>
    <col min="6" max="6" width="9.00390625" style="0" customWidth="1"/>
    <col min="7" max="7" width="10.28125" style="0" customWidth="1"/>
    <col min="8" max="8" width="18.8515625" style="0" customWidth="1"/>
    <col min="9" max="9" width="15.00390625" style="0" customWidth="1"/>
    <col min="10" max="10" width="13.00390625" style="0" customWidth="1"/>
    <col min="11" max="11" width="12.57421875" style="0" customWidth="1"/>
    <col min="12" max="12" width="24.421875" style="0" customWidth="1"/>
    <col min="13" max="13" width="26.8515625" style="0" customWidth="1"/>
    <col min="15" max="15" width="11.57421875" style="0" bestFit="1" customWidth="1"/>
    <col min="16" max="16" width="7.140625" style="0" customWidth="1"/>
    <col min="17" max="17" width="14.7109375" style="0" hidden="1" customWidth="1"/>
    <col min="18" max="18" width="8.57421875" style="0" hidden="1" customWidth="1"/>
    <col min="19" max="19" width="7.57421875" style="0" hidden="1" customWidth="1"/>
    <col min="20" max="20" width="9.8515625" style="0" customWidth="1"/>
  </cols>
  <sheetData>
    <row r="1" spans="1:16" ht="12.75">
      <c r="A1">
        <v>0</v>
      </c>
      <c r="O1" s="33"/>
      <c r="P1" s="33"/>
    </row>
    <row r="2" spans="1:2" ht="12.75">
      <c r="A2" s="1"/>
      <c r="B2" s="1"/>
    </row>
    <row r="3" spans="1:17" ht="15.75">
      <c r="A3" s="1"/>
      <c r="B3" s="1"/>
      <c r="J3" s="34" t="s">
        <v>6</v>
      </c>
      <c r="K3" s="4"/>
      <c r="L3" s="10"/>
      <c r="M3" s="4"/>
      <c r="N3" s="11"/>
      <c r="O3" s="4"/>
      <c r="P3" s="4"/>
      <c r="Q3" s="12"/>
    </row>
    <row r="4" spans="9:17" ht="15">
      <c r="I4" s="242"/>
      <c r="J4" s="242"/>
      <c r="K4" s="63"/>
      <c r="L4" s="243"/>
      <c r="M4" s="63"/>
      <c r="N4" s="63"/>
      <c r="O4" s="4"/>
      <c r="P4" s="4"/>
      <c r="Q4" s="12"/>
    </row>
    <row r="5" spans="2:17" ht="15.75">
      <c r="B5" s="1"/>
      <c r="I5" s="2"/>
      <c r="J5" s="243"/>
      <c r="K5" s="63"/>
      <c r="L5" s="244"/>
      <c r="M5" s="242"/>
      <c r="N5" s="35"/>
      <c r="O5" s="63"/>
      <c r="P5" s="35"/>
      <c r="Q5" s="12"/>
    </row>
    <row r="6" spans="1:17" ht="15.75">
      <c r="A6" s="1"/>
      <c r="B6" s="1"/>
      <c r="I6" s="245"/>
      <c r="J6" s="243"/>
      <c r="K6" s="63"/>
      <c r="L6" s="246"/>
      <c r="M6" s="242"/>
      <c r="N6" s="35"/>
      <c r="O6" s="64"/>
      <c r="P6" s="35"/>
      <c r="Q6" s="12"/>
    </row>
    <row r="7" spans="1:17" ht="15.75">
      <c r="A7" s="2"/>
      <c r="B7" s="2"/>
      <c r="I7" s="2"/>
      <c r="J7" s="243"/>
      <c r="K7" s="63"/>
      <c r="L7" s="63"/>
      <c r="M7" s="242"/>
      <c r="N7" s="36"/>
      <c r="O7" s="63"/>
      <c r="P7" s="36"/>
      <c r="Q7" s="12"/>
    </row>
    <row r="8" spans="1:17" ht="15">
      <c r="A8" s="2"/>
      <c r="B8" s="2"/>
      <c r="K8" s="2"/>
      <c r="L8" s="2"/>
      <c r="M8" s="9"/>
      <c r="N8" s="2"/>
      <c r="O8" s="2"/>
      <c r="P8" s="2"/>
      <c r="Q8" s="12"/>
    </row>
    <row r="9" spans="4:17" ht="15.75">
      <c r="D9" s="20" t="s">
        <v>25</v>
      </c>
      <c r="E9" s="20"/>
      <c r="F9" s="20"/>
      <c r="G9" s="20"/>
      <c r="H9" s="20"/>
      <c r="K9" s="18" t="s">
        <v>0</v>
      </c>
      <c r="L9" s="18"/>
      <c r="M9" s="132">
        <v>1.087</v>
      </c>
      <c r="N9" s="2"/>
      <c r="O9" s="2"/>
      <c r="P9" s="2"/>
      <c r="Q9" s="12"/>
    </row>
    <row r="10" spans="4:16" ht="15.75">
      <c r="D10" s="20" t="s">
        <v>26</v>
      </c>
      <c r="E10" s="20"/>
      <c r="F10" s="20"/>
      <c r="G10" s="20"/>
      <c r="H10" s="20"/>
      <c r="K10" s="2"/>
      <c r="L10" s="2"/>
      <c r="M10" s="3"/>
      <c r="N10" s="2"/>
      <c r="O10" s="2"/>
      <c r="P10" s="2"/>
    </row>
    <row r="11" spans="4:16" ht="15.75">
      <c r="D11" s="20" t="s">
        <v>28</v>
      </c>
      <c r="E11" s="20"/>
      <c r="F11" s="20"/>
      <c r="G11" s="20"/>
      <c r="H11" s="20"/>
      <c r="K11" s="2"/>
      <c r="L11" s="2"/>
      <c r="M11" s="3"/>
      <c r="N11" s="2"/>
      <c r="O11" s="2"/>
      <c r="P11" s="2"/>
    </row>
    <row r="12" spans="4:16" ht="15.75">
      <c r="D12" s="20" t="s">
        <v>27</v>
      </c>
      <c r="E12" s="20"/>
      <c r="F12" s="20"/>
      <c r="G12" s="20"/>
      <c r="H12" s="20"/>
      <c r="K12" s="2"/>
      <c r="L12" s="2"/>
      <c r="M12" s="3"/>
      <c r="N12" s="2"/>
      <c r="O12" s="2"/>
      <c r="P12" s="2"/>
    </row>
    <row r="14" ht="13.5" thickBot="1">
      <c r="S14" t="s">
        <v>63</v>
      </c>
    </row>
    <row r="15" spans="1:19" ht="51">
      <c r="A15" t="s">
        <v>34</v>
      </c>
      <c r="C15" s="49" t="s">
        <v>7</v>
      </c>
      <c r="D15" s="50" t="s">
        <v>8</v>
      </c>
      <c r="E15" s="50" t="s">
        <v>73</v>
      </c>
      <c r="F15" s="50"/>
      <c r="G15" s="50" t="s">
        <v>80</v>
      </c>
      <c r="H15" s="50" t="s">
        <v>81</v>
      </c>
      <c r="I15" s="50" t="s">
        <v>77</v>
      </c>
      <c r="J15" s="50" t="s">
        <v>82</v>
      </c>
      <c r="K15" s="50" t="s">
        <v>76</v>
      </c>
      <c r="L15" s="50" t="s">
        <v>33</v>
      </c>
      <c r="M15" s="51" t="s">
        <v>32</v>
      </c>
      <c r="Q15" t="s">
        <v>72</v>
      </c>
      <c r="R15" t="s">
        <v>30</v>
      </c>
      <c r="S15" t="s">
        <v>31</v>
      </c>
    </row>
    <row r="16" spans="1:19" ht="30" customHeight="1">
      <c r="A16" s="65" t="s">
        <v>35</v>
      </c>
      <c r="B16">
        <v>1</v>
      </c>
      <c r="C16" s="52" t="s">
        <v>9</v>
      </c>
      <c r="D16" s="25">
        <v>300</v>
      </c>
      <c r="E16" s="25">
        <v>520</v>
      </c>
      <c r="F16" s="25"/>
      <c r="G16" s="24">
        <v>1</v>
      </c>
      <c r="H16" s="24">
        <f aca="true" t="shared" si="0" ref="H16:H31">O16/P16</f>
        <v>1875.9402799999998</v>
      </c>
      <c r="I16" s="24">
        <f aca="true" t="shared" si="1" ref="I16:I31">H16*24*156</f>
        <v>7023520.408319999</v>
      </c>
      <c r="J16" s="24">
        <f aca="true" t="shared" si="2" ref="J16:J31">I16/18265</f>
        <v>384.53437767971525</v>
      </c>
      <c r="K16" s="24">
        <f aca="true" t="shared" si="3" ref="K16:K31">I16/153200</f>
        <v>45.84543347467363</v>
      </c>
      <c r="L16" s="45">
        <f aca="true" t="shared" si="4" ref="L16:L31">K16*0.56</f>
        <v>25.673442745817233</v>
      </c>
      <c r="M16" s="53">
        <f aca="true" t="shared" si="5" ref="M16:M31">S16*3744</f>
        <v>6.022534417482059</v>
      </c>
      <c r="O16" s="29">
        <f aca="true" t="shared" si="6" ref="O16:O31">H51</f>
        <v>187594.028</v>
      </c>
      <c r="P16" s="30">
        <v>100</v>
      </c>
      <c r="Q16" s="40">
        <v>1267.9</v>
      </c>
      <c r="R16" s="40">
        <f aca="true" t="shared" si="7" ref="R16:R31">H16/Q16</f>
        <v>1.4795648552724976</v>
      </c>
      <c r="S16" s="43">
        <f aca="true" t="shared" si="8" ref="S16:S31">R16*0.0010872</f>
        <v>0.0016085829106522594</v>
      </c>
    </row>
    <row r="17" spans="1:19" ht="30" customHeight="1">
      <c r="A17" s="65" t="s">
        <v>35</v>
      </c>
      <c r="B17">
        <v>2</v>
      </c>
      <c r="C17" s="52" t="s">
        <v>11</v>
      </c>
      <c r="D17" s="25">
        <v>300</v>
      </c>
      <c r="E17" s="25">
        <v>520</v>
      </c>
      <c r="F17" s="25"/>
      <c r="G17" s="24">
        <v>1</v>
      </c>
      <c r="H17" s="24">
        <f t="shared" si="0"/>
        <v>12737.9188</v>
      </c>
      <c r="I17" s="24">
        <f t="shared" si="1"/>
        <v>47690767.9872</v>
      </c>
      <c r="J17" s="24">
        <f t="shared" si="2"/>
        <v>2611.0467006405693</v>
      </c>
      <c r="K17" s="24">
        <f t="shared" si="3"/>
        <v>311.2974411697128</v>
      </c>
      <c r="L17" s="45">
        <f t="shared" si="4"/>
        <v>174.32656705503916</v>
      </c>
      <c r="M17" s="53">
        <f t="shared" si="5"/>
        <v>40.89392140995649</v>
      </c>
      <c r="O17" s="29">
        <f t="shared" si="6"/>
        <v>63689.594</v>
      </c>
      <c r="P17" s="31">
        <v>5</v>
      </c>
      <c r="Q17" s="40">
        <v>1267.9</v>
      </c>
      <c r="R17" s="40">
        <f t="shared" si="7"/>
        <v>10.046469595393958</v>
      </c>
      <c r="S17" s="43">
        <f t="shared" si="8"/>
        <v>0.010922521744112311</v>
      </c>
    </row>
    <row r="18" spans="1:19" ht="30" customHeight="1">
      <c r="A18" s="65" t="s">
        <v>40</v>
      </c>
      <c r="B18">
        <v>3</v>
      </c>
      <c r="C18" s="52" t="s">
        <v>36</v>
      </c>
      <c r="D18" s="25">
        <v>300</v>
      </c>
      <c r="E18" s="25">
        <v>520</v>
      </c>
      <c r="F18" s="25"/>
      <c r="G18" s="24">
        <v>1</v>
      </c>
      <c r="H18" s="24">
        <f t="shared" si="0"/>
        <v>9347.061333333333</v>
      </c>
      <c r="I18" s="24">
        <f t="shared" si="1"/>
        <v>34995397.632</v>
      </c>
      <c r="J18" s="24">
        <f t="shared" si="2"/>
        <v>1915.9812555160142</v>
      </c>
      <c r="K18" s="24">
        <f t="shared" si="3"/>
        <v>228.42948845953003</v>
      </c>
      <c r="L18" s="45">
        <f t="shared" si="4"/>
        <v>127.92051353733683</v>
      </c>
      <c r="M18" s="53">
        <f t="shared" si="5"/>
        <v>30.007884143473767</v>
      </c>
      <c r="O18" s="29">
        <f t="shared" si="6"/>
        <v>28041.184</v>
      </c>
      <c r="P18" s="31">
        <v>3</v>
      </c>
      <c r="Q18" s="40">
        <v>1267.9</v>
      </c>
      <c r="R18" s="40">
        <f t="shared" si="7"/>
        <v>7.372080868627914</v>
      </c>
      <c r="S18" s="43">
        <f t="shared" si="8"/>
        <v>0.008014926320372267</v>
      </c>
    </row>
    <row r="19" spans="1:19" ht="30" customHeight="1">
      <c r="A19" s="65" t="s">
        <v>29</v>
      </c>
      <c r="B19">
        <v>4</v>
      </c>
      <c r="C19" s="52" t="s">
        <v>37</v>
      </c>
      <c r="D19" s="25">
        <v>300</v>
      </c>
      <c r="E19" s="25">
        <v>520</v>
      </c>
      <c r="F19" s="25"/>
      <c r="G19" s="24">
        <v>1</v>
      </c>
      <c r="H19" s="24">
        <f t="shared" si="0"/>
        <v>6484.519333333334</v>
      </c>
      <c r="I19" s="24">
        <f t="shared" si="1"/>
        <v>24278040.384</v>
      </c>
      <c r="J19" s="24">
        <f t="shared" si="2"/>
        <v>1329.2110804270462</v>
      </c>
      <c r="K19" s="24">
        <f t="shared" si="3"/>
        <v>158.47284845953</v>
      </c>
      <c r="L19" s="45">
        <f t="shared" si="4"/>
        <v>88.74479513733682</v>
      </c>
      <c r="M19" s="53">
        <f t="shared" si="5"/>
        <v>20.81795528471078</v>
      </c>
      <c r="O19" s="29">
        <f t="shared" si="6"/>
        <v>19453.558</v>
      </c>
      <c r="P19" s="31">
        <v>3</v>
      </c>
      <c r="Q19" s="40">
        <v>1267.9</v>
      </c>
      <c r="R19" s="40">
        <f t="shared" si="7"/>
        <v>5.114377579725004</v>
      </c>
      <c r="S19" s="43">
        <f t="shared" si="8"/>
        <v>0.005560351304677025</v>
      </c>
    </row>
    <row r="20" spans="1:19" ht="30" customHeight="1">
      <c r="A20" s="65" t="s">
        <v>41</v>
      </c>
      <c r="B20">
        <v>5</v>
      </c>
      <c r="C20" s="52" t="s">
        <v>17</v>
      </c>
      <c r="D20" s="25">
        <v>300</v>
      </c>
      <c r="E20" s="25">
        <v>520</v>
      </c>
      <c r="F20" s="25"/>
      <c r="G20" s="24">
        <v>1</v>
      </c>
      <c r="H20" s="24">
        <f t="shared" si="0"/>
        <v>18028.237666666668</v>
      </c>
      <c r="I20" s="24">
        <f t="shared" si="1"/>
        <v>67497721.824</v>
      </c>
      <c r="J20" s="24">
        <f t="shared" si="2"/>
        <v>3695.467934519573</v>
      </c>
      <c r="K20" s="24">
        <f t="shared" si="3"/>
        <v>440.5856515926893</v>
      </c>
      <c r="L20" s="45">
        <f t="shared" si="4"/>
        <v>246.72796489190605</v>
      </c>
      <c r="M20" s="53">
        <f t="shared" si="5"/>
        <v>57.87800549495449</v>
      </c>
      <c r="O20" s="29">
        <f t="shared" si="6"/>
        <v>108169.426</v>
      </c>
      <c r="P20" s="31">
        <v>6</v>
      </c>
      <c r="Q20" s="40">
        <v>1267.9</v>
      </c>
      <c r="R20" s="40">
        <f t="shared" si="7"/>
        <v>14.21897441964403</v>
      </c>
      <c r="S20" s="43">
        <f t="shared" si="8"/>
        <v>0.01545886898903699</v>
      </c>
    </row>
    <row r="21" spans="1:19" ht="30" customHeight="1">
      <c r="A21" s="65" t="s">
        <v>35</v>
      </c>
      <c r="B21">
        <v>6</v>
      </c>
      <c r="C21" s="52" t="s">
        <v>18</v>
      </c>
      <c r="D21" s="25">
        <v>300</v>
      </c>
      <c r="E21" s="25">
        <v>520</v>
      </c>
      <c r="F21" s="25"/>
      <c r="G21" s="24">
        <v>1</v>
      </c>
      <c r="H21" s="24">
        <f t="shared" si="0"/>
        <v>7996.123600000001</v>
      </c>
      <c r="I21" s="24">
        <f t="shared" si="1"/>
        <v>29937486.758400004</v>
      </c>
      <c r="J21" s="24">
        <f t="shared" si="2"/>
        <v>1639.0630582206409</v>
      </c>
      <c r="K21" s="24">
        <f t="shared" si="3"/>
        <v>195.41440442819845</v>
      </c>
      <c r="L21" s="45">
        <f t="shared" si="4"/>
        <v>109.43206647979115</v>
      </c>
      <c r="M21" s="53">
        <f t="shared" si="5"/>
        <v>25.670822307541982</v>
      </c>
      <c r="O21" s="29">
        <f t="shared" si="6"/>
        <v>79961.236</v>
      </c>
      <c r="P21" s="31">
        <v>10</v>
      </c>
      <c r="Q21" s="40">
        <v>1267.9</v>
      </c>
      <c r="R21" s="40">
        <f t="shared" si="7"/>
        <v>6.30658853221863</v>
      </c>
      <c r="S21" s="43">
        <f t="shared" si="8"/>
        <v>0.006856523052228094</v>
      </c>
    </row>
    <row r="22" spans="1:19" ht="30" customHeight="1">
      <c r="A22" s="65" t="s">
        <v>43</v>
      </c>
      <c r="B22">
        <v>7</v>
      </c>
      <c r="C22" s="52" t="s">
        <v>42</v>
      </c>
      <c r="D22" s="25">
        <v>300</v>
      </c>
      <c r="E22" s="25">
        <v>520</v>
      </c>
      <c r="F22" s="25"/>
      <c r="G22" s="24">
        <v>1</v>
      </c>
      <c r="H22" s="24">
        <f t="shared" si="0"/>
        <v>12244.911250000001</v>
      </c>
      <c r="I22" s="24">
        <f t="shared" si="1"/>
        <v>45844947.72</v>
      </c>
      <c r="J22" s="24">
        <f t="shared" si="2"/>
        <v>2509.988925266904</v>
      </c>
      <c r="K22" s="24">
        <f t="shared" si="3"/>
        <v>299.24900600522193</v>
      </c>
      <c r="L22" s="45">
        <f t="shared" si="4"/>
        <v>167.5794433629243</v>
      </c>
      <c r="M22" s="53">
        <f t="shared" si="5"/>
        <v>39.31116583420143</v>
      </c>
      <c r="O22" s="29">
        <f t="shared" si="6"/>
        <v>244898.225</v>
      </c>
      <c r="P22" s="31">
        <v>20</v>
      </c>
      <c r="Q22" s="40">
        <v>1267.9</v>
      </c>
      <c r="R22" s="40">
        <f t="shared" si="7"/>
        <v>9.65763171385756</v>
      </c>
      <c r="S22" s="43">
        <f t="shared" si="8"/>
        <v>0.010499777199305938</v>
      </c>
    </row>
    <row r="23" spans="1:19" ht="30" customHeight="1">
      <c r="A23" s="65" t="s">
        <v>43</v>
      </c>
      <c r="B23">
        <v>8</v>
      </c>
      <c r="C23" s="52" t="s">
        <v>21</v>
      </c>
      <c r="D23" s="25">
        <v>300</v>
      </c>
      <c r="E23" s="25">
        <v>520</v>
      </c>
      <c r="F23" s="25"/>
      <c r="G23" s="24">
        <v>1</v>
      </c>
      <c r="H23" s="24">
        <f t="shared" si="0"/>
        <v>3792.285</v>
      </c>
      <c r="I23" s="24">
        <f t="shared" si="1"/>
        <v>14198315.04</v>
      </c>
      <c r="J23" s="24">
        <f t="shared" si="2"/>
        <v>777.350946619217</v>
      </c>
      <c r="K23" s="24">
        <f t="shared" si="3"/>
        <v>92.67829660574412</v>
      </c>
      <c r="L23" s="45">
        <f t="shared" si="4"/>
        <v>51.89984609921672</v>
      </c>
      <c r="M23" s="53">
        <f t="shared" si="5"/>
        <v>12.174783588207271</v>
      </c>
      <c r="O23" s="29">
        <f t="shared" si="6"/>
        <v>7584.57</v>
      </c>
      <c r="P23" s="31">
        <v>2</v>
      </c>
      <c r="Q23" s="40">
        <v>1267.9</v>
      </c>
      <c r="R23" s="40">
        <f t="shared" si="7"/>
        <v>2.9909969240476375</v>
      </c>
      <c r="S23" s="43">
        <f t="shared" si="8"/>
        <v>0.0032518118558245916</v>
      </c>
    </row>
    <row r="24" spans="1:19" ht="30" customHeight="1">
      <c r="A24" s="65" t="s">
        <v>40</v>
      </c>
      <c r="B24">
        <v>9</v>
      </c>
      <c r="C24" s="52" t="s">
        <v>22</v>
      </c>
      <c r="D24" s="25">
        <v>300</v>
      </c>
      <c r="E24" s="25">
        <v>520</v>
      </c>
      <c r="F24" s="25"/>
      <c r="G24" s="24">
        <v>1</v>
      </c>
      <c r="H24" s="24">
        <f t="shared" si="0"/>
        <v>3541.508</v>
      </c>
      <c r="I24" s="24">
        <f t="shared" si="1"/>
        <v>13259405.952</v>
      </c>
      <c r="J24" s="24">
        <f t="shared" si="2"/>
        <v>725.9461238434163</v>
      </c>
      <c r="K24" s="24">
        <f t="shared" si="3"/>
        <v>86.54964720626631</v>
      </c>
      <c r="L24" s="45">
        <f t="shared" si="4"/>
        <v>48.46780243550914</v>
      </c>
      <c r="M24" s="53">
        <f t="shared" si="5"/>
        <v>11.369687002929567</v>
      </c>
      <c r="O24" s="29">
        <f t="shared" si="6"/>
        <v>10624.524</v>
      </c>
      <c r="P24" s="31">
        <v>3</v>
      </c>
      <c r="Q24" s="40">
        <v>1267.9</v>
      </c>
      <c r="R24" s="40">
        <f t="shared" si="7"/>
        <v>2.793207666219733</v>
      </c>
      <c r="S24" s="43">
        <f t="shared" si="8"/>
        <v>0.0030367753747140938</v>
      </c>
    </row>
    <row r="25" spans="1:19" ht="30" customHeight="1">
      <c r="A25" s="65" t="s">
        <v>35</v>
      </c>
      <c r="B25">
        <v>10</v>
      </c>
      <c r="C25" s="52" t="s">
        <v>38</v>
      </c>
      <c r="D25" s="25">
        <v>300</v>
      </c>
      <c r="E25" s="25">
        <v>520</v>
      </c>
      <c r="F25" s="25"/>
      <c r="G25" s="24">
        <v>1</v>
      </c>
      <c r="H25" s="24">
        <f t="shared" si="0"/>
        <v>5773.414699999999</v>
      </c>
      <c r="I25" s="24">
        <f t="shared" si="1"/>
        <v>21615664.636799995</v>
      </c>
      <c r="J25" s="24">
        <f t="shared" si="2"/>
        <v>1183.4472837010674</v>
      </c>
      <c r="K25" s="24">
        <f t="shared" si="3"/>
        <v>141.094416689295</v>
      </c>
      <c r="L25" s="45">
        <f t="shared" si="4"/>
        <v>79.01287334600521</v>
      </c>
      <c r="M25" s="53">
        <f t="shared" si="5"/>
        <v>18.535019002388953</v>
      </c>
      <c r="O25" s="29">
        <f t="shared" si="6"/>
        <v>57734.147</v>
      </c>
      <c r="P25" s="31">
        <v>10</v>
      </c>
      <c r="Q25" s="40">
        <v>1267.9</v>
      </c>
      <c r="R25" s="40">
        <f t="shared" si="7"/>
        <v>4.55352527801877</v>
      </c>
      <c r="S25" s="43">
        <f t="shared" si="8"/>
        <v>0.004950592682262007</v>
      </c>
    </row>
    <row r="26" spans="1:19" ht="30" customHeight="1">
      <c r="A26" s="65" t="s">
        <v>35</v>
      </c>
      <c r="B26">
        <v>11</v>
      </c>
      <c r="C26" s="52" t="s">
        <v>39</v>
      </c>
      <c r="D26" s="26">
        <v>200</v>
      </c>
      <c r="E26" s="26">
        <v>460</v>
      </c>
      <c r="F26" s="26"/>
      <c r="G26" s="21">
        <v>1</v>
      </c>
      <c r="H26" s="21">
        <f t="shared" si="0"/>
        <v>17701.686</v>
      </c>
      <c r="I26" s="21">
        <f t="shared" si="1"/>
        <v>66275112.384</v>
      </c>
      <c r="J26" s="21">
        <f t="shared" si="2"/>
        <v>3628.530653380783</v>
      </c>
      <c r="K26" s="21">
        <f t="shared" si="3"/>
        <v>432.60517221932116</v>
      </c>
      <c r="L26" s="46">
        <f t="shared" si="4"/>
        <v>242.25889644281986</v>
      </c>
      <c r="M26" s="53">
        <f t="shared" si="5"/>
        <v>57.898193799827084</v>
      </c>
      <c r="O26" s="29">
        <f t="shared" si="6"/>
        <v>35403.372</v>
      </c>
      <c r="P26" s="32">
        <v>2</v>
      </c>
      <c r="Q26" s="40">
        <v>1244.5</v>
      </c>
      <c r="R26" s="40">
        <f t="shared" si="7"/>
        <v>14.223934110084372</v>
      </c>
      <c r="S26" s="43">
        <f t="shared" si="8"/>
        <v>0.015464261164483729</v>
      </c>
    </row>
    <row r="27" spans="1:19" ht="30" customHeight="1">
      <c r="A27" s="65" t="s">
        <v>40</v>
      </c>
      <c r="B27">
        <v>12</v>
      </c>
      <c r="C27" s="54" t="s">
        <v>10</v>
      </c>
      <c r="D27" s="27">
        <v>20</v>
      </c>
      <c r="E27" s="27">
        <v>266</v>
      </c>
      <c r="F27" s="27"/>
      <c r="G27" s="21">
        <v>1</v>
      </c>
      <c r="H27" s="23">
        <f t="shared" si="0"/>
        <v>2912.1096000000002</v>
      </c>
      <c r="I27" s="23">
        <f t="shared" si="1"/>
        <v>10902938.342400001</v>
      </c>
      <c r="J27" s="23">
        <f t="shared" si="2"/>
        <v>596.9306511032029</v>
      </c>
      <c r="K27" s="23">
        <f t="shared" si="3"/>
        <v>71.168004845953</v>
      </c>
      <c r="L27" s="47">
        <f t="shared" si="4"/>
        <v>39.85408271373369</v>
      </c>
      <c r="M27" s="53">
        <f t="shared" si="5"/>
        <v>10.156520063282736</v>
      </c>
      <c r="O27" s="29">
        <f t="shared" si="6"/>
        <v>14560.548</v>
      </c>
      <c r="P27" s="32">
        <v>5</v>
      </c>
      <c r="Q27" s="131">
        <v>1167.1</v>
      </c>
      <c r="R27" s="40">
        <f t="shared" si="7"/>
        <v>2.4951671664810218</v>
      </c>
      <c r="S27" s="43">
        <f t="shared" si="8"/>
        <v>0.0027127457433981667</v>
      </c>
    </row>
    <row r="28" spans="1:19" ht="30" customHeight="1">
      <c r="A28" s="65" t="s">
        <v>44</v>
      </c>
      <c r="B28">
        <v>13</v>
      </c>
      <c r="C28" s="54" t="s">
        <v>12</v>
      </c>
      <c r="D28" s="27">
        <v>20</v>
      </c>
      <c r="E28" s="27">
        <v>266</v>
      </c>
      <c r="F28" s="27"/>
      <c r="G28" s="21">
        <v>1</v>
      </c>
      <c r="H28" s="23">
        <f t="shared" si="0"/>
        <v>3474.9325</v>
      </c>
      <c r="I28" s="23">
        <f t="shared" si="1"/>
        <v>13010147.280000001</v>
      </c>
      <c r="J28" s="23">
        <f t="shared" si="2"/>
        <v>712.2993309608541</v>
      </c>
      <c r="K28" s="23">
        <f t="shared" si="3"/>
        <v>84.92263237597912</v>
      </c>
      <c r="L28" s="47">
        <f t="shared" si="4"/>
        <v>47.55667413054831</v>
      </c>
      <c r="M28" s="53">
        <f t="shared" si="5"/>
        <v>12.11946887397481</v>
      </c>
      <c r="O28" s="29">
        <f t="shared" si="6"/>
        <v>6949.865</v>
      </c>
      <c r="P28" s="32">
        <v>2</v>
      </c>
      <c r="Q28" s="131">
        <v>1167.1</v>
      </c>
      <c r="R28" s="40">
        <f t="shared" si="7"/>
        <v>2.977407677148488</v>
      </c>
      <c r="S28" s="43">
        <f t="shared" si="8"/>
        <v>0.003237037626595836</v>
      </c>
    </row>
    <row r="29" spans="1:19" ht="30" customHeight="1">
      <c r="A29" s="65" t="s">
        <v>44</v>
      </c>
      <c r="B29">
        <v>14</v>
      </c>
      <c r="C29" s="54" t="s">
        <v>16</v>
      </c>
      <c r="D29" s="27">
        <v>20</v>
      </c>
      <c r="E29" s="27">
        <v>266</v>
      </c>
      <c r="F29" s="27"/>
      <c r="G29" s="21">
        <v>1</v>
      </c>
      <c r="H29" s="23">
        <f t="shared" si="0"/>
        <v>15608.074666666667</v>
      </c>
      <c r="I29" s="23">
        <f t="shared" si="1"/>
        <v>58436631.552</v>
      </c>
      <c r="J29" s="23">
        <f t="shared" si="2"/>
        <v>3199.3775829181495</v>
      </c>
      <c r="K29" s="23">
        <f t="shared" si="3"/>
        <v>381.4401537336815</v>
      </c>
      <c r="L29" s="47">
        <f t="shared" si="4"/>
        <v>213.60648609086167</v>
      </c>
      <c r="M29" s="53">
        <f t="shared" si="5"/>
        <v>54.43604303258881</v>
      </c>
      <c r="O29" s="29">
        <f t="shared" si="6"/>
        <v>23412.112</v>
      </c>
      <c r="P29" s="32">
        <v>1.5</v>
      </c>
      <c r="Q29" s="131">
        <v>1167.1</v>
      </c>
      <c r="R29" s="40">
        <f t="shared" si="7"/>
        <v>13.373382457944194</v>
      </c>
      <c r="S29" s="43">
        <f t="shared" si="8"/>
        <v>0.014539541408276927</v>
      </c>
    </row>
    <row r="30" spans="1:19" ht="30" customHeight="1">
      <c r="A30" s="65" t="s">
        <v>45</v>
      </c>
      <c r="B30">
        <v>15</v>
      </c>
      <c r="C30" s="54" t="s">
        <v>20</v>
      </c>
      <c r="D30" s="27">
        <v>20</v>
      </c>
      <c r="E30" s="27">
        <v>266</v>
      </c>
      <c r="F30" s="27"/>
      <c r="G30" s="21">
        <v>1</v>
      </c>
      <c r="H30" s="23">
        <f t="shared" si="0"/>
        <v>10651.3587</v>
      </c>
      <c r="I30" s="23">
        <f t="shared" si="1"/>
        <v>39878686.9728</v>
      </c>
      <c r="J30" s="23">
        <f t="shared" si="2"/>
        <v>2183.339007544484</v>
      </c>
      <c r="K30" s="23">
        <f t="shared" si="3"/>
        <v>260.3047452532637</v>
      </c>
      <c r="L30" s="47">
        <f t="shared" si="4"/>
        <v>145.7706573418277</v>
      </c>
      <c r="M30" s="53">
        <f t="shared" si="5"/>
        <v>37.148580650182645</v>
      </c>
      <c r="O30" s="29">
        <f t="shared" si="6"/>
        <v>532567.935</v>
      </c>
      <c r="P30" s="32">
        <v>50</v>
      </c>
      <c r="Q30" s="131">
        <v>1167.1</v>
      </c>
      <c r="R30" s="40">
        <f t="shared" si="7"/>
        <v>9.126346242824095</v>
      </c>
      <c r="S30" s="43">
        <f t="shared" si="8"/>
        <v>0.009922163635198355</v>
      </c>
    </row>
    <row r="31" spans="1:19" ht="30" customHeight="1" thickBot="1">
      <c r="A31" s="65" t="s">
        <v>35</v>
      </c>
      <c r="B31">
        <v>16</v>
      </c>
      <c r="C31" s="55" t="s">
        <v>24</v>
      </c>
      <c r="D31" s="56">
        <v>20</v>
      </c>
      <c r="E31" s="56">
        <v>266</v>
      </c>
      <c r="F31" s="56"/>
      <c r="G31" s="57">
        <v>1</v>
      </c>
      <c r="H31" s="58">
        <f t="shared" si="0"/>
        <v>6412.6067</v>
      </c>
      <c r="I31" s="58">
        <f t="shared" si="1"/>
        <v>24008799.4848</v>
      </c>
      <c r="J31" s="58">
        <f t="shared" si="2"/>
        <v>1314.4702701779358</v>
      </c>
      <c r="K31" s="58">
        <f t="shared" si="3"/>
        <v>156.7154013368146</v>
      </c>
      <c r="L31" s="59">
        <f t="shared" si="4"/>
        <v>87.7606247486162</v>
      </c>
      <c r="M31" s="60">
        <f t="shared" si="5"/>
        <v>22.365150201246305</v>
      </c>
      <c r="O31" s="29">
        <f t="shared" si="6"/>
        <v>64126.067</v>
      </c>
      <c r="P31" s="32">
        <v>10</v>
      </c>
      <c r="Q31" s="131">
        <v>1167.1</v>
      </c>
      <c r="R31" s="40">
        <f t="shared" si="7"/>
        <v>5.494479222003257</v>
      </c>
      <c r="S31" s="43">
        <f t="shared" si="8"/>
        <v>0.005973597810161941</v>
      </c>
    </row>
    <row r="32" spans="3:13" ht="30" customHeight="1" thickBot="1">
      <c r="C32" s="22"/>
      <c r="D32" s="28"/>
      <c r="E32" s="28"/>
      <c r="F32" s="28"/>
      <c r="G32" s="22"/>
      <c r="H32" s="22"/>
      <c r="I32" s="22"/>
      <c r="J32" s="22"/>
      <c r="K32" s="22">
        <f>SUM(K16:K31)</f>
        <v>3386.7727438558745</v>
      </c>
      <c r="L32" s="48">
        <f>SUM(L16:L31)</f>
        <v>1896.59273655929</v>
      </c>
      <c r="M32" s="39">
        <f>SUM(M16:M31)</f>
        <v>456.8057351069492</v>
      </c>
    </row>
    <row r="33" spans="3:12" ht="30" customHeight="1">
      <c r="C33" s="22"/>
      <c r="D33" s="28"/>
      <c r="E33" s="28"/>
      <c r="F33" s="28"/>
      <c r="G33" s="22"/>
      <c r="H33" s="22"/>
      <c r="I33" s="22"/>
      <c r="J33" s="22"/>
      <c r="K33" s="22"/>
      <c r="L33" s="22"/>
    </row>
    <row r="34" spans="4:6" ht="30" customHeight="1">
      <c r="D34" s="28"/>
      <c r="E34" s="28"/>
      <c r="F34" s="28"/>
    </row>
    <row r="35" spans="4:6" ht="30" customHeight="1">
      <c r="D35" s="28"/>
      <c r="E35" s="28"/>
      <c r="F35" s="28"/>
    </row>
    <row r="36" ht="13.5" customHeight="1"/>
    <row r="37" ht="13.5" customHeight="1"/>
    <row r="38" spans="10:12" ht="13.5" customHeight="1">
      <c r="J38" s="34" t="s">
        <v>6</v>
      </c>
      <c r="K38" s="4"/>
      <c r="L38" s="10"/>
    </row>
    <row r="39" spans="8:14" ht="13.5" customHeight="1">
      <c r="H39" s="242"/>
      <c r="I39" s="242"/>
      <c r="J39" s="242"/>
      <c r="K39" s="63"/>
      <c r="L39" s="243"/>
      <c r="M39" s="242"/>
      <c r="N39" s="242"/>
    </row>
    <row r="40" spans="8:14" ht="13.5" customHeight="1">
      <c r="H40" s="242"/>
      <c r="I40" s="2"/>
      <c r="J40" s="243"/>
      <c r="K40" s="63"/>
      <c r="L40" s="244"/>
      <c r="M40" s="242"/>
      <c r="N40" s="242"/>
    </row>
    <row r="41" spans="8:14" ht="13.5" customHeight="1">
      <c r="H41" s="242"/>
      <c r="I41" s="245"/>
      <c r="J41" s="243"/>
      <c r="K41" s="63"/>
      <c r="L41" s="246"/>
      <c r="M41" s="242"/>
      <c r="N41" s="242"/>
    </row>
    <row r="42" spans="8:14" ht="13.5" customHeight="1">
      <c r="H42" s="242"/>
      <c r="I42" s="2"/>
      <c r="J42" s="243"/>
      <c r="K42" s="63"/>
      <c r="L42" s="63"/>
      <c r="M42" s="242"/>
      <c r="N42" s="242"/>
    </row>
    <row r="43" spans="11:12" ht="13.5" customHeight="1">
      <c r="K43" s="2"/>
      <c r="L43" s="2"/>
    </row>
    <row r="44" spans="4:13" ht="13.5" customHeight="1">
      <c r="D44" s="20" t="s">
        <v>25</v>
      </c>
      <c r="E44" s="20"/>
      <c r="F44" s="20"/>
      <c r="G44" s="20"/>
      <c r="H44" s="20"/>
      <c r="K44" s="18" t="s">
        <v>0</v>
      </c>
      <c r="L44" s="18"/>
      <c r="M44" s="132">
        <v>1.087</v>
      </c>
    </row>
    <row r="45" spans="4:12" ht="13.5" customHeight="1">
      <c r="D45" s="20" t="s">
        <v>26</v>
      </c>
      <c r="E45" s="20"/>
      <c r="F45" s="20"/>
      <c r="G45" s="20"/>
      <c r="H45" s="20"/>
      <c r="K45" s="2"/>
      <c r="L45" s="2"/>
    </row>
    <row r="46" spans="4:12" ht="13.5" customHeight="1">
      <c r="D46" s="20" t="s">
        <v>28</v>
      </c>
      <c r="E46" s="20"/>
      <c r="F46" s="20"/>
      <c r="G46" s="20"/>
      <c r="H46" s="20"/>
      <c r="K46" s="2"/>
      <c r="L46" s="2"/>
    </row>
    <row r="47" spans="4:12" ht="13.5" customHeight="1">
      <c r="D47" s="20" t="s">
        <v>27</v>
      </c>
      <c r="E47" s="20"/>
      <c r="F47" s="20"/>
      <c r="G47" s="20"/>
      <c r="H47" s="20"/>
      <c r="K47" s="2"/>
      <c r="L47" s="2"/>
    </row>
    <row r="48" ht="13.5" customHeight="1">
      <c r="P48" t="s">
        <v>74</v>
      </c>
    </row>
    <row r="49" ht="13.5" customHeight="1" thickBot="1">
      <c r="Q49" t="s">
        <v>71</v>
      </c>
    </row>
    <row r="50" spans="3:19" ht="64.5" customHeight="1">
      <c r="C50" s="49" t="s">
        <v>7</v>
      </c>
      <c r="D50" s="50" t="s">
        <v>8</v>
      </c>
      <c r="E50" s="50" t="s">
        <v>84</v>
      </c>
      <c r="F50" s="144" t="s">
        <v>87</v>
      </c>
      <c r="G50" s="50" t="s">
        <v>78</v>
      </c>
      <c r="H50" s="50" t="s">
        <v>86</v>
      </c>
      <c r="I50" s="50" t="s">
        <v>75</v>
      </c>
      <c r="J50" s="50" t="s">
        <v>79</v>
      </c>
      <c r="K50" s="50" t="s">
        <v>83</v>
      </c>
      <c r="L50" s="142" t="s">
        <v>33</v>
      </c>
      <c r="M50" s="143" t="s">
        <v>32</v>
      </c>
      <c r="Q50" t="s">
        <v>72</v>
      </c>
      <c r="R50" t="s">
        <v>30</v>
      </c>
      <c r="S50" t="s">
        <v>31</v>
      </c>
    </row>
    <row r="51" spans="2:20" ht="24.75" customHeight="1">
      <c r="B51">
        <v>1</v>
      </c>
      <c r="C51" s="52" t="s">
        <v>9</v>
      </c>
      <c r="D51" s="25">
        <v>300</v>
      </c>
      <c r="E51" s="25">
        <v>520</v>
      </c>
      <c r="F51" s="27" t="s">
        <v>29</v>
      </c>
      <c r="G51" s="135">
        <v>100</v>
      </c>
      <c r="H51" s="38">
        <v>187594.028</v>
      </c>
      <c r="I51" s="24">
        <f aca="true" t="shared" si="9" ref="I51:I66">H51*24*156</f>
        <v>702352040.832</v>
      </c>
      <c r="J51" s="24">
        <f aca="true" t="shared" si="10" ref="J51:J66">I51/18265</f>
        <v>38453.43776797153</v>
      </c>
      <c r="K51" s="24">
        <f aca="true" t="shared" si="11" ref="K51:K66">I51/153200</f>
        <v>4584.543347467363</v>
      </c>
      <c r="L51" s="24">
        <f aca="true" t="shared" si="12" ref="L51:L66">K51*0.56</f>
        <v>2567.3442745817233</v>
      </c>
      <c r="M51" s="61">
        <f aca="true" t="shared" si="13" ref="M51:M66">S51*3744</f>
        <v>602.2534417482059</v>
      </c>
      <c r="Q51" s="40">
        <v>1267.9</v>
      </c>
      <c r="R51" s="40">
        <f aca="true" t="shared" si="14" ref="R51:R66">H51/Q51</f>
        <v>147.95648552724975</v>
      </c>
      <c r="S51" s="40">
        <f aca="true" t="shared" si="15" ref="S51:S66">R51*0.0010872</f>
        <v>0.16085829106522592</v>
      </c>
      <c r="T51" s="40"/>
    </row>
    <row r="52" spans="2:20" ht="24.75" customHeight="1">
      <c r="B52">
        <v>2</v>
      </c>
      <c r="C52" s="140" t="s">
        <v>85</v>
      </c>
      <c r="D52" s="25">
        <v>300</v>
      </c>
      <c r="E52" s="25">
        <v>520</v>
      </c>
      <c r="F52" s="27" t="s">
        <v>35</v>
      </c>
      <c r="G52" s="136">
        <v>5</v>
      </c>
      <c r="H52" s="141">
        <v>63689.594</v>
      </c>
      <c r="I52" s="24">
        <f t="shared" si="9"/>
        <v>238453839.93600002</v>
      </c>
      <c r="J52" s="24">
        <f t="shared" si="10"/>
        <v>13055.233503202848</v>
      </c>
      <c r="K52" s="24">
        <f t="shared" si="11"/>
        <v>1556.4872058485641</v>
      </c>
      <c r="L52" s="24">
        <f t="shared" si="12"/>
        <v>871.632835275196</v>
      </c>
      <c r="M52" s="61">
        <f t="shared" si="13"/>
        <v>204.46960704978244</v>
      </c>
      <c r="Q52" s="40">
        <v>1267.9</v>
      </c>
      <c r="R52" s="40">
        <f t="shared" si="14"/>
        <v>50.232347976969784</v>
      </c>
      <c r="S52" s="40">
        <f t="shared" si="15"/>
        <v>0.05461260872056155</v>
      </c>
      <c r="T52" s="40"/>
    </row>
    <row r="53" spans="2:20" ht="24.75" customHeight="1">
      <c r="B53">
        <v>3</v>
      </c>
      <c r="C53" s="52" t="s">
        <v>14</v>
      </c>
      <c r="D53" s="25">
        <v>300</v>
      </c>
      <c r="E53" s="25">
        <v>520</v>
      </c>
      <c r="F53" s="27" t="s">
        <v>40</v>
      </c>
      <c r="G53" s="136">
        <v>3</v>
      </c>
      <c r="H53" s="38">
        <v>28041.184</v>
      </c>
      <c r="I53" s="24">
        <f t="shared" si="9"/>
        <v>104986192.896</v>
      </c>
      <c r="J53" s="24">
        <f t="shared" si="10"/>
        <v>5747.943766548043</v>
      </c>
      <c r="K53" s="24">
        <f t="shared" si="11"/>
        <v>685.2884653785901</v>
      </c>
      <c r="L53" s="24">
        <f t="shared" si="12"/>
        <v>383.7615406120105</v>
      </c>
      <c r="M53" s="61">
        <f t="shared" si="13"/>
        <v>90.02365243042132</v>
      </c>
      <c r="Q53" s="40">
        <v>1267.9</v>
      </c>
      <c r="R53" s="40">
        <f t="shared" si="14"/>
        <v>22.116242605883745</v>
      </c>
      <c r="S53" s="40">
        <f t="shared" si="15"/>
        <v>0.024044778961116807</v>
      </c>
      <c r="T53" s="40"/>
    </row>
    <row r="54" spans="2:20" ht="24.75" customHeight="1">
      <c r="B54">
        <v>4</v>
      </c>
      <c r="C54" s="52" t="s">
        <v>15</v>
      </c>
      <c r="D54" s="25">
        <v>300</v>
      </c>
      <c r="E54" s="25">
        <v>520</v>
      </c>
      <c r="F54" s="27" t="s">
        <v>29</v>
      </c>
      <c r="G54" s="136">
        <v>3</v>
      </c>
      <c r="H54" s="38">
        <v>19453.558</v>
      </c>
      <c r="I54" s="24">
        <f t="shared" si="9"/>
        <v>72834121.152</v>
      </c>
      <c r="J54" s="24">
        <f t="shared" si="10"/>
        <v>3987.6332412811385</v>
      </c>
      <c r="K54" s="24">
        <f t="shared" si="11"/>
        <v>475.41854537859007</v>
      </c>
      <c r="L54" s="24">
        <f t="shared" si="12"/>
        <v>266.23438541201045</v>
      </c>
      <c r="M54" s="61">
        <f t="shared" si="13"/>
        <v>62.453865854132346</v>
      </c>
      <c r="Q54" s="40">
        <v>1267.9</v>
      </c>
      <c r="R54" s="40">
        <f t="shared" si="14"/>
        <v>15.343132739175013</v>
      </c>
      <c r="S54" s="40">
        <f t="shared" si="15"/>
        <v>0.016681053914031074</v>
      </c>
      <c r="T54" s="40"/>
    </row>
    <row r="55" spans="2:20" ht="24.75" customHeight="1">
      <c r="B55">
        <v>5</v>
      </c>
      <c r="C55" s="52" t="s">
        <v>17</v>
      </c>
      <c r="D55" s="25">
        <v>300</v>
      </c>
      <c r="E55" s="25">
        <v>520</v>
      </c>
      <c r="F55" s="27" t="s">
        <v>41</v>
      </c>
      <c r="G55" s="136">
        <v>6</v>
      </c>
      <c r="H55" s="38">
        <v>108169.426</v>
      </c>
      <c r="I55" s="24">
        <f t="shared" si="9"/>
        <v>404986330.94400007</v>
      </c>
      <c r="J55" s="24">
        <f t="shared" si="10"/>
        <v>22172.80760711744</v>
      </c>
      <c r="K55" s="24">
        <f t="shared" si="11"/>
        <v>2643.5139095561362</v>
      </c>
      <c r="L55" s="24">
        <f t="shared" si="12"/>
        <v>1480.3677893514364</v>
      </c>
      <c r="M55" s="61">
        <f t="shared" si="13"/>
        <v>347.26803296972696</v>
      </c>
      <c r="Q55" s="40">
        <v>1267.9</v>
      </c>
      <c r="R55" s="40">
        <f t="shared" si="14"/>
        <v>85.31384651786418</v>
      </c>
      <c r="S55" s="40">
        <f t="shared" si="15"/>
        <v>0.09275321393422194</v>
      </c>
      <c r="T55" s="40"/>
    </row>
    <row r="56" spans="2:20" ht="24.75" customHeight="1">
      <c r="B56">
        <v>6</v>
      </c>
      <c r="C56" s="52" t="s">
        <v>18</v>
      </c>
      <c r="D56" s="25">
        <v>300</v>
      </c>
      <c r="E56" s="25">
        <v>520</v>
      </c>
      <c r="F56" s="27" t="s">
        <v>29</v>
      </c>
      <c r="G56" s="136">
        <v>10</v>
      </c>
      <c r="H56" s="38">
        <v>79961.236</v>
      </c>
      <c r="I56" s="24">
        <f t="shared" si="9"/>
        <v>299374867.584</v>
      </c>
      <c r="J56" s="24">
        <f t="shared" si="10"/>
        <v>16390.630582206406</v>
      </c>
      <c r="K56" s="24">
        <f t="shared" si="11"/>
        <v>1954.1440442819842</v>
      </c>
      <c r="L56" s="24">
        <f t="shared" si="12"/>
        <v>1094.3206647979111</v>
      </c>
      <c r="M56" s="61">
        <f t="shared" si="13"/>
        <v>256.7082230754198</v>
      </c>
      <c r="Q56" s="40">
        <v>1267.9</v>
      </c>
      <c r="R56" s="40">
        <f t="shared" si="14"/>
        <v>63.06588532218629</v>
      </c>
      <c r="S56" s="40">
        <f t="shared" si="15"/>
        <v>0.06856523052228093</v>
      </c>
      <c r="T56" s="40"/>
    </row>
    <row r="57" spans="2:20" ht="24.75" customHeight="1">
      <c r="B57">
        <v>7</v>
      </c>
      <c r="C57" s="52" t="s">
        <v>19</v>
      </c>
      <c r="D57" s="25">
        <v>300</v>
      </c>
      <c r="E57" s="25">
        <v>520</v>
      </c>
      <c r="F57" s="27" t="s">
        <v>40</v>
      </c>
      <c r="G57" s="136">
        <v>20</v>
      </c>
      <c r="H57" s="38">
        <v>244898.225</v>
      </c>
      <c r="I57" s="24">
        <f t="shared" si="9"/>
        <v>916898954.4000001</v>
      </c>
      <c r="J57" s="24">
        <f t="shared" si="10"/>
        <v>50199.77850533809</v>
      </c>
      <c r="K57" s="24">
        <f t="shared" si="11"/>
        <v>5984.980120104439</v>
      </c>
      <c r="L57" s="24">
        <f t="shared" si="12"/>
        <v>3351.5888672584865</v>
      </c>
      <c r="M57" s="61">
        <f t="shared" si="13"/>
        <v>786.2233166840286</v>
      </c>
      <c r="Q57" s="40">
        <v>1267.9</v>
      </c>
      <c r="R57" s="40">
        <f t="shared" si="14"/>
        <v>193.15263427715118</v>
      </c>
      <c r="S57" s="40">
        <f t="shared" si="15"/>
        <v>0.20999554398611875</v>
      </c>
      <c r="T57" s="40"/>
    </row>
    <row r="58" spans="2:20" ht="24.75" customHeight="1">
      <c r="B58">
        <v>8</v>
      </c>
      <c r="C58" s="52" t="s">
        <v>21</v>
      </c>
      <c r="D58" s="25">
        <v>300</v>
      </c>
      <c r="E58" s="25">
        <v>520</v>
      </c>
      <c r="F58" s="27" t="s">
        <v>29</v>
      </c>
      <c r="G58" s="136">
        <v>2</v>
      </c>
      <c r="H58" s="38">
        <v>7584.57</v>
      </c>
      <c r="I58" s="24">
        <f t="shared" si="9"/>
        <v>28396630.08</v>
      </c>
      <c r="J58" s="24">
        <f t="shared" si="10"/>
        <v>1554.701893238434</v>
      </c>
      <c r="K58" s="24">
        <f t="shared" si="11"/>
        <v>185.35659321148825</v>
      </c>
      <c r="L58" s="24">
        <f t="shared" si="12"/>
        <v>103.79969219843343</v>
      </c>
      <c r="M58" s="61">
        <f t="shared" si="13"/>
        <v>24.349567176414542</v>
      </c>
      <c r="Q58" s="40">
        <v>1267.9</v>
      </c>
      <c r="R58" s="40">
        <f t="shared" si="14"/>
        <v>5.981993848095275</v>
      </c>
      <c r="S58" s="40">
        <f t="shared" si="15"/>
        <v>0.006503623711649183</v>
      </c>
      <c r="T58" s="40"/>
    </row>
    <row r="59" spans="2:20" ht="24.75" customHeight="1">
      <c r="B59">
        <v>9</v>
      </c>
      <c r="C59" s="52" t="s">
        <v>22</v>
      </c>
      <c r="D59" s="25">
        <v>300</v>
      </c>
      <c r="E59" s="25">
        <v>520</v>
      </c>
      <c r="F59" s="27" t="s">
        <v>40</v>
      </c>
      <c r="G59" s="136">
        <v>3</v>
      </c>
      <c r="H59" s="38">
        <v>10624.524</v>
      </c>
      <c r="I59" s="24">
        <f t="shared" si="9"/>
        <v>39778217.856</v>
      </c>
      <c r="J59" s="24">
        <f t="shared" si="10"/>
        <v>2177.838371530249</v>
      </c>
      <c r="K59" s="24">
        <f t="shared" si="11"/>
        <v>259.648941618799</v>
      </c>
      <c r="L59" s="24">
        <f t="shared" si="12"/>
        <v>145.40340730652744</v>
      </c>
      <c r="M59" s="61">
        <f t="shared" si="13"/>
        <v>34.1090610087887</v>
      </c>
      <c r="Q59" s="40">
        <v>1267.9</v>
      </c>
      <c r="R59" s="40">
        <f t="shared" si="14"/>
        <v>8.3796229986592</v>
      </c>
      <c r="S59" s="40">
        <f t="shared" si="15"/>
        <v>0.009110326124142282</v>
      </c>
      <c r="T59" s="40"/>
    </row>
    <row r="60" spans="2:20" ht="24.75" customHeight="1">
      <c r="B60">
        <v>1</v>
      </c>
      <c r="C60" s="52" t="s">
        <v>23</v>
      </c>
      <c r="D60" s="25">
        <v>300</v>
      </c>
      <c r="E60" s="25">
        <v>520</v>
      </c>
      <c r="F60" s="27" t="s">
        <v>35</v>
      </c>
      <c r="G60" s="136">
        <v>10</v>
      </c>
      <c r="H60" s="38">
        <v>57734.147</v>
      </c>
      <c r="I60" s="24">
        <f t="shared" si="9"/>
        <v>216156646.368</v>
      </c>
      <c r="J60" s="24">
        <f t="shared" si="10"/>
        <v>11834.472837010677</v>
      </c>
      <c r="K60" s="24">
        <f t="shared" si="11"/>
        <v>1410.9441668929503</v>
      </c>
      <c r="L60" s="24">
        <f t="shared" si="12"/>
        <v>790.1287334600522</v>
      </c>
      <c r="M60" s="61">
        <f t="shared" si="13"/>
        <v>185.35019002388952</v>
      </c>
      <c r="Q60" s="40">
        <v>1267.9</v>
      </c>
      <c r="R60" s="40">
        <f t="shared" si="14"/>
        <v>45.535252780187705</v>
      </c>
      <c r="S60" s="40">
        <f t="shared" si="15"/>
        <v>0.04950592682262007</v>
      </c>
      <c r="T60" s="40"/>
    </row>
    <row r="61" spans="2:20" ht="25.5">
      <c r="B61">
        <v>11</v>
      </c>
      <c r="C61" s="52" t="s">
        <v>13</v>
      </c>
      <c r="D61" s="26">
        <v>200</v>
      </c>
      <c r="E61" s="26">
        <v>460</v>
      </c>
      <c r="F61" s="27" t="s">
        <v>35</v>
      </c>
      <c r="G61" s="137">
        <v>2</v>
      </c>
      <c r="H61" s="38">
        <v>35403.372</v>
      </c>
      <c r="I61" s="24">
        <f t="shared" si="9"/>
        <v>132550224.768</v>
      </c>
      <c r="J61" s="21">
        <f t="shared" si="10"/>
        <v>7257.061306761566</v>
      </c>
      <c r="K61" s="24">
        <f t="shared" si="11"/>
        <v>865.2103444386423</v>
      </c>
      <c r="L61" s="24">
        <f t="shared" si="12"/>
        <v>484.5177928856397</v>
      </c>
      <c r="M61" s="61">
        <f t="shared" si="13"/>
        <v>115.79638759965417</v>
      </c>
      <c r="Q61" s="40">
        <v>1244.5</v>
      </c>
      <c r="R61" s="40">
        <f t="shared" si="14"/>
        <v>28.447868220168743</v>
      </c>
      <c r="S61" s="40">
        <f t="shared" si="15"/>
        <v>0.030928522328967457</v>
      </c>
      <c r="T61" s="40"/>
    </row>
    <row r="62" spans="2:20" ht="25.5">
      <c r="B62">
        <v>12</v>
      </c>
      <c r="C62" s="54" t="s">
        <v>10</v>
      </c>
      <c r="D62" s="27">
        <v>20</v>
      </c>
      <c r="E62" s="27">
        <v>266</v>
      </c>
      <c r="F62" s="27" t="s">
        <v>40</v>
      </c>
      <c r="G62" s="137">
        <v>5</v>
      </c>
      <c r="H62" s="38">
        <v>14560.548</v>
      </c>
      <c r="I62" s="24">
        <f t="shared" si="9"/>
        <v>54514691.712</v>
      </c>
      <c r="J62" s="23">
        <f t="shared" si="10"/>
        <v>2984.6532555160143</v>
      </c>
      <c r="K62" s="24">
        <f t="shared" si="11"/>
        <v>355.840024229765</v>
      </c>
      <c r="L62" s="24">
        <f t="shared" si="12"/>
        <v>199.2704135686684</v>
      </c>
      <c r="M62" s="61">
        <f t="shared" si="13"/>
        <v>50.78260031641368</v>
      </c>
      <c r="Q62" s="131">
        <v>1167.1</v>
      </c>
      <c r="R62" s="40">
        <f t="shared" si="14"/>
        <v>12.475835832405108</v>
      </c>
      <c r="S62" s="40">
        <f t="shared" si="15"/>
        <v>0.013563728716990834</v>
      </c>
      <c r="T62" s="40"/>
    </row>
    <row r="63" spans="2:20" ht="25.5">
      <c r="B63">
        <v>13</v>
      </c>
      <c r="C63" s="54" t="s">
        <v>12</v>
      </c>
      <c r="D63" s="27">
        <v>20</v>
      </c>
      <c r="E63" s="27">
        <v>266</v>
      </c>
      <c r="F63" s="27" t="s">
        <v>41</v>
      </c>
      <c r="G63" s="137">
        <v>2</v>
      </c>
      <c r="H63" s="38">
        <v>6949.865</v>
      </c>
      <c r="I63" s="24">
        <f t="shared" si="9"/>
        <v>26020294.560000002</v>
      </c>
      <c r="J63" s="23">
        <f t="shared" si="10"/>
        <v>1424.5986619217083</v>
      </c>
      <c r="K63" s="24">
        <f t="shared" si="11"/>
        <v>169.84526475195824</v>
      </c>
      <c r="L63" s="24">
        <f t="shared" si="12"/>
        <v>95.11334826109662</v>
      </c>
      <c r="M63" s="61">
        <f t="shared" si="13"/>
        <v>24.23893774794962</v>
      </c>
      <c r="Q63" s="131">
        <v>1167.1</v>
      </c>
      <c r="R63" s="40">
        <f t="shared" si="14"/>
        <v>5.954815354296976</v>
      </c>
      <c r="S63" s="40">
        <f t="shared" si="15"/>
        <v>0.006474075253191672</v>
      </c>
      <c r="T63" s="40"/>
    </row>
    <row r="64" spans="2:20" ht="34.5" customHeight="1">
      <c r="B64">
        <v>14</v>
      </c>
      <c r="C64" s="54" t="s">
        <v>16</v>
      </c>
      <c r="D64" s="27">
        <v>20</v>
      </c>
      <c r="E64" s="27">
        <v>266</v>
      </c>
      <c r="F64" s="27" t="s">
        <v>44</v>
      </c>
      <c r="G64" s="134">
        <v>1.5</v>
      </c>
      <c r="H64" s="38">
        <v>23412.112</v>
      </c>
      <c r="I64" s="24">
        <f t="shared" si="9"/>
        <v>87654947.32800001</v>
      </c>
      <c r="J64" s="23">
        <f t="shared" si="10"/>
        <v>4799.066374377225</v>
      </c>
      <c r="K64" s="24">
        <f t="shared" si="11"/>
        <v>572.1602306005223</v>
      </c>
      <c r="L64" s="24">
        <f t="shared" si="12"/>
        <v>320.40972913629247</v>
      </c>
      <c r="M64" s="61">
        <f t="shared" si="13"/>
        <v>81.65406454888323</v>
      </c>
      <c r="Q64" s="131">
        <v>1167.1</v>
      </c>
      <c r="R64" s="40">
        <f t="shared" si="14"/>
        <v>20.06007368691629</v>
      </c>
      <c r="S64" s="40">
        <f t="shared" si="15"/>
        <v>0.02180931211241539</v>
      </c>
      <c r="T64" s="40"/>
    </row>
    <row r="65" spans="2:20" ht="25.5">
      <c r="B65">
        <v>15</v>
      </c>
      <c r="C65" s="54" t="s">
        <v>20</v>
      </c>
      <c r="D65" s="27">
        <v>20</v>
      </c>
      <c r="E65" s="27">
        <v>266</v>
      </c>
      <c r="F65" s="27" t="s">
        <v>50</v>
      </c>
      <c r="G65" s="137">
        <v>50</v>
      </c>
      <c r="H65" s="38">
        <v>532567.935</v>
      </c>
      <c r="I65" s="24">
        <f t="shared" si="9"/>
        <v>1993934348.64</v>
      </c>
      <c r="J65" s="23">
        <f t="shared" si="10"/>
        <v>109166.9503772242</v>
      </c>
      <c r="K65" s="24">
        <f t="shared" si="11"/>
        <v>13015.237262663186</v>
      </c>
      <c r="L65" s="24">
        <f t="shared" si="12"/>
        <v>7288.532867091385</v>
      </c>
      <c r="M65" s="61">
        <f t="shared" si="13"/>
        <v>1857.4290325091322</v>
      </c>
      <c r="Q65" s="131">
        <v>1167.1</v>
      </c>
      <c r="R65" s="40">
        <f t="shared" si="14"/>
        <v>456.31731214120475</v>
      </c>
      <c r="S65" s="40">
        <f t="shared" si="15"/>
        <v>0.4961081817599178</v>
      </c>
      <c r="T65" s="40"/>
    </row>
    <row r="66" spans="2:20" ht="26.25" thickBot="1">
      <c r="B66">
        <v>16</v>
      </c>
      <c r="C66" s="55" t="s">
        <v>24</v>
      </c>
      <c r="D66" s="56">
        <v>20</v>
      </c>
      <c r="E66" s="56">
        <v>266</v>
      </c>
      <c r="F66" s="27" t="s">
        <v>35</v>
      </c>
      <c r="G66" s="138">
        <v>10</v>
      </c>
      <c r="H66" s="62">
        <v>64126.067</v>
      </c>
      <c r="I66" s="139">
        <f t="shared" si="9"/>
        <v>240087994.848</v>
      </c>
      <c r="J66" s="58">
        <f t="shared" si="10"/>
        <v>13144.702701779359</v>
      </c>
      <c r="K66" s="139">
        <f t="shared" si="11"/>
        <v>1567.1540133681463</v>
      </c>
      <c r="L66" s="24">
        <f t="shared" si="12"/>
        <v>877.606247486162</v>
      </c>
      <c r="M66" s="61">
        <f t="shared" si="13"/>
        <v>223.65150201246306</v>
      </c>
      <c r="Q66" s="131">
        <v>1167.1</v>
      </c>
      <c r="R66" s="40">
        <f t="shared" si="14"/>
        <v>54.94479222003257</v>
      </c>
      <c r="S66" s="40">
        <f t="shared" si="15"/>
        <v>0.05973597810161941</v>
      </c>
      <c r="T66" s="40"/>
    </row>
    <row r="67" spans="11:13" ht="36" customHeight="1" thickBot="1">
      <c r="K67" s="133"/>
      <c r="L67" s="48">
        <f>SUM(L51:L66)</f>
        <v>20320.032588683032</v>
      </c>
      <c r="M67" s="44">
        <f>SUM(M51:M66)</f>
        <v>4946.761482755306</v>
      </c>
    </row>
    <row r="68" ht="12.75">
      <c r="K68" s="22">
        <f>SUM(K51:K66)</f>
        <v>36285.77247979112</v>
      </c>
    </row>
  </sheetData>
  <printOptions horizontalCentered="1" verticalCentered="1"/>
  <pageMargins left="0.75" right="0.75" top="1" bottom="1" header="0" footer="0"/>
  <pageSetup horizontalDpi="600" verticalDpi="600" orientation="landscape" paperSize="9" scale="65" r:id="rId1"/>
  <headerFooter alignWithMargins="0">
    <oddFooter>&amp;LCompañía Azucarera Valdez&amp;R80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B19">
      <selection activeCell="B51" sqref="B51"/>
    </sheetView>
  </sheetViews>
  <sheetFormatPr defaultColWidth="11.421875" defaultRowHeight="12.75"/>
  <cols>
    <col min="3" max="3" width="37.57421875" style="0" customWidth="1"/>
    <col min="4" max="4" width="7.8515625" style="0" customWidth="1"/>
    <col min="5" max="5" width="12.57421875" style="0" customWidth="1"/>
    <col min="6" max="7" width="9.00390625" style="0" customWidth="1"/>
    <col min="8" max="8" width="9.140625" style="0" hidden="1" customWidth="1"/>
    <col min="10" max="10" width="14.00390625" style="0" customWidth="1"/>
    <col min="11" max="12" width="10.7109375" style="0" customWidth="1"/>
    <col min="13" max="13" width="16.28125" style="0" customWidth="1"/>
    <col min="14" max="14" width="16.57421875" style="0" customWidth="1"/>
    <col min="16" max="16" width="11.57421875" style="0" bestFit="1" customWidth="1"/>
    <col min="17" max="17" width="7.57421875" style="0" bestFit="1" customWidth="1"/>
    <col min="18" max="18" width="14.7109375" style="0" customWidth="1"/>
    <col min="19" max="19" width="8.57421875" style="0" customWidth="1"/>
    <col min="20" max="20" width="7.57421875" style="0" bestFit="1" customWidth="1"/>
    <col min="21" max="21" width="9.8515625" style="0" customWidth="1"/>
  </cols>
  <sheetData>
    <row r="1" spans="1:17" ht="12.75">
      <c r="A1">
        <v>0</v>
      </c>
      <c r="P1" s="33"/>
      <c r="Q1" s="33"/>
    </row>
    <row r="2" spans="1:2" ht="12.75">
      <c r="A2" s="1"/>
      <c r="B2" s="1"/>
    </row>
    <row r="3" spans="1:18" ht="15.75">
      <c r="A3" s="1"/>
      <c r="B3" s="1"/>
      <c r="K3" s="34" t="s">
        <v>6</v>
      </c>
      <c r="L3" s="4"/>
      <c r="M3" s="10"/>
      <c r="N3" s="4"/>
      <c r="O3" s="11"/>
      <c r="P3" s="4"/>
      <c r="Q3" s="4"/>
      <c r="R3" s="12"/>
    </row>
    <row r="4" spans="12:18" ht="15">
      <c r="L4" s="4"/>
      <c r="M4" s="10"/>
      <c r="N4" s="4"/>
      <c r="O4" s="4"/>
      <c r="P4" s="4"/>
      <c r="Q4" s="4"/>
      <c r="R4" s="12"/>
    </row>
    <row r="5" spans="2:18" ht="15.75">
      <c r="B5" s="1"/>
      <c r="J5" s="2"/>
      <c r="K5" s="243"/>
      <c r="L5" s="63"/>
      <c r="M5" s="244"/>
      <c r="N5" s="242"/>
      <c r="O5" s="35"/>
      <c r="P5" s="63"/>
      <c r="Q5" s="35"/>
      <c r="R5" s="12"/>
    </row>
    <row r="6" spans="1:18" ht="15.75">
      <c r="A6" s="1"/>
      <c r="B6" s="1"/>
      <c r="J6" s="245"/>
      <c r="K6" s="243"/>
      <c r="L6" s="63"/>
      <c r="M6" s="246"/>
      <c r="N6" s="242"/>
      <c r="O6" s="35"/>
      <c r="P6" s="64"/>
      <c r="Q6" s="35"/>
      <c r="R6" s="12"/>
    </row>
    <row r="7" spans="1:18" ht="15.75">
      <c r="A7" s="2"/>
      <c r="B7" s="2"/>
      <c r="J7" s="2"/>
      <c r="K7" s="243"/>
      <c r="L7" s="63"/>
      <c r="M7" s="63"/>
      <c r="N7" s="242"/>
      <c r="O7" s="36"/>
      <c r="P7" s="63"/>
      <c r="Q7" s="36"/>
      <c r="R7" s="12"/>
    </row>
    <row r="8" spans="1:18" ht="15">
      <c r="A8" s="2"/>
      <c r="B8" s="2"/>
      <c r="L8" s="2"/>
      <c r="M8" s="2"/>
      <c r="N8" s="9"/>
      <c r="O8" s="2"/>
      <c r="P8" s="2"/>
      <c r="Q8" s="2"/>
      <c r="R8" s="12"/>
    </row>
    <row r="9" spans="4:18" ht="15.75">
      <c r="D9" s="20" t="s">
        <v>25</v>
      </c>
      <c r="E9" s="20"/>
      <c r="F9" s="20"/>
      <c r="G9" s="20"/>
      <c r="H9" s="20"/>
      <c r="I9" s="20"/>
      <c r="L9" s="18" t="s">
        <v>0</v>
      </c>
      <c r="M9" s="18"/>
      <c r="N9" s="132">
        <v>1.087</v>
      </c>
      <c r="O9" s="2"/>
      <c r="P9" s="2"/>
      <c r="Q9" s="2"/>
      <c r="R9" s="12"/>
    </row>
    <row r="10" spans="4:17" ht="15.75">
      <c r="D10" s="20" t="s">
        <v>26</v>
      </c>
      <c r="E10" s="20"/>
      <c r="F10" s="20"/>
      <c r="G10" s="20"/>
      <c r="H10" s="20"/>
      <c r="I10" s="20"/>
      <c r="L10" s="2"/>
      <c r="M10" s="2"/>
      <c r="N10" s="3"/>
      <c r="O10" s="2"/>
      <c r="P10" s="2"/>
      <c r="Q10" s="2"/>
    </row>
    <row r="11" spans="4:17" ht="15.75">
      <c r="D11" s="20" t="s">
        <v>28</v>
      </c>
      <c r="E11" s="20"/>
      <c r="F11" s="20"/>
      <c r="G11" s="20"/>
      <c r="H11" s="20"/>
      <c r="I11" s="20"/>
      <c r="L11" s="2"/>
      <c r="M11" s="2"/>
      <c r="N11" s="3"/>
      <c r="O11" s="2"/>
      <c r="P11" s="2"/>
      <c r="Q11" s="2"/>
    </row>
    <row r="12" spans="4:17" ht="15.75">
      <c r="D12" s="20" t="s">
        <v>27</v>
      </c>
      <c r="E12" s="20"/>
      <c r="F12" s="20"/>
      <c r="G12" s="20"/>
      <c r="H12" s="20"/>
      <c r="I12" s="20"/>
      <c r="L12" s="2"/>
      <c r="M12" s="2"/>
      <c r="N12" s="3"/>
      <c r="O12" s="2"/>
      <c r="P12" s="2"/>
      <c r="Q12" s="2"/>
    </row>
    <row r="14" ht="13.5" thickBot="1">
      <c r="T14" t="s">
        <v>63</v>
      </c>
    </row>
    <row r="15" spans="1:20" ht="102">
      <c r="A15" t="s">
        <v>34</v>
      </c>
      <c r="C15" s="49" t="s">
        <v>7</v>
      </c>
      <c r="D15" s="50" t="s">
        <v>8</v>
      </c>
      <c r="E15" s="50" t="s">
        <v>73</v>
      </c>
      <c r="F15" s="50"/>
      <c r="G15" s="50"/>
      <c r="H15" s="50" t="s">
        <v>80</v>
      </c>
      <c r="I15" s="50" t="s">
        <v>81</v>
      </c>
      <c r="J15" s="50" t="s">
        <v>77</v>
      </c>
      <c r="K15" s="50" t="s">
        <v>82</v>
      </c>
      <c r="L15" s="50" t="s">
        <v>76</v>
      </c>
      <c r="M15" s="50" t="s">
        <v>33</v>
      </c>
      <c r="N15" s="51" t="s">
        <v>32</v>
      </c>
      <c r="R15" t="s">
        <v>72</v>
      </c>
      <c r="S15" t="s">
        <v>30</v>
      </c>
      <c r="T15" t="s">
        <v>31</v>
      </c>
    </row>
    <row r="16" spans="1:20" ht="30" customHeight="1">
      <c r="A16" s="65" t="s">
        <v>35</v>
      </c>
      <c r="B16">
        <v>1</v>
      </c>
      <c r="C16" s="52" t="s">
        <v>9</v>
      </c>
      <c r="D16" s="25">
        <v>300</v>
      </c>
      <c r="E16" s="25">
        <v>520</v>
      </c>
      <c r="F16" s="25"/>
      <c r="G16" s="25"/>
      <c r="H16" s="24">
        <v>1</v>
      </c>
      <c r="I16" s="24">
        <f aca="true" t="shared" si="0" ref="I16:I31">P16/Q16</f>
        <v>1875.9402799999998</v>
      </c>
      <c r="J16" s="24">
        <f aca="true" t="shared" si="1" ref="J16:J31">I16*24*156</f>
        <v>7023520.408319999</v>
      </c>
      <c r="K16" s="24">
        <f aca="true" t="shared" si="2" ref="K16:K31">J16/18265</f>
        <v>384.53437767971525</v>
      </c>
      <c r="L16" s="24">
        <f aca="true" t="shared" si="3" ref="L16:L31">J16/153200</f>
        <v>45.84543347467363</v>
      </c>
      <c r="M16" s="45">
        <f aca="true" t="shared" si="4" ref="M16:M31">L16*0.56</f>
        <v>25.673442745817233</v>
      </c>
      <c r="N16" s="53">
        <f aca="true" t="shared" si="5" ref="N16:N31">T16*3744</f>
        <v>6.022534417482059</v>
      </c>
      <c r="P16" s="29">
        <f aca="true" t="shared" si="6" ref="P16:P31">I55</f>
        <v>187594.028</v>
      </c>
      <c r="Q16" s="30">
        <v>100</v>
      </c>
      <c r="R16" s="40">
        <v>1267.9</v>
      </c>
      <c r="S16" s="40">
        <f aca="true" t="shared" si="7" ref="S16:S31">I16/R16</f>
        <v>1.4795648552724976</v>
      </c>
      <c r="T16" s="43">
        <f aca="true" t="shared" si="8" ref="T16:T31">S16*0.0010872</f>
        <v>0.0016085829106522594</v>
      </c>
    </row>
    <row r="17" spans="1:20" ht="30" customHeight="1">
      <c r="A17" s="65" t="s">
        <v>35</v>
      </c>
      <c r="B17">
        <v>2</v>
      </c>
      <c r="C17" s="52" t="s">
        <v>11</v>
      </c>
      <c r="D17" s="25">
        <v>300</v>
      </c>
      <c r="E17" s="25">
        <v>520</v>
      </c>
      <c r="F17" s="25"/>
      <c r="G17" s="25"/>
      <c r="H17" s="24">
        <v>1</v>
      </c>
      <c r="I17" s="24">
        <f t="shared" si="0"/>
        <v>12737.9188</v>
      </c>
      <c r="J17" s="24">
        <f t="shared" si="1"/>
        <v>47690767.9872</v>
      </c>
      <c r="K17" s="24">
        <f t="shared" si="2"/>
        <v>2611.0467006405693</v>
      </c>
      <c r="L17" s="24">
        <f t="shared" si="3"/>
        <v>311.2974411697128</v>
      </c>
      <c r="M17" s="45">
        <f t="shared" si="4"/>
        <v>174.32656705503916</v>
      </c>
      <c r="N17" s="53">
        <f t="shared" si="5"/>
        <v>40.89392140995649</v>
      </c>
      <c r="P17" s="29">
        <f t="shared" si="6"/>
        <v>63689.594</v>
      </c>
      <c r="Q17" s="31">
        <v>5</v>
      </c>
      <c r="R17" s="40">
        <v>1267.9</v>
      </c>
      <c r="S17" s="40">
        <f t="shared" si="7"/>
        <v>10.046469595393958</v>
      </c>
      <c r="T17" s="43">
        <f t="shared" si="8"/>
        <v>0.010922521744112311</v>
      </c>
    </row>
    <row r="18" spans="1:20" ht="30" customHeight="1">
      <c r="A18" s="65" t="s">
        <v>40</v>
      </c>
      <c r="B18">
        <v>3</v>
      </c>
      <c r="C18" s="52" t="s">
        <v>36</v>
      </c>
      <c r="D18" s="25">
        <v>300</v>
      </c>
      <c r="E18" s="25">
        <v>520</v>
      </c>
      <c r="F18" s="25"/>
      <c r="G18" s="25"/>
      <c r="H18" s="24">
        <v>1</v>
      </c>
      <c r="I18" s="24">
        <f t="shared" si="0"/>
        <v>9347.061333333333</v>
      </c>
      <c r="J18" s="24">
        <f t="shared" si="1"/>
        <v>34995397.632</v>
      </c>
      <c r="K18" s="24">
        <f t="shared" si="2"/>
        <v>1915.9812555160142</v>
      </c>
      <c r="L18" s="24">
        <f t="shared" si="3"/>
        <v>228.42948845953003</v>
      </c>
      <c r="M18" s="45">
        <f t="shared" si="4"/>
        <v>127.92051353733683</v>
      </c>
      <c r="N18" s="53">
        <f t="shared" si="5"/>
        <v>30.007884143473767</v>
      </c>
      <c r="P18" s="29">
        <f t="shared" si="6"/>
        <v>28041.184</v>
      </c>
      <c r="Q18" s="31">
        <v>3</v>
      </c>
      <c r="R18" s="40">
        <v>1267.9</v>
      </c>
      <c r="S18" s="40">
        <f t="shared" si="7"/>
        <v>7.372080868627914</v>
      </c>
      <c r="T18" s="43">
        <f t="shared" si="8"/>
        <v>0.008014926320372267</v>
      </c>
    </row>
    <row r="19" spans="1:20" ht="30" customHeight="1">
      <c r="A19" s="65" t="s">
        <v>29</v>
      </c>
      <c r="B19">
        <v>4</v>
      </c>
      <c r="C19" s="52" t="s">
        <v>37</v>
      </c>
      <c r="D19" s="25">
        <v>300</v>
      </c>
      <c r="E19" s="25">
        <v>520</v>
      </c>
      <c r="F19" s="25"/>
      <c r="G19" s="25"/>
      <c r="H19" s="24">
        <v>1</v>
      </c>
      <c r="I19" s="24">
        <f t="shared" si="0"/>
        <v>6484.519333333334</v>
      </c>
      <c r="J19" s="24">
        <f t="shared" si="1"/>
        <v>24278040.384</v>
      </c>
      <c r="K19" s="24">
        <f t="shared" si="2"/>
        <v>1329.2110804270462</v>
      </c>
      <c r="L19" s="24">
        <f t="shared" si="3"/>
        <v>158.47284845953</v>
      </c>
      <c r="M19" s="45">
        <f t="shared" si="4"/>
        <v>88.74479513733682</v>
      </c>
      <c r="N19" s="53">
        <f t="shared" si="5"/>
        <v>20.81795528471078</v>
      </c>
      <c r="P19" s="29">
        <f t="shared" si="6"/>
        <v>19453.558</v>
      </c>
      <c r="Q19" s="31">
        <v>3</v>
      </c>
      <c r="R19" s="40">
        <v>1267.9</v>
      </c>
      <c r="S19" s="40">
        <f t="shared" si="7"/>
        <v>5.114377579725004</v>
      </c>
      <c r="T19" s="43">
        <f t="shared" si="8"/>
        <v>0.005560351304677025</v>
      </c>
    </row>
    <row r="20" spans="1:20" ht="30" customHeight="1">
      <c r="A20" s="65" t="s">
        <v>41</v>
      </c>
      <c r="B20">
        <v>5</v>
      </c>
      <c r="C20" s="52" t="s">
        <v>17</v>
      </c>
      <c r="D20" s="25">
        <v>300</v>
      </c>
      <c r="E20" s="25">
        <v>520</v>
      </c>
      <c r="F20" s="25"/>
      <c r="G20" s="25"/>
      <c r="H20" s="24">
        <v>1</v>
      </c>
      <c r="I20" s="24">
        <f t="shared" si="0"/>
        <v>18028.237666666668</v>
      </c>
      <c r="J20" s="24">
        <f t="shared" si="1"/>
        <v>67497721.824</v>
      </c>
      <c r="K20" s="24">
        <f t="shared" si="2"/>
        <v>3695.467934519573</v>
      </c>
      <c r="L20" s="24">
        <f t="shared" si="3"/>
        <v>440.5856515926893</v>
      </c>
      <c r="M20" s="45">
        <f t="shared" si="4"/>
        <v>246.72796489190605</v>
      </c>
      <c r="N20" s="53">
        <f t="shared" si="5"/>
        <v>57.87800549495449</v>
      </c>
      <c r="P20" s="29">
        <f t="shared" si="6"/>
        <v>108169.426</v>
      </c>
      <c r="Q20" s="31">
        <v>6</v>
      </c>
      <c r="R20" s="40">
        <v>1267.9</v>
      </c>
      <c r="S20" s="40">
        <f t="shared" si="7"/>
        <v>14.21897441964403</v>
      </c>
      <c r="T20" s="43">
        <f t="shared" si="8"/>
        <v>0.01545886898903699</v>
      </c>
    </row>
    <row r="21" spans="1:20" ht="30" customHeight="1">
      <c r="A21" s="65" t="s">
        <v>35</v>
      </c>
      <c r="B21">
        <v>6</v>
      </c>
      <c r="C21" s="52" t="s">
        <v>18</v>
      </c>
      <c r="D21" s="25">
        <v>300</v>
      </c>
      <c r="E21" s="25">
        <v>520</v>
      </c>
      <c r="F21" s="25"/>
      <c r="G21" s="25"/>
      <c r="H21" s="24">
        <v>1</v>
      </c>
      <c r="I21" s="24">
        <f t="shared" si="0"/>
        <v>7996.123600000001</v>
      </c>
      <c r="J21" s="24">
        <f t="shared" si="1"/>
        <v>29937486.758400004</v>
      </c>
      <c r="K21" s="24">
        <f t="shared" si="2"/>
        <v>1639.0630582206409</v>
      </c>
      <c r="L21" s="24">
        <f t="shared" si="3"/>
        <v>195.41440442819845</v>
      </c>
      <c r="M21" s="45">
        <f t="shared" si="4"/>
        <v>109.43206647979115</v>
      </c>
      <c r="N21" s="53">
        <f t="shared" si="5"/>
        <v>25.670822307541982</v>
      </c>
      <c r="P21" s="29">
        <f t="shared" si="6"/>
        <v>79961.236</v>
      </c>
      <c r="Q21" s="31">
        <v>10</v>
      </c>
      <c r="R21" s="40">
        <v>1267.9</v>
      </c>
      <c r="S21" s="40">
        <f t="shared" si="7"/>
        <v>6.30658853221863</v>
      </c>
      <c r="T21" s="43">
        <f t="shared" si="8"/>
        <v>0.006856523052228094</v>
      </c>
    </row>
    <row r="22" spans="1:20" ht="30" customHeight="1">
      <c r="A22" s="65" t="s">
        <v>43</v>
      </c>
      <c r="B22">
        <v>7</v>
      </c>
      <c r="C22" s="52" t="s">
        <v>42</v>
      </c>
      <c r="D22" s="25">
        <v>300</v>
      </c>
      <c r="E22" s="25">
        <v>520</v>
      </c>
      <c r="F22" s="25"/>
      <c r="G22" s="25"/>
      <c r="H22" s="24">
        <v>1</v>
      </c>
      <c r="I22" s="24">
        <f t="shared" si="0"/>
        <v>12244.911250000001</v>
      </c>
      <c r="J22" s="24">
        <f t="shared" si="1"/>
        <v>45844947.72</v>
      </c>
      <c r="K22" s="24">
        <f t="shared" si="2"/>
        <v>2509.988925266904</v>
      </c>
      <c r="L22" s="24">
        <f t="shared" si="3"/>
        <v>299.24900600522193</v>
      </c>
      <c r="M22" s="45">
        <f t="shared" si="4"/>
        <v>167.5794433629243</v>
      </c>
      <c r="N22" s="53">
        <f t="shared" si="5"/>
        <v>39.31116583420143</v>
      </c>
      <c r="P22" s="29">
        <f t="shared" si="6"/>
        <v>244898.225</v>
      </c>
      <c r="Q22" s="31">
        <v>20</v>
      </c>
      <c r="R22" s="40">
        <v>1267.9</v>
      </c>
      <c r="S22" s="40">
        <f t="shared" si="7"/>
        <v>9.65763171385756</v>
      </c>
      <c r="T22" s="43">
        <f t="shared" si="8"/>
        <v>0.010499777199305938</v>
      </c>
    </row>
    <row r="23" spans="1:20" ht="30" customHeight="1">
      <c r="A23" s="65" t="s">
        <v>43</v>
      </c>
      <c r="B23">
        <v>8</v>
      </c>
      <c r="C23" s="52" t="s">
        <v>21</v>
      </c>
      <c r="D23" s="25">
        <v>300</v>
      </c>
      <c r="E23" s="25">
        <v>520</v>
      </c>
      <c r="F23" s="25"/>
      <c r="G23" s="25"/>
      <c r="H23" s="24">
        <v>1</v>
      </c>
      <c r="I23" s="24">
        <f t="shared" si="0"/>
        <v>3792.285</v>
      </c>
      <c r="J23" s="24">
        <f t="shared" si="1"/>
        <v>14198315.04</v>
      </c>
      <c r="K23" s="24">
        <f t="shared" si="2"/>
        <v>777.350946619217</v>
      </c>
      <c r="L23" s="24">
        <f t="shared" si="3"/>
        <v>92.67829660574412</v>
      </c>
      <c r="M23" s="45">
        <f t="shared" si="4"/>
        <v>51.89984609921672</v>
      </c>
      <c r="N23" s="53">
        <f t="shared" si="5"/>
        <v>12.174783588207271</v>
      </c>
      <c r="P23" s="29">
        <f t="shared" si="6"/>
        <v>7584.57</v>
      </c>
      <c r="Q23" s="31">
        <v>2</v>
      </c>
      <c r="R23" s="40">
        <v>1267.9</v>
      </c>
      <c r="S23" s="40">
        <f t="shared" si="7"/>
        <v>2.9909969240476375</v>
      </c>
      <c r="T23" s="43">
        <f t="shared" si="8"/>
        <v>0.0032518118558245916</v>
      </c>
    </row>
    <row r="24" spans="1:20" ht="30" customHeight="1">
      <c r="A24" s="65" t="s">
        <v>40</v>
      </c>
      <c r="B24">
        <v>9</v>
      </c>
      <c r="C24" s="52" t="s">
        <v>22</v>
      </c>
      <c r="D24" s="25">
        <v>300</v>
      </c>
      <c r="E24" s="25">
        <v>520</v>
      </c>
      <c r="F24" s="25"/>
      <c r="G24" s="25"/>
      <c r="H24" s="24">
        <v>1</v>
      </c>
      <c r="I24" s="24">
        <f t="shared" si="0"/>
        <v>3541.508</v>
      </c>
      <c r="J24" s="24">
        <f t="shared" si="1"/>
        <v>13259405.952</v>
      </c>
      <c r="K24" s="24">
        <f t="shared" si="2"/>
        <v>725.9461238434163</v>
      </c>
      <c r="L24" s="24">
        <f t="shared" si="3"/>
        <v>86.54964720626631</v>
      </c>
      <c r="M24" s="45">
        <f t="shared" si="4"/>
        <v>48.46780243550914</v>
      </c>
      <c r="N24" s="53">
        <f t="shared" si="5"/>
        <v>11.369687002929567</v>
      </c>
      <c r="P24" s="29">
        <f t="shared" si="6"/>
        <v>10624.524</v>
      </c>
      <c r="Q24" s="31">
        <v>3</v>
      </c>
      <c r="R24" s="40">
        <v>1267.9</v>
      </c>
      <c r="S24" s="40">
        <f t="shared" si="7"/>
        <v>2.793207666219733</v>
      </c>
      <c r="T24" s="43">
        <f t="shared" si="8"/>
        <v>0.0030367753747140938</v>
      </c>
    </row>
    <row r="25" spans="1:20" ht="30" customHeight="1">
      <c r="A25" s="65" t="s">
        <v>35</v>
      </c>
      <c r="B25">
        <v>10</v>
      </c>
      <c r="C25" s="52" t="s">
        <v>38</v>
      </c>
      <c r="D25" s="25">
        <v>300</v>
      </c>
      <c r="E25" s="25">
        <v>520</v>
      </c>
      <c r="F25" s="25"/>
      <c r="G25" s="25"/>
      <c r="H25" s="24">
        <v>1</v>
      </c>
      <c r="I25" s="24">
        <f t="shared" si="0"/>
        <v>5773.414699999999</v>
      </c>
      <c r="J25" s="24">
        <f t="shared" si="1"/>
        <v>21615664.636799995</v>
      </c>
      <c r="K25" s="24">
        <f t="shared" si="2"/>
        <v>1183.4472837010674</v>
      </c>
      <c r="L25" s="24">
        <f t="shared" si="3"/>
        <v>141.094416689295</v>
      </c>
      <c r="M25" s="45">
        <f t="shared" si="4"/>
        <v>79.01287334600521</v>
      </c>
      <c r="N25" s="53">
        <f t="shared" si="5"/>
        <v>18.535019002388953</v>
      </c>
      <c r="P25" s="29">
        <f t="shared" si="6"/>
        <v>57734.147</v>
      </c>
      <c r="Q25" s="31">
        <v>10</v>
      </c>
      <c r="R25" s="40">
        <v>1267.9</v>
      </c>
      <c r="S25" s="40">
        <f t="shared" si="7"/>
        <v>4.55352527801877</v>
      </c>
      <c r="T25" s="43">
        <f t="shared" si="8"/>
        <v>0.004950592682262007</v>
      </c>
    </row>
    <row r="26" spans="1:20" ht="30" customHeight="1">
      <c r="A26" s="65" t="s">
        <v>35</v>
      </c>
      <c r="B26">
        <v>11</v>
      </c>
      <c r="C26" s="52" t="s">
        <v>39</v>
      </c>
      <c r="D26" s="26">
        <v>200</v>
      </c>
      <c r="E26" s="26">
        <v>460</v>
      </c>
      <c r="F26" s="26"/>
      <c r="G26" s="26"/>
      <c r="H26" s="21">
        <v>1</v>
      </c>
      <c r="I26" s="21">
        <f t="shared" si="0"/>
        <v>17701.686</v>
      </c>
      <c r="J26" s="21">
        <f t="shared" si="1"/>
        <v>66275112.384</v>
      </c>
      <c r="K26" s="21">
        <f t="shared" si="2"/>
        <v>3628.530653380783</v>
      </c>
      <c r="L26" s="21">
        <f t="shared" si="3"/>
        <v>432.60517221932116</v>
      </c>
      <c r="M26" s="46">
        <f t="shared" si="4"/>
        <v>242.25889644281986</v>
      </c>
      <c r="N26" s="53">
        <f t="shared" si="5"/>
        <v>57.898193799827084</v>
      </c>
      <c r="P26" s="29">
        <f t="shared" si="6"/>
        <v>35403.372</v>
      </c>
      <c r="Q26" s="32">
        <v>2</v>
      </c>
      <c r="R26" s="40">
        <v>1244.5</v>
      </c>
      <c r="S26" s="40">
        <f t="shared" si="7"/>
        <v>14.223934110084372</v>
      </c>
      <c r="T26" s="43">
        <f t="shared" si="8"/>
        <v>0.015464261164483729</v>
      </c>
    </row>
    <row r="27" spans="1:20" ht="30" customHeight="1">
      <c r="A27" s="65" t="s">
        <v>40</v>
      </c>
      <c r="B27">
        <v>12</v>
      </c>
      <c r="C27" s="54" t="s">
        <v>10</v>
      </c>
      <c r="D27" s="27">
        <v>20</v>
      </c>
      <c r="E27" s="27">
        <v>266</v>
      </c>
      <c r="F27" s="27"/>
      <c r="G27" s="27"/>
      <c r="H27" s="21">
        <v>1</v>
      </c>
      <c r="I27" s="23">
        <f t="shared" si="0"/>
        <v>2912.1096000000002</v>
      </c>
      <c r="J27" s="23">
        <f t="shared" si="1"/>
        <v>10902938.342400001</v>
      </c>
      <c r="K27" s="23">
        <f t="shared" si="2"/>
        <v>596.9306511032029</v>
      </c>
      <c r="L27" s="23">
        <f t="shared" si="3"/>
        <v>71.168004845953</v>
      </c>
      <c r="M27" s="47">
        <f t="shared" si="4"/>
        <v>39.85408271373369</v>
      </c>
      <c r="N27" s="53">
        <f t="shared" si="5"/>
        <v>10.156520063282736</v>
      </c>
      <c r="P27" s="29">
        <f t="shared" si="6"/>
        <v>14560.548</v>
      </c>
      <c r="Q27" s="32">
        <v>5</v>
      </c>
      <c r="R27" s="131">
        <v>1167.1</v>
      </c>
      <c r="S27" s="40">
        <f t="shared" si="7"/>
        <v>2.4951671664810218</v>
      </c>
      <c r="T27" s="43">
        <f t="shared" si="8"/>
        <v>0.0027127457433981667</v>
      </c>
    </row>
    <row r="28" spans="1:20" ht="30" customHeight="1">
      <c r="A28" s="65" t="s">
        <v>44</v>
      </c>
      <c r="B28">
        <v>13</v>
      </c>
      <c r="C28" s="54" t="s">
        <v>12</v>
      </c>
      <c r="D28" s="27">
        <v>20</v>
      </c>
      <c r="E28" s="27">
        <v>266</v>
      </c>
      <c r="F28" s="27"/>
      <c r="G28" s="27"/>
      <c r="H28" s="21">
        <v>1</v>
      </c>
      <c r="I28" s="23">
        <f t="shared" si="0"/>
        <v>3474.9325</v>
      </c>
      <c r="J28" s="23">
        <f t="shared" si="1"/>
        <v>13010147.280000001</v>
      </c>
      <c r="K28" s="23">
        <f t="shared" si="2"/>
        <v>712.2993309608541</v>
      </c>
      <c r="L28" s="23">
        <f t="shared" si="3"/>
        <v>84.92263237597912</v>
      </c>
      <c r="M28" s="47">
        <f t="shared" si="4"/>
        <v>47.55667413054831</v>
      </c>
      <c r="N28" s="53">
        <f t="shared" si="5"/>
        <v>12.11946887397481</v>
      </c>
      <c r="P28" s="29">
        <f t="shared" si="6"/>
        <v>6949.865</v>
      </c>
      <c r="Q28" s="32">
        <v>2</v>
      </c>
      <c r="R28" s="131">
        <v>1167.1</v>
      </c>
      <c r="S28" s="40">
        <f t="shared" si="7"/>
        <v>2.977407677148488</v>
      </c>
      <c r="T28" s="43">
        <f t="shared" si="8"/>
        <v>0.003237037626595836</v>
      </c>
    </row>
    <row r="29" spans="1:20" ht="30" customHeight="1">
      <c r="A29" s="65" t="s">
        <v>44</v>
      </c>
      <c r="B29">
        <v>14</v>
      </c>
      <c r="C29" s="54" t="s">
        <v>16</v>
      </c>
      <c r="D29" s="27">
        <v>20</v>
      </c>
      <c r="E29" s="27">
        <v>266</v>
      </c>
      <c r="F29" s="27"/>
      <c r="G29" s="27"/>
      <c r="H29" s="21">
        <v>1</v>
      </c>
      <c r="I29" s="23">
        <f t="shared" si="0"/>
        <v>15608.074666666667</v>
      </c>
      <c r="J29" s="23">
        <f t="shared" si="1"/>
        <v>58436631.552</v>
      </c>
      <c r="K29" s="23">
        <f t="shared" si="2"/>
        <v>3199.3775829181495</v>
      </c>
      <c r="L29" s="23">
        <f t="shared" si="3"/>
        <v>381.4401537336815</v>
      </c>
      <c r="M29" s="47">
        <f t="shared" si="4"/>
        <v>213.60648609086167</v>
      </c>
      <c r="N29" s="53">
        <f t="shared" si="5"/>
        <v>54.43604303258881</v>
      </c>
      <c r="P29" s="29">
        <f t="shared" si="6"/>
        <v>23412.112</v>
      </c>
      <c r="Q29" s="32">
        <v>1.5</v>
      </c>
      <c r="R29" s="131">
        <v>1167.1</v>
      </c>
      <c r="S29" s="40">
        <f t="shared" si="7"/>
        <v>13.373382457944194</v>
      </c>
      <c r="T29" s="43">
        <f t="shared" si="8"/>
        <v>0.014539541408276927</v>
      </c>
    </row>
    <row r="30" spans="1:20" ht="30" customHeight="1">
      <c r="A30" s="65" t="s">
        <v>45</v>
      </c>
      <c r="B30">
        <v>15</v>
      </c>
      <c r="C30" s="54" t="s">
        <v>20</v>
      </c>
      <c r="D30" s="27">
        <v>20</v>
      </c>
      <c r="E30" s="27">
        <v>266</v>
      </c>
      <c r="F30" s="27"/>
      <c r="G30" s="27"/>
      <c r="H30" s="21">
        <v>1</v>
      </c>
      <c r="I30" s="23">
        <f t="shared" si="0"/>
        <v>10651.3587</v>
      </c>
      <c r="J30" s="23">
        <f t="shared" si="1"/>
        <v>39878686.9728</v>
      </c>
      <c r="K30" s="23">
        <f t="shared" si="2"/>
        <v>2183.339007544484</v>
      </c>
      <c r="L30" s="23">
        <f t="shared" si="3"/>
        <v>260.3047452532637</v>
      </c>
      <c r="M30" s="47">
        <f t="shared" si="4"/>
        <v>145.7706573418277</v>
      </c>
      <c r="N30" s="53">
        <f t="shared" si="5"/>
        <v>37.148580650182645</v>
      </c>
      <c r="P30" s="29">
        <f t="shared" si="6"/>
        <v>532567.935</v>
      </c>
      <c r="Q30" s="32">
        <v>50</v>
      </c>
      <c r="R30" s="131">
        <v>1167.1</v>
      </c>
      <c r="S30" s="40">
        <f t="shared" si="7"/>
        <v>9.126346242824095</v>
      </c>
      <c r="T30" s="43">
        <f t="shared" si="8"/>
        <v>0.009922163635198355</v>
      </c>
    </row>
    <row r="31" spans="1:20" ht="30" customHeight="1" thickBot="1">
      <c r="A31" s="65" t="s">
        <v>35</v>
      </c>
      <c r="B31">
        <v>16</v>
      </c>
      <c r="C31" s="55" t="s">
        <v>24</v>
      </c>
      <c r="D31" s="56">
        <v>20</v>
      </c>
      <c r="E31" s="56">
        <v>266</v>
      </c>
      <c r="F31" s="56"/>
      <c r="G31" s="56"/>
      <c r="H31" s="57">
        <v>1</v>
      </c>
      <c r="I31" s="58">
        <f t="shared" si="0"/>
        <v>6412.6067</v>
      </c>
      <c r="J31" s="58">
        <f t="shared" si="1"/>
        <v>24008799.4848</v>
      </c>
      <c r="K31" s="58">
        <f t="shared" si="2"/>
        <v>1314.4702701779358</v>
      </c>
      <c r="L31" s="58">
        <f t="shared" si="3"/>
        <v>156.7154013368146</v>
      </c>
      <c r="M31" s="59">
        <f t="shared" si="4"/>
        <v>87.7606247486162</v>
      </c>
      <c r="N31" s="60">
        <f t="shared" si="5"/>
        <v>22.365150201246305</v>
      </c>
      <c r="P31" s="29">
        <f t="shared" si="6"/>
        <v>64126.067</v>
      </c>
      <c r="Q31" s="32">
        <v>10</v>
      </c>
      <c r="R31" s="131">
        <v>1167.1</v>
      </c>
      <c r="S31" s="40">
        <f t="shared" si="7"/>
        <v>5.494479222003257</v>
      </c>
      <c r="T31" s="43">
        <f t="shared" si="8"/>
        <v>0.005973597810161941</v>
      </c>
    </row>
    <row r="32" spans="3:14" ht="30" customHeight="1" thickBot="1">
      <c r="C32" s="22"/>
      <c r="D32" s="28"/>
      <c r="E32" s="28"/>
      <c r="F32" s="28"/>
      <c r="G32" s="28"/>
      <c r="H32" s="22"/>
      <c r="I32" s="22"/>
      <c r="J32" s="22"/>
      <c r="K32" s="22"/>
      <c r="L32" s="22">
        <f>SUM(L16:L31)</f>
        <v>3386.7727438558745</v>
      </c>
      <c r="M32" s="48">
        <f>SUM(M16:M31)</f>
        <v>1896.59273655929</v>
      </c>
      <c r="N32" s="39">
        <f>SUM(N16:N31)</f>
        <v>456.8057351069492</v>
      </c>
    </row>
    <row r="33" spans="3:13" ht="30" customHeight="1">
      <c r="C33" s="22"/>
      <c r="D33" s="28"/>
      <c r="E33" s="28"/>
      <c r="F33" s="28"/>
      <c r="G33" s="28"/>
      <c r="H33" s="22"/>
      <c r="I33" s="22"/>
      <c r="J33" s="22"/>
      <c r="K33" s="22"/>
      <c r="L33" s="22"/>
      <c r="M33" s="22"/>
    </row>
    <row r="34" spans="4:7" ht="30" customHeight="1">
      <c r="D34" s="28"/>
      <c r="E34" s="28"/>
      <c r="F34" s="28"/>
      <c r="G34" s="28"/>
    </row>
    <row r="35" spans="4:7" ht="30" customHeight="1">
      <c r="D35" s="28"/>
      <c r="E35" s="28"/>
      <c r="F35" s="28"/>
      <c r="G35" s="28"/>
    </row>
    <row r="36" ht="13.5" customHeight="1"/>
    <row r="37" ht="13.5" customHeight="1"/>
    <row r="38" spans="11:13" ht="13.5" customHeight="1">
      <c r="K38" s="34" t="s">
        <v>6</v>
      </c>
      <c r="L38" s="4"/>
      <c r="M38" s="10"/>
    </row>
    <row r="39" spans="10:15" ht="13.5" customHeight="1">
      <c r="J39" s="242"/>
      <c r="K39" s="242"/>
      <c r="L39" s="63"/>
      <c r="M39" s="243"/>
      <c r="N39" s="242"/>
      <c r="O39" s="242"/>
    </row>
    <row r="40" spans="10:15" ht="13.5" customHeight="1">
      <c r="J40" s="2"/>
      <c r="K40" s="243"/>
      <c r="L40" s="63"/>
      <c r="M40" s="244"/>
      <c r="N40" s="242"/>
      <c r="O40" s="242"/>
    </row>
    <row r="41" spans="10:15" ht="13.5" customHeight="1">
      <c r="J41" s="245"/>
      <c r="K41" s="243"/>
      <c r="L41" s="63"/>
      <c r="M41" s="246"/>
      <c r="N41" s="242"/>
      <c r="O41" s="242"/>
    </row>
    <row r="42" spans="10:15" ht="13.5" customHeight="1">
      <c r="J42" s="2"/>
      <c r="K42" s="243"/>
      <c r="L42" s="63"/>
      <c r="M42" s="63"/>
      <c r="N42" s="242"/>
      <c r="O42" s="242"/>
    </row>
    <row r="43" spans="12:13" ht="13.5" customHeight="1">
      <c r="L43" s="2"/>
      <c r="M43" s="2"/>
    </row>
    <row r="44" spans="4:14" ht="13.5" customHeight="1">
      <c r="D44" s="20" t="s">
        <v>25</v>
      </c>
      <c r="E44" s="20"/>
      <c r="F44" s="20"/>
      <c r="G44" s="20"/>
      <c r="H44" s="20"/>
      <c r="I44" s="20"/>
      <c r="L44" s="18" t="s">
        <v>0</v>
      </c>
      <c r="M44" s="18"/>
      <c r="N44" s="132">
        <v>1.087</v>
      </c>
    </row>
    <row r="45" spans="4:13" ht="13.5" customHeight="1">
      <c r="D45" s="20" t="s">
        <v>26</v>
      </c>
      <c r="E45" s="20"/>
      <c r="F45" s="20"/>
      <c r="G45" s="20"/>
      <c r="H45" s="20"/>
      <c r="I45" s="20"/>
      <c r="L45" s="2"/>
      <c r="M45" s="2"/>
    </row>
    <row r="46" spans="4:13" ht="13.5" customHeight="1">
      <c r="D46" s="20" t="s">
        <v>28</v>
      </c>
      <c r="E46" s="20"/>
      <c r="F46" s="20"/>
      <c r="G46" s="20"/>
      <c r="H46" s="20"/>
      <c r="I46" s="20"/>
      <c r="L46" s="2"/>
      <c r="M46" s="2"/>
    </row>
    <row r="47" spans="4:13" ht="13.5" customHeight="1">
      <c r="D47" s="20" t="s">
        <v>27</v>
      </c>
      <c r="E47" s="20"/>
      <c r="F47" s="20"/>
      <c r="G47" s="20"/>
      <c r="H47" s="20"/>
      <c r="I47" s="20"/>
      <c r="L47" s="2"/>
      <c r="M47" s="2"/>
    </row>
    <row r="48" spans="4:13" ht="13.5" customHeight="1">
      <c r="D48" s="20"/>
      <c r="E48" s="20"/>
      <c r="F48" s="20"/>
      <c r="G48" s="20"/>
      <c r="H48" s="20"/>
      <c r="I48" s="20"/>
      <c r="L48" s="2"/>
      <c r="M48" s="2"/>
    </row>
    <row r="49" spans="4:13" ht="13.5" customHeight="1" thickBot="1">
      <c r="D49" s="20"/>
      <c r="E49" s="20"/>
      <c r="F49" s="20"/>
      <c r="G49" s="20"/>
      <c r="H49" s="20"/>
      <c r="I49" s="20"/>
      <c r="L49" s="2"/>
      <c r="M49" s="2"/>
    </row>
    <row r="50" spans="3:14" ht="19.5" customHeight="1">
      <c r="C50" s="260" t="s">
        <v>135</v>
      </c>
      <c r="D50" s="261"/>
      <c r="E50" s="261"/>
      <c r="F50" s="255"/>
      <c r="G50" s="256"/>
      <c r="H50" s="257"/>
      <c r="I50" s="257"/>
      <c r="J50" s="257"/>
      <c r="K50" s="257"/>
      <c r="L50" s="257"/>
      <c r="M50" s="257"/>
      <c r="N50" s="257"/>
    </row>
    <row r="51" spans="3:14" ht="19.5" customHeight="1">
      <c r="C51" s="262" t="s">
        <v>93</v>
      </c>
      <c r="D51" s="263"/>
      <c r="E51" s="263"/>
      <c r="F51" s="255"/>
      <c r="G51" s="256"/>
      <c r="H51" s="257"/>
      <c r="I51" s="257"/>
      <c r="J51" s="257"/>
      <c r="K51" s="257"/>
      <c r="L51" s="257"/>
      <c r="M51" s="257"/>
      <c r="N51" s="257"/>
    </row>
    <row r="52" spans="3:17" ht="19.5" customHeight="1">
      <c r="C52" s="262" t="s">
        <v>28</v>
      </c>
      <c r="D52" s="263"/>
      <c r="E52" s="263"/>
      <c r="F52" s="255"/>
      <c r="G52" s="256"/>
      <c r="H52" s="257"/>
      <c r="I52" s="257"/>
      <c r="J52" s="257"/>
      <c r="K52" s="257"/>
      <c r="L52" s="257"/>
      <c r="M52" s="257"/>
      <c r="N52" s="257"/>
      <c r="Q52" t="s">
        <v>74</v>
      </c>
    </row>
    <row r="53" spans="3:18" ht="19.5" customHeight="1" thickBot="1">
      <c r="C53" s="264" t="s">
        <v>92</v>
      </c>
      <c r="D53" s="265"/>
      <c r="E53" s="265"/>
      <c r="F53" s="258"/>
      <c r="G53" s="259"/>
      <c r="H53" s="259"/>
      <c r="I53" s="259"/>
      <c r="J53" s="259"/>
      <c r="K53" s="259"/>
      <c r="L53" s="259"/>
      <c r="M53" s="259"/>
      <c r="N53" s="259"/>
      <c r="R53" t="s">
        <v>71</v>
      </c>
    </row>
    <row r="54" spans="3:20" ht="114.75" customHeight="1">
      <c r="C54" s="175" t="s">
        <v>7</v>
      </c>
      <c r="D54" s="176" t="s">
        <v>8</v>
      </c>
      <c r="E54" s="176" t="s">
        <v>84</v>
      </c>
      <c r="F54" s="177" t="s">
        <v>87</v>
      </c>
      <c r="G54" s="177" t="s">
        <v>132</v>
      </c>
      <c r="H54" s="177" t="s">
        <v>78</v>
      </c>
      <c r="I54" s="177" t="s">
        <v>86</v>
      </c>
      <c r="J54" s="178" t="s">
        <v>119</v>
      </c>
      <c r="K54" s="177" t="s">
        <v>120</v>
      </c>
      <c r="L54" s="177" t="s">
        <v>121</v>
      </c>
      <c r="M54" s="178" t="s">
        <v>122</v>
      </c>
      <c r="N54" s="179" t="s">
        <v>123</v>
      </c>
      <c r="R54" t="s">
        <v>72</v>
      </c>
      <c r="S54" t="s">
        <v>30</v>
      </c>
      <c r="T54" t="s">
        <v>31</v>
      </c>
    </row>
    <row r="55" spans="2:21" ht="24.75" customHeight="1">
      <c r="B55">
        <v>1</v>
      </c>
      <c r="C55" s="52" t="s">
        <v>9</v>
      </c>
      <c r="D55" s="25">
        <v>300</v>
      </c>
      <c r="E55" s="25">
        <v>520</v>
      </c>
      <c r="F55" s="25" t="s">
        <v>29</v>
      </c>
      <c r="G55" s="25">
        <f>H55/0.3048</f>
        <v>328.0839895013123</v>
      </c>
      <c r="H55" s="135">
        <v>100</v>
      </c>
      <c r="I55" s="37">
        <v>187594.028</v>
      </c>
      <c r="J55" s="173">
        <f aca="true" t="shared" si="9" ref="J55:J70">I55*24*156</f>
        <v>702352040.832</v>
      </c>
      <c r="K55" s="24">
        <f aca="true" t="shared" si="10" ref="K55:K70">J55/18265</f>
        <v>38453.43776797153</v>
      </c>
      <c r="L55" s="24">
        <f aca="true" t="shared" si="11" ref="L55:L70">J55/153200</f>
        <v>4584.543347467363</v>
      </c>
      <c r="M55" s="156">
        <f aca="true" t="shared" si="12" ref="M55:M70">L55*0.56</f>
        <v>2567.3442745817233</v>
      </c>
      <c r="N55" s="61">
        <f aca="true" t="shared" si="13" ref="N55:N70">T55*3744</f>
        <v>602.2534417482059</v>
      </c>
      <c r="R55" s="40">
        <v>1267.9</v>
      </c>
      <c r="S55" s="40">
        <f aca="true" t="shared" si="14" ref="S55:S70">I55/R55</f>
        <v>147.95648552724975</v>
      </c>
      <c r="T55" s="40">
        <f aca="true" t="shared" si="15" ref="T55:T70">S55*0.0010872</f>
        <v>0.16085829106522592</v>
      </c>
      <c r="U55" s="40"/>
    </row>
    <row r="56" spans="2:21" ht="24.75" customHeight="1">
      <c r="B56">
        <v>2</v>
      </c>
      <c r="C56" s="52" t="s">
        <v>85</v>
      </c>
      <c r="D56" s="25">
        <v>300</v>
      </c>
      <c r="E56" s="25">
        <v>520</v>
      </c>
      <c r="F56" s="25" t="s">
        <v>41</v>
      </c>
      <c r="G56" s="25">
        <f aca="true" t="shared" si="16" ref="G56:G70">H56/0.3048</f>
        <v>16.404199475065617</v>
      </c>
      <c r="H56" s="135">
        <v>5</v>
      </c>
      <c r="I56" s="37">
        <v>63689.594</v>
      </c>
      <c r="J56" s="173">
        <f t="shared" si="9"/>
        <v>238453839.93600002</v>
      </c>
      <c r="K56" s="24">
        <f t="shared" si="10"/>
        <v>13055.233503202848</v>
      </c>
      <c r="L56" s="24">
        <f t="shared" si="11"/>
        <v>1556.4872058485641</v>
      </c>
      <c r="M56" s="156">
        <f t="shared" si="12"/>
        <v>871.632835275196</v>
      </c>
      <c r="N56" s="61">
        <f t="shared" si="13"/>
        <v>204.46960704978244</v>
      </c>
      <c r="R56" s="40">
        <v>1267.9</v>
      </c>
      <c r="S56" s="40">
        <f t="shared" si="14"/>
        <v>50.232347976969784</v>
      </c>
      <c r="T56" s="40">
        <f t="shared" si="15"/>
        <v>0.05461260872056155</v>
      </c>
      <c r="U56" s="40"/>
    </row>
    <row r="57" spans="2:21" ht="24.75" customHeight="1">
      <c r="B57">
        <v>3</v>
      </c>
      <c r="C57" s="52" t="s">
        <v>14</v>
      </c>
      <c r="D57" s="25">
        <v>300</v>
      </c>
      <c r="E57" s="25">
        <v>520</v>
      </c>
      <c r="F57" s="25" t="s">
        <v>40</v>
      </c>
      <c r="G57" s="25">
        <f t="shared" si="16"/>
        <v>9.84251968503937</v>
      </c>
      <c r="H57" s="135">
        <v>3</v>
      </c>
      <c r="I57" s="37">
        <v>28041.184</v>
      </c>
      <c r="J57" s="173">
        <f t="shared" si="9"/>
        <v>104986192.896</v>
      </c>
      <c r="K57" s="24">
        <f t="shared" si="10"/>
        <v>5747.943766548043</v>
      </c>
      <c r="L57" s="24">
        <f t="shared" si="11"/>
        <v>685.2884653785901</v>
      </c>
      <c r="M57" s="156">
        <f t="shared" si="12"/>
        <v>383.7615406120105</v>
      </c>
      <c r="N57" s="61">
        <f t="shared" si="13"/>
        <v>90.02365243042132</v>
      </c>
      <c r="R57" s="40">
        <v>1267.9</v>
      </c>
      <c r="S57" s="40">
        <f t="shared" si="14"/>
        <v>22.116242605883745</v>
      </c>
      <c r="T57" s="40">
        <f t="shared" si="15"/>
        <v>0.024044778961116807</v>
      </c>
      <c r="U57" s="40"/>
    </row>
    <row r="58" spans="2:21" ht="24.75" customHeight="1">
      <c r="B58">
        <v>4</v>
      </c>
      <c r="C58" s="52" t="s">
        <v>15</v>
      </c>
      <c r="D58" s="25">
        <v>300</v>
      </c>
      <c r="E58" s="25">
        <v>520</v>
      </c>
      <c r="F58" s="25" t="s">
        <v>29</v>
      </c>
      <c r="G58" s="25">
        <f t="shared" si="16"/>
        <v>9.84251968503937</v>
      </c>
      <c r="H58" s="135">
        <v>3</v>
      </c>
      <c r="I58" s="37">
        <v>19453.558</v>
      </c>
      <c r="J58" s="173">
        <f t="shared" si="9"/>
        <v>72834121.152</v>
      </c>
      <c r="K58" s="24">
        <f t="shared" si="10"/>
        <v>3987.6332412811385</v>
      </c>
      <c r="L58" s="24">
        <f t="shared" si="11"/>
        <v>475.41854537859007</v>
      </c>
      <c r="M58" s="156">
        <f t="shared" si="12"/>
        <v>266.23438541201045</v>
      </c>
      <c r="N58" s="61">
        <f t="shared" si="13"/>
        <v>62.453865854132346</v>
      </c>
      <c r="R58" s="40">
        <v>1267.9</v>
      </c>
      <c r="S58" s="40">
        <f t="shared" si="14"/>
        <v>15.343132739175013</v>
      </c>
      <c r="T58" s="40">
        <f t="shared" si="15"/>
        <v>0.016681053914031074</v>
      </c>
      <c r="U58" s="40"/>
    </row>
    <row r="59" spans="2:21" ht="24.75" customHeight="1">
      <c r="B59">
        <v>5</v>
      </c>
      <c r="C59" s="52" t="s">
        <v>17</v>
      </c>
      <c r="D59" s="25">
        <v>300</v>
      </c>
      <c r="E59" s="25">
        <v>520</v>
      </c>
      <c r="F59" s="25" t="s">
        <v>41</v>
      </c>
      <c r="G59" s="25">
        <f t="shared" si="16"/>
        <v>19.68503937007874</v>
      </c>
      <c r="H59" s="135">
        <v>6</v>
      </c>
      <c r="I59" s="37">
        <v>108169.426</v>
      </c>
      <c r="J59" s="173">
        <f t="shared" si="9"/>
        <v>404986330.94400007</v>
      </c>
      <c r="K59" s="24">
        <f t="shared" si="10"/>
        <v>22172.80760711744</v>
      </c>
      <c r="L59" s="24">
        <f t="shared" si="11"/>
        <v>2643.5139095561362</v>
      </c>
      <c r="M59" s="156">
        <f t="shared" si="12"/>
        <v>1480.3677893514364</v>
      </c>
      <c r="N59" s="61">
        <f t="shared" si="13"/>
        <v>347.26803296972696</v>
      </c>
      <c r="R59" s="40">
        <v>1267.9</v>
      </c>
      <c r="S59" s="40">
        <f t="shared" si="14"/>
        <v>85.31384651786418</v>
      </c>
      <c r="T59" s="40">
        <f t="shared" si="15"/>
        <v>0.09275321393422194</v>
      </c>
      <c r="U59" s="40"/>
    </row>
    <row r="60" spans="2:21" ht="24.75" customHeight="1">
      <c r="B60">
        <v>6</v>
      </c>
      <c r="C60" s="52" t="s">
        <v>18</v>
      </c>
      <c r="D60" s="25">
        <v>300</v>
      </c>
      <c r="E60" s="25">
        <v>520</v>
      </c>
      <c r="F60" s="25" t="s">
        <v>29</v>
      </c>
      <c r="G60" s="25">
        <f t="shared" si="16"/>
        <v>32.808398950131235</v>
      </c>
      <c r="H60" s="135">
        <v>10</v>
      </c>
      <c r="I60" s="37">
        <v>79961.236</v>
      </c>
      <c r="J60" s="173">
        <f t="shared" si="9"/>
        <v>299374867.584</v>
      </c>
      <c r="K60" s="24">
        <f t="shared" si="10"/>
        <v>16390.630582206406</v>
      </c>
      <c r="L60" s="24">
        <f t="shared" si="11"/>
        <v>1954.1440442819842</v>
      </c>
      <c r="M60" s="156">
        <f t="shared" si="12"/>
        <v>1094.3206647979111</v>
      </c>
      <c r="N60" s="61">
        <f t="shared" si="13"/>
        <v>256.7082230754198</v>
      </c>
      <c r="R60" s="40">
        <v>1267.9</v>
      </c>
      <c r="S60" s="40">
        <f t="shared" si="14"/>
        <v>63.06588532218629</v>
      </c>
      <c r="T60" s="40">
        <f t="shared" si="15"/>
        <v>0.06856523052228093</v>
      </c>
      <c r="U60" s="40"/>
    </row>
    <row r="61" spans="2:21" ht="24.75" customHeight="1">
      <c r="B61">
        <v>7</v>
      </c>
      <c r="C61" s="52" t="s">
        <v>19</v>
      </c>
      <c r="D61" s="25">
        <v>300</v>
      </c>
      <c r="E61" s="25">
        <v>520</v>
      </c>
      <c r="F61" s="145" t="s">
        <v>40</v>
      </c>
      <c r="G61" s="25">
        <f t="shared" si="16"/>
        <v>65.61679790026247</v>
      </c>
      <c r="H61" s="135">
        <v>20</v>
      </c>
      <c r="I61" s="37">
        <v>244898.225</v>
      </c>
      <c r="J61" s="173">
        <f t="shared" si="9"/>
        <v>916898954.4000001</v>
      </c>
      <c r="K61" s="24">
        <f t="shared" si="10"/>
        <v>50199.77850533809</v>
      </c>
      <c r="L61" s="24">
        <f t="shared" si="11"/>
        <v>5984.980120104439</v>
      </c>
      <c r="M61" s="156">
        <f t="shared" si="12"/>
        <v>3351.5888672584865</v>
      </c>
      <c r="N61" s="61">
        <f t="shared" si="13"/>
        <v>786.2233166840286</v>
      </c>
      <c r="R61" s="40">
        <v>1267.9</v>
      </c>
      <c r="S61" s="40">
        <f t="shared" si="14"/>
        <v>193.15263427715118</v>
      </c>
      <c r="T61" s="40">
        <f t="shared" si="15"/>
        <v>0.20999554398611875</v>
      </c>
      <c r="U61" s="40"/>
    </row>
    <row r="62" spans="2:21" ht="24.75" customHeight="1">
      <c r="B62">
        <v>8</v>
      </c>
      <c r="C62" s="52" t="s">
        <v>21</v>
      </c>
      <c r="D62" s="25">
        <v>300</v>
      </c>
      <c r="E62" s="25">
        <v>520</v>
      </c>
      <c r="F62" s="25" t="s">
        <v>29</v>
      </c>
      <c r="G62" s="25">
        <f t="shared" si="16"/>
        <v>6.561679790026246</v>
      </c>
      <c r="H62" s="135">
        <v>2</v>
      </c>
      <c r="I62" s="37">
        <v>7584.57</v>
      </c>
      <c r="J62" s="173">
        <f t="shared" si="9"/>
        <v>28396630.08</v>
      </c>
      <c r="K62" s="24">
        <f t="shared" si="10"/>
        <v>1554.701893238434</v>
      </c>
      <c r="L62" s="24">
        <f t="shared" si="11"/>
        <v>185.35659321148825</v>
      </c>
      <c r="M62" s="156">
        <f t="shared" si="12"/>
        <v>103.79969219843343</v>
      </c>
      <c r="N62" s="61">
        <f t="shared" si="13"/>
        <v>24.349567176414542</v>
      </c>
      <c r="R62" s="40">
        <v>1267.9</v>
      </c>
      <c r="S62" s="40">
        <f t="shared" si="14"/>
        <v>5.981993848095275</v>
      </c>
      <c r="T62" s="40">
        <f t="shared" si="15"/>
        <v>0.006503623711649183</v>
      </c>
      <c r="U62" s="40"/>
    </row>
    <row r="63" spans="2:21" ht="24.75" customHeight="1">
      <c r="B63">
        <v>9</v>
      </c>
      <c r="C63" s="52" t="s">
        <v>22</v>
      </c>
      <c r="D63" s="25">
        <v>300</v>
      </c>
      <c r="E63" s="25">
        <v>520</v>
      </c>
      <c r="F63" s="25" t="s">
        <v>40</v>
      </c>
      <c r="G63" s="25">
        <f t="shared" si="16"/>
        <v>9.84251968503937</v>
      </c>
      <c r="H63" s="135">
        <v>3</v>
      </c>
      <c r="I63" s="37">
        <v>10624.524</v>
      </c>
      <c r="J63" s="173">
        <f t="shared" si="9"/>
        <v>39778217.856</v>
      </c>
      <c r="K63" s="24">
        <f t="shared" si="10"/>
        <v>2177.838371530249</v>
      </c>
      <c r="L63" s="24">
        <f t="shared" si="11"/>
        <v>259.648941618799</v>
      </c>
      <c r="M63" s="156">
        <f t="shared" si="12"/>
        <v>145.40340730652744</v>
      </c>
      <c r="N63" s="61">
        <f t="shared" si="13"/>
        <v>34.1090610087887</v>
      </c>
      <c r="R63" s="40">
        <v>1267.9</v>
      </c>
      <c r="S63" s="40">
        <f t="shared" si="14"/>
        <v>8.3796229986592</v>
      </c>
      <c r="T63" s="40">
        <f t="shared" si="15"/>
        <v>0.009110326124142282</v>
      </c>
      <c r="U63" s="40"/>
    </row>
    <row r="64" spans="2:21" ht="24.75" customHeight="1">
      <c r="B64">
        <v>1</v>
      </c>
      <c r="C64" s="52" t="s">
        <v>23</v>
      </c>
      <c r="D64" s="25">
        <v>300</v>
      </c>
      <c r="E64" s="25">
        <v>520</v>
      </c>
      <c r="F64" s="25" t="s">
        <v>35</v>
      </c>
      <c r="G64" s="25">
        <f t="shared" si="16"/>
        <v>32.808398950131235</v>
      </c>
      <c r="H64" s="135">
        <v>10</v>
      </c>
      <c r="I64" s="37">
        <v>57734.147</v>
      </c>
      <c r="J64" s="173">
        <f t="shared" si="9"/>
        <v>216156646.368</v>
      </c>
      <c r="K64" s="24">
        <f t="shared" si="10"/>
        <v>11834.472837010677</v>
      </c>
      <c r="L64" s="24">
        <f t="shared" si="11"/>
        <v>1410.9441668929503</v>
      </c>
      <c r="M64" s="156">
        <f t="shared" si="12"/>
        <v>790.1287334600522</v>
      </c>
      <c r="N64" s="61">
        <f t="shared" si="13"/>
        <v>185.35019002388952</v>
      </c>
      <c r="R64" s="40">
        <v>1267.9</v>
      </c>
      <c r="S64" s="40">
        <f t="shared" si="14"/>
        <v>45.535252780187705</v>
      </c>
      <c r="T64" s="40">
        <f t="shared" si="15"/>
        <v>0.04950592682262007</v>
      </c>
      <c r="U64" s="40"/>
    </row>
    <row r="65" spans="2:21" ht="24.75" customHeight="1">
      <c r="B65">
        <v>11</v>
      </c>
      <c r="C65" s="52" t="s">
        <v>13</v>
      </c>
      <c r="D65" s="26">
        <v>200</v>
      </c>
      <c r="E65" s="26">
        <v>460</v>
      </c>
      <c r="F65" s="25" t="s">
        <v>35</v>
      </c>
      <c r="G65" s="25">
        <f t="shared" si="16"/>
        <v>6.561679790026246</v>
      </c>
      <c r="H65" s="149">
        <v>2</v>
      </c>
      <c r="I65" s="37">
        <v>35403.372</v>
      </c>
      <c r="J65" s="173">
        <f t="shared" si="9"/>
        <v>132550224.768</v>
      </c>
      <c r="K65" s="21">
        <f t="shared" si="10"/>
        <v>7257.061306761566</v>
      </c>
      <c r="L65" s="24">
        <f t="shared" si="11"/>
        <v>865.2103444386423</v>
      </c>
      <c r="M65" s="156">
        <f t="shared" si="12"/>
        <v>484.5177928856397</v>
      </c>
      <c r="N65" s="61">
        <f t="shared" si="13"/>
        <v>115.79638759965417</v>
      </c>
      <c r="R65" s="40">
        <v>1244.5</v>
      </c>
      <c r="S65" s="40">
        <f t="shared" si="14"/>
        <v>28.447868220168743</v>
      </c>
      <c r="T65" s="40">
        <f t="shared" si="15"/>
        <v>0.030928522328967457</v>
      </c>
      <c r="U65" s="40"/>
    </row>
    <row r="66" spans="2:21" ht="24.75" customHeight="1">
      <c r="B66">
        <v>12</v>
      </c>
      <c r="C66" s="54" t="s">
        <v>10</v>
      </c>
      <c r="D66" s="27">
        <v>20</v>
      </c>
      <c r="E66" s="25">
        <v>266</v>
      </c>
      <c r="F66" s="25" t="s">
        <v>40</v>
      </c>
      <c r="G66" s="25">
        <f t="shared" si="16"/>
        <v>16.404199475065617</v>
      </c>
      <c r="H66" s="149">
        <v>5</v>
      </c>
      <c r="I66" s="37">
        <v>14560.548</v>
      </c>
      <c r="J66" s="173">
        <f t="shared" si="9"/>
        <v>54514691.712</v>
      </c>
      <c r="K66" s="23">
        <f t="shared" si="10"/>
        <v>2984.6532555160143</v>
      </c>
      <c r="L66" s="24">
        <f t="shared" si="11"/>
        <v>355.840024229765</v>
      </c>
      <c r="M66" s="156">
        <f t="shared" si="12"/>
        <v>199.2704135686684</v>
      </c>
      <c r="N66" s="61">
        <f t="shared" si="13"/>
        <v>50.78260031641368</v>
      </c>
      <c r="R66" s="131">
        <v>1167.1</v>
      </c>
      <c r="S66" s="40">
        <f t="shared" si="14"/>
        <v>12.475835832405108</v>
      </c>
      <c r="T66" s="40">
        <f t="shared" si="15"/>
        <v>0.013563728716990834</v>
      </c>
      <c r="U66" s="40"/>
    </row>
    <row r="67" spans="2:21" ht="24.75" customHeight="1">
      <c r="B67">
        <v>13</v>
      </c>
      <c r="C67" s="54" t="s">
        <v>12</v>
      </c>
      <c r="D67" s="27">
        <v>20</v>
      </c>
      <c r="E67" s="25">
        <v>266</v>
      </c>
      <c r="F67" s="25" t="s">
        <v>41</v>
      </c>
      <c r="G67" s="25">
        <f t="shared" si="16"/>
        <v>6.561679790026246</v>
      </c>
      <c r="H67" s="149">
        <v>2</v>
      </c>
      <c r="I67" s="37">
        <v>6949.865</v>
      </c>
      <c r="J67" s="173">
        <f t="shared" si="9"/>
        <v>26020294.560000002</v>
      </c>
      <c r="K67" s="23">
        <f t="shared" si="10"/>
        <v>1424.5986619217083</v>
      </c>
      <c r="L67" s="24">
        <f t="shared" si="11"/>
        <v>169.84526475195824</v>
      </c>
      <c r="M67" s="156">
        <f t="shared" si="12"/>
        <v>95.11334826109662</v>
      </c>
      <c r="N67" s="61">
        <f t="shared" si="13"/>
        <v>24.23893774794962</v>
      </c>
      <c r="R67" s="131">
        <v>1167.1</v>
      </c>
      <c r="S67" s="40">
        <f t="shared" si="14"/>
        <v>5.954815354296976</v>
      </c>
      <c r="T67" s="40">
        <f t="shared" si="15"/>
        <v>0.006474075253191672</v>
      </c>
      <c r="U67" s="40"/>
    </row>
    <row r="68" spans="2:21" ht="24.75" customHeight="1">
      <c r="B68">
        <v>14</v>
      </c>
      <c r="C68" s="162" t="s">
        <v>16</v>
      </c>
      <c r="D68" s="27">
        <v>20</v>
      </c>
      <c r="E68" s="25">
        <v>266</v>
      </c>
      <c r="F68" s="25" t="s">
        <v>44</v>
      </c>
      <c r="G68" s="25">
        <f t="shared" si="16"/>
        <v>4.921259842519685</v>
      </c>
      <c r="H68" s="150">
        <v>1.5</v>
      </c>
      <c r="I68" s="37">
        <v>23412.112</v>
      </c>
      <c r="J68" s="173">
        <f t="shared" si="9"/>
        <v>87654947.32800001</v>
      </c>
      <c r="K68" s="23">
        <f t="shared" si="10"/>
        <v>4799.066374377225</v>
      </c>
      <c r="L68" s="24">
        <f t="shared" si="11"/>
        <v>572.1602306005223</v>
      </c>
      <c r="M68" s="156">
        <f t="shared" si="12"/>
        <v>320.40972913629247</v>
      </c>
      <c r="N68" s="61">
        <f t="shared" si="13"/>
        <v>81.65406454888323</v>
      </c>
      <c r="R68" s="131">
        <v>1167.1</v>
      </c>
      <c r="S68" s="40">
        <f t="shared" si="14"/>
        <v>20.06007368691629</v>
      </c>
      <c r="T68" s="40">
        <f t="shared" si="15"/>
        <v>0.02180931211241539</v>
      </c>
      <c r="U68" s="40"/>
    </row>
    <row r="69" spans="2:21" ht="24.75" customHeight="1">
      <c r="B69">
        <v>15</v>
      </c>
      <c r="C69" s="54" t="s">
        <v>20</v>
      </c>
      <c r="D69" s="27">
        <v>20</v>
      </c>
      <c r="E69" s="25">
        <v>266</v>
      </c>
      <c r="F69" s="25" t="s">
        <v>50</v>
      </c>
      <c r="G69" s="25">
        <f t="shared" si="16"/>
        <v>164.04199475065616</v>
      </c>
      <c r="H69" s="149">
        <v>50</v>
      </c>
      <c r="I69" s="37">
        <v>532567.935</v>
      </c>
      <c r="J69" s="173">
        <f t="shared" si="9"/>
        <v>1993934348.64</v>
      </c>
      <c r="K69" s="23">
        <f t="shared" si="10"/>
        <v>109166.9503772242</v>
      </c>
      <c r="L69" s="24">
        <f t="shared" si="11"/>
        <v>13015.237262663186</v>
      </c>
      <c r="M69" s="156">
        <f t="shared" si="12"/>
        <v>7288.532867091385</v>
      </c>
      <c r="N69" s="61">
        <f t="shared" si="13"/>
        <v>1857.4290325091322</v>
      </c>
      <c r="R69" s="131">
        <v>1167.1</v>
      </c>
      <c r="S69" s="40">
        <f t="shared" si="14"/>
        <v>456.31731214120475</v>
      </c>
      <c r="T69" s="40">
        <f t="shared" si="15"/>
        <v>0.4961081817599178</v>
      </c>
      <c r="U69" s="40"/>
    </row>
    <row r="70" spans="2:21" ht="24.75" customHeight="1" thickBot="1">
      <c r="B70">
        <v>16</v>
      </c>
      <c r="C70" s="55" t="s">
        <v>24</v>
      </c>
      <c r="D70" s="56">
        <v>20</v>
      </c>
      <c r="E70" s="151">
        <v>266</v>
      </c>
      <c r="F70" s="151" t="s">
        <v>35</v>
      </c>
      <c r="G70" s="25">
        <f t="shared" si="16"/>
        <v>32.808398950131235</v>
      </c>
      <c r="H70" s="152">
        <v>10</v>
      </c>
      <c r="I70" s="153">
        <v>64126.067</v>
      </c>
      <c r="J70" s="174">
        <f t="shared" si="9"/>
        <v>240087994.848</v>
      </c>
      <c r="K70" s="167">
        <f t="shared" si="10"/>
        <v>13144.702701779359</v>
      </c>
      <c r="L70" s="168">
        <f t="shared" si="11"/>
        <v>1567.1540133681463</v>
      </c>
      <c r="M70" s="164">
        <f t="shared" si="12"/>
        <v>877.606247486162</v>
      </c>
      <c r="N70" s="171">
        <f t="shared" si="13"/>
        <v>223.65150201246306</v>
      </c>
      <c r="R70" s="131">
        <v>1167.1</v>
      </c>
      <c r="S70" s="40">
        <f t="shared" si="14"/>
        <v>54.94479222003257</v>
      </c>
      <c r="T70" s="40">
        <f t="shared" si="15"/>
        <v>0.05973597810161941</v>
      </c>
      <c r="U70" s="40"/>
    </row>
    <row r="71" spans="11:14" ht="36" customHeight="1" thickBot="1">
      <c r="K71" s="170">
        <f>SUM(K55:K70)</f>
        <v>304351.510753025</v>
      </c>
      <c r="L71" s="169">
        <f>SUM(L55:L70)</f>
        <v>36285.77247979112</v>
      </c>
      <c r="M71" s="172">
        <f>SUM(M55:M70)</f>
        <v>20320.032588683032</v>
      </c>
      <c r="N71" s="39">
        <f>SUM(N55:N70)</f>
        <v>4946.761482755306</v>
      </c>
    </row>
    <row r="72" ht="12.75">
      <c r="L72" s="22"/>
    </row>
  </sheetData>
  <mergeCells count="5">
    <mergeCell ref="F50:N53"/>
    <mergeCell ref="C50:E50"/>
    <mergeCell ref="C51:E51"/>
    <mergeCell ref="C52:E52"/>
    <mergeCell ref="C53:E53"/>
  </mergeCells>
  <printOptions horizontalCentered="1" verticalCentered="1"/>
  <pageMargins left="1.5748031496062993" right="1.5748031496062993" top="1.5748031496062993" bottom="0.9448818897637796" header="0" footer="0"/>
  <pageSetup horizontalDpi="600" verticalDpi="600" orientation="landscape" paperSize="9" scale="65" r:id="rId2"/>
  <headerFooter alignWithMargins="0">
    <oddFooter>&amp;LCompañía Azucarera Valdez&amp;R80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99"/>
  <sheetViews>
    <sheetView zoomScale="10" zoomScaleNormal="10" workbookViewId="0" topLeftCell="A1">
      <selection activeCell="O68" sqref="O68"/>
    </sheetView>
  </sheetViews>
  <sheetFormatPr defaultColWidth="11.421875" defaultRowHeight="12.75"/>
  <cols>
    <col min="3" max="3" width="44.8515625" style="0" customWidth="1"/>
    <col min="4" max="4" width="10.28125" style="0" customWidth="1"/>
    <col min="5" max="5" width="15.7109375" style="0" customWidth="1"/>
    <col min="6" max="6" width="11.7109375" style="0" customWidth="1"/>
    <col min="7" max="7" width="13.421875" style="0" customWidth="1"/>
    <col min="8" max="8" width="0.5625" style="0" hidden="1" customWidth="1"/>
    <col min="9" max="9" width="16.00390625" style="0" hidden="1" customWidth="1"/>
    <col min="10" max="10" width="13.421875" style="0" customWidth="1"/>
    <col min="11" max="11" width="12.57421875" style="0" hidden="1" customWidth="1"/>
    <col min="12" max="12" width="15.00390625" style="0" hidden="1" customWidth="1"/>
    <col min="13" max="13" width="13.00390625" style="0" hidden="1" customWidth="1"/>
    <col min="14" max="14" width="12.57421875" style="0" hidden="1" customWidth="1"/>
    <col min="15" max="15" width="21.8515625" style="0" customWidth="1"/>
    <col min="16" max="16" width="12.57421875" style="0" customWidth="1"/>
    <col min="19" max="19" width="17.7109375" style="0" customWidth="1"/>
    <col min="20" max="20" width="21.7109375" style="0" customWidth="1"/>
    <col min="21" max="21" width="11.57421875" style="0" bestFit="1" customWidth="1"/>
    <col min="22" max="22" width="7.57421875" style="0" bestFit="1" customWidth="1"/>
    <col min="23" max="23" width="14.7109375" style="0" customWidth="1"/>
    <col min="24" max="24" width="8.57421875" style="0" customWidth="1"/>
    <col min="25" max="25" width="7.57421875" style="0" bestFit="1" customWidth="1"/>
    <col min="26" max="26" width="9.8515625" style="0" customWidth="1"/>
    <col min="41" max="41" width="11.421875" style="0" hidden="1" customWidth="1"/>
  </cols>
  <sheetData>
    <row r="1" spans="1:23" ht="12.75">
      <c r="A1">
        <v>0</v>
      </c>
      <c r="U1" s="242"/>
      <c r="V1" s="242"/>
      <c r="W1" s="242"/>
    </row>
    <row r="2" spans="1:2" ht="12.75">
      <c r="A2" s="1"/>
      <c r="B2" s="1"/>
    </row>
    <row r="3" spans="1:23" ht="15.75">
      <c r="A3" s="1"/>
      <c r="B3" s="1"/>
      <c r="M3" s="34" t="s">
        <v>6</v>
      </c>
      <c r="N3" s="4"/>
      <c r="O3" s="4"/>
      <c r="P3" s="4"/>
      <c r="Q3" s="4"/>
      <c r="R3" s="4"/>
      <c r="S3" s="4"/>
      <c r="T3" s="4"/>
      <c r="U3" s="4"/>
      <c r="V3" s="4"/>
      <c r="W3" s="12"/>
    </row>
    <row r="4" spans="14:23" ht="15.75" thickBot="1">
      <c r="N4" s="4"/>
      <c r="O4" s="63"/>
      <c r="P4" s="63"/>
      <c r="Q4" s="63"/>
      <c r="R4" s="63"/>
      <c r="S4" s="63"/>
      <c r="T4" s="63"/>
      <c r="U4" s="63"/>
      <c r="V4" s="4"/>
      <c r="W4" s="12"/>
    </row>
    <row r="5" spans="2:23" ht="15.75">
      <c r="B5" s="1"/>
      <c r="L5" s="5" t="s">
        <v>3</v>
      </c>
      <c r="M5" s="13"/>
      <c r="N5" s="14"/>
      <c r="O5" s="242"/>
      <c r="P5" s="242"/>
      <c r="Q5" s="242"/>
      <c r="R5" s="242"/>
      <c r="S5" s="242"/>
      <c r="T5" s="242"/>
      <c r="U5" s="63"/>
      <c r="V5" s="35"/>
      <c r="W5" s="12"/>
    </row>
    <row r="6" spans="1:23" ht="15.75">
      <c r="A6" s="1"/>
      <c r="B6" s="1"/>
      <c r="L6" s="6" t="s">
        <v>4</v>
      </c>
      <c r="M6" s="15"/>
      <c r="N6" s="16"/>
      <c r="O6" s="242"/>
      <c r="P6" s="242"/>
      <c r="Q6" s="242"/>
      <c r="R6" s="242"/>
      <c r="S6" s="242"/>
      <c r="T6" s="242"/>
      <c r="U6" s="64"/>
      <c r="V6" s="35"/>
      <c r="W6" s="12"/>
    </row>
    <row r="7" spans="1:23" ht="16.5" thickBot="1">
      <c r="A7" s="2"/>
      <c r="B7" s="2"/>
      <c r="L7" s="7" t="s">
        <v>2</v>
      </c>
      <c r="M7" s="17"/>
      <c r="N7" s="8"/>
      <c r="O7" s="242"/>
      <c r="P7" s="242"/>
      <c r="Q7" s="242"/>
      <c r="R7" s="242"/>
      <c r="S7" s="242"/>
      <c r="T7" s="242"/>
      <c r="U7" s="63"/>
      <c r="V7" s="36"/>
      <c r="W7" s="12"/>
    </row>
    <row r="8" spans="1:23" ht="15">
      <c r="A8" s="2"/>
      <c r="B8" s="2"/>
      <c r="N8" s="2"/>
      <c r="O8" s="9"/>
      <c r="P8" s="9"/>
      <c r="Q8" s="9"/>
      <c r="R8" s="9"/>
      <c r="S8" s="9"/>
      <c r="T8" s="9"/>
      <c r="U8" s="2"/>
      <c r="V8" s="2"/>
      <c r="W8" s="12"/>
    </row>
    <row r="9" spans="4:23" ht="15.75">
      <c r="D9" s="20" t="s">
        <v>25</v>
      </c>
      <c r="E9" s="20"/>
      <c r="F9" s="20"/>
      <c r="G9" s="20"/>
      <c r="H9" s="20"/>
      <c r="I9" s="20"/>
      <c r="J9" s="20"/>
      <c r="K9" s="20"/>
      <c r="N9" s="18" t="s">
        <v>0</v>
      </c>
      <c r="O9" s="132">
        <v>1.087</v>
      </c>
      <c r="P9" s="132"/>
      <c r="Q9" s="132"/>
      <c r="R9" s="132"/>
      <c r="S9" s="132"/>
      <c r="T9" s="132"/>
      <c r="U9" s="2"/>
      <c r="V9" s="2"/>
      <c r="W9" s="12"/>
    </row>
    <row r="10" spans="4:22" ht="15.75">
      <c r="D10" s="20" t="s">
        <v>26</v>
      </c>
      <c r="E10" s="20"/>
      <c r="F10" s="20"/>
      <c r="G10" s="20"/>
      <c r="H10" s="20"/>
      <c r="I10" s="20"/>
      <c r="J10" s="20"/>
      <c r="K10" s="20"/>
      <c r="N10" s="2"/>
      <c r="O10" s="3"/>
      <c r="P10" s="3"/>
      <c r="Q10" s="3"/>
      <c r="R10" s="3"/>
      <c r="S10" s="3"/>
      <c r="T10" s="3"/>
      <c r="U10" s="2"/>
      <c r="V10" s="2"/>
    </row>
    <row r="11" spans="4:22" ht="15.75">
      <c r="D11" s="20" t="s">
        <v>28</v>
      </c>
      <c r="E11" s="20"/>
      <c r="F11" s="20"/>
      <c r="G11" s="20"/>
      <c r="H11" s="20"/>
      <c r="I11" s="20"/>
      <c r="J11" s="20"/>
      <c r="K11" s="20"/>
      <c r="N11" s="2"/>
      <c r="O11" s="3"/>
      <c r="P11" s="3"/>
      <c r="Q11" s="3"/>
      <c r="R11" s="3"/>
      <c r="S11" s="3"/>
      <c r="T11" s="3"/>
      <c r="U11" s="2"/>
      <c r="V11" s="2"/>
    </row>
    <row r="12" spans="4:22" ht="15.75">
      <c r="D12" s="20" t="s">
        <v>27</v>
      </c>
      <c r="E12" s="20"/>
      <c r="F12" s="20"/>
      <c r="G12" s="20"/>
      <c r="H12" s="20"/>
      <c r="I12" s="20"/>
      <c r="J12" s="20"/>
      <c r="K12" s="20"/>
      <c r="N12" s="2"/>
      <c r="O12" s="3"/>
      <c r="P12" s="3"/>
      <c r="Q12" s="3"/>
      <c r="R12" s="3"/>
      <c r="S12" s="3"/>
      <c r="T12" s="3"/>
      <c r="U12" s="2"/>
      <c r="V12" s="2"/>
    </row>
    <row r="14" ht="13.5" thickBot="1">
      <c r="Y14" t="s">
        <v>63</v>
      </c>
    </row>
    <row r="15" spans="1:25" ht="409.5">
      <c r="A15" t="s">
        <v>34</v>
      </c>
      <c r="C15" s="49" t="s">
        <v>7</v>
      </c>
      <c r="D15" s="50" t="s">
        <v>8</v>
      </c>
      <c r="E15" s="50" t="s">
        <v>73</v>
      </c>
      <c r="F15" s="50"/>
      <c r="G15" s="50" t="s">
        <v>80</v>
      </c>
      <c r="H15" s="50" t="s">
        <v>81</v>
      </c>
      <c r="I15" s="50"/>
      <c r="J15" s="50"/>
      <c r="K15" s="50"/>
      <c r="L15" s="50" t="s">
        <v>77</v>
      </c>
      <c r="M15" s="50" t="s">
        <v>82</v>
      </c>
      <c r="N15" s="50" t="s">
        <v>76</v>
      </c>
      <c r="O15" s="51" t="s">
        <v>32</v>
      </c>
      <c r="P15" s="180"/>
      <c r="Q15" s="180"/>
      <c r="R15" s="180"/>
      <c r="S15" s="180"/>
      <c r="T15" s="180"/>
      <c r="W15" t="s">
        <v>72</v>
      </c>
      <c r="X15" t="s">
        <v>30</v>
      </c>
      <c r="Y15" t="s">
        <v>31</v>
      </c>
    </row>
    <row r="16" spans="1:25" ht="30" customHeight="1">
      <c r="A16" s="65" t="s">
        <v>35</v>
      </c>
      <c r="B16">
        <v>1</v>
      </c>
      <c r="C16" s="52" t="s">
        <v>9</v>
      </c>
      <c r="D16" s="25">
        <v>300</v>
      </c>
      <c r="E16" s="25">
        <v>520</v>
      </c>
      <c r="F16" s="25"/>
      <c r="G16" s="24">
        <v>1</v>
      </c>
      <c r="H16" s="24">
        <f aca="true" t="shared" si="0" ref="H16:H31">U16/V16</f>
        <v>1875.9402799999998</v>
      </c>
      <c r="I16" s="24"/>
      <c r="J16" s="24"/>
      <c r="K16" s="24"/>
      <c r="L16" s="24">
        <f aca="true" t="shared" si="1" ref="L16:L31">H16*24*156</f>
        <v>7023520.408319999</v>
      </c>
      <c r="M16" s="24">
        <f aca="true" t="shared" si="2" ref="M16:M31">L16/18265</f>
        <v>384.53437767971525</v>
      </c>
      <c r="N16" s="24">
        <f aca="true" t="shared" si="3" ref="N16:N31">L16/153200</f>
        <v>45.84543347467363</v>
      </c>
      <c r="O16" s="53">
        <f aca="true" t="shared" si="4" ref="O16:O31">Y16*3744</f>
        <v>6.022534417482059</v>
      </c>
      <c r="P16" s="181"/>
      <c r="Q16" s="181"/>
      <c r="R16" s="181"/>
      <c r="S16" s="181"/>
      <c r="T16" s="181"/>
      <c r="U16" s="29">
        <f aca="true" t="shared" si="5" ref="U16:U31">H51</f>
        <v>187594.028</v>
      </c>
      <c r="V16" s="30">
        <v>100</v>
      </c>
      <c r="W16" s="40">
        <v>1267.9</v>
      </c>
      <c r="X16" s="40">
        <f aca="true" t="shared" si="6" ref="X16:X31">H16/W16</f>
        <v>1.4795648552724976</v>
      </c>
      <c r="Y16" s="43">
        <f aca="true" t="shared" si="7" ref="Y16:Y31">X16*0.0010872</f>
        <v>0.0016085829106522594</v>
      </c>
    </row>
    <row r="17" spans="1:25" ht="30" customHeight="1">
      <c r="A17" s="65" t="s">
        <v>35</v>
      </c>
      <c r="B17">
        <v>2</v>
      </c>
      <c r="C17" s="52" t="s">
        <v>11</v>
      </c>
      <c r="D17" s="25">
        <v>300</v>
      </c>
      <c r="E17" s="25">
        <v>520</v>
      </c>
      <c r="F17" s="25"/>
      <c r="G17" s="24">
        <v>1</v>
      </c>
      <c r="H17" s="24">
        <f t="shared" si="0"/>
        <v>12737.9188</v>
      </c>
      <c r="I17" s="24"/>
      <c r="J17" s="24"/>
      <c r="K17" s="24"/>
      <c r="L17" s="24">
        <f t="shared" si="1"/>
        <v>47690767.9872</v>
      </c>
      <c r="M17" s="24">
        <f t="shared" si="2"/>
        <v>2611.0467006405693</v>
      </c>
      <c r="N17" s="24">
        <f t="shared" si="3"/>
        <v>311.2974411697128</v>
      </c>
      <c r="O17" s="53">
        <f t="shared" si="4"/>
        <v>40.89392140995649</v>
      </c>
      <c r="P17" s="181"/>
      <c r="Q17" s="181"/>
      <c r="R17" s="181"/>
      <c r="S17" s="181"/>
      <c r="T17" s="181"/>
      <c r="U17" s="29">
        <f t="shared" si="5"/>
        <v>63689.594</v>
      </c>
      <c r="V17" s="31">
        <v>5</v>
      </c>
      <c r="W17" s="40">
        <v>1267.9</v>
      </c>
      <c r="X17" s="40">
        <f t="shared" si="6"/>
        <v>10.046469595393958</v>
      </c>
      <c r="Y17" s="43">
        <f t="shared" si="7"/>
        <v>0.010922521744112311</v>
      </c>
    </row>
    <row r="18" spans="1:25" ht="30" customHeight="1">
      <c r="A18" s="65" t="s">
        <v>40</v>
      </c>
      <c r="B18">
        <v>3</v>
      </c>
      <c r="C18" s="52" t="s">
        <v>36</v>
      </c>
      <c r="D18" s="25">
        <v>300</v>
      </c>
      <c r="E18" s="25">
        <v>520</v>
      </c>
      <c r="F18" s="25"/>
      <c r="G18" s="24">
        <v>1</v>
      </c>
      <c r="H18" s="24">
        <f t="shared" si="0"/>
        <v>9347.061333333333</v>
      </c>
      <c r="I18" s="24"/>
      <c r="J18" s="24"/>
      <c r="K18" s="24"/>
      <c r="L18" s="24">
        <f t="shared" si="1"/>
        <v>34995397.632</v>
      </c>
      <c r="M18" s="24">
        <f t="shared" si="2"/>
        <v>1915.9812555160142</v>
      </c>
      <c r="N18" s="24">
        <f t="shared" si="3"/>
        <v>228.42948845953003</v>
      </c>
      <c r="O18" s="53">
        <f t="shared" si="4"/>
        <v>30.007884143473767</v>
      </c>
      <c r="P18" s="181"/>
      <c r="Q18" s="181"/>
      <c r="R18" s="181"/>
      <c r="S18" s="181"/>
      <c r="T18" s="181"/>
      <c r="U18" s="29">
        <f t="shared" si="5"/>
        <v>28041.184</v>
      </c>
      <c r="V18" s="31">
        <v>3</v>
      </c>
      <c r="W18" s="40">
        <v>1267.9</v>
      </c>
      <c r="X18" s="40">
        <f t="shared" si="6"/>
        <v>7.372080868627914</v>
      </c>
      <c r="Y18" s="43">
        <f t="shared" si="7"/>
        <v>0.008014926320372267</v>
      </c>
    </row>
    <row r="19" spans="1:25" ht="30" customHeight="1">
      <c r="A19" s="65" t="s">
        <v>29</v>
      </c>
      <c r="B19">
        <v>4</v>
      </c>
      <c r="C19" s="52" t="s">
        <v>37</v>
      </c>
      <c r="D19" s="25">
        <v>300</v>
      </c>
      <c r="E19" s="25">
        <v>520</v>
      </c>
      <c r="F19" s="25"/>
      <c r="G19" s="24">
        <v>1</v>
      </c>
      <c r="H19" s="24">
        <f t="shared" si="0"/>
        <v>6484.519333333334</v>
      </c>
      <c r="I19" s="24"/>
      <c r="J19" s="24"/>
      <c r="K19" s="24"/>
      <c r="L19" s="24">
        <f t="shared" si="1"/>
        <v>24278040.384</v>
      </c>
      <c r="M19" s="24">
        <f t="shared" si="2"/>
        <v>1329.2110804270462</v>
      </c>
      <c r="N19" s="24">
        <f t="shared" si="3"/>
        <v>158.47284845953</v>
      </c>
      <c r="O19" s="53">
        <f t="shared" si="4"/>
        <v>20.81795528471078</v>
      </c>
      <c r="P19" s="181"/>
      <c r="Q19" s="181"/>
      <c r="R19" s="181"/>
      <c r="S19" s="181"/>
      <c r="T19" s="181"/>
      <c r="U19" s="29">
        <f t="shared" si="5"/>
        <v>19453.558</v>
      </c>
      <c r="V19" s="31">
        <v>3</v>
      </c>
      <c r="W19" s="40">
        <v>1267.9</v>
      </c>
      <c r="X19" s="40">
        <f t="shared" si="6"/>
        <v>5.114377579725004</v>
      </c>
      <c r="Y19" s="43">
        <f t="shared" si="7"/>
        <v>0.005560351304677025</v>
      </c>
    </row>
    <row r="20" spans="1:25" ht="30" customHeight="1">
      <c r="A20" s="65" t="s">
        <v>41</v>
      </c>
      <c r="B20">
        <v>5</v>
      </c>
      <c r="C20" s="52" t="s">
        <v>17</v>
      </c>
      <c r="D20" s="25">
        <v>300</v>
      </c>
      <c r="E20" s="25">
        <v>520</v>
      </c>
      <c r="F20" s="25"/>
      <c r="G20" s="24">
        <v>1</v>
      </c>
      <c r="H20" s="24">
        <f t="shared" si="0"/>
        <v>18028.237666666668</v>
      </c>
      <c r="I20" s="24"/>
      <c r="J20" s="24"/>
      <c r="K20" s="24"/>
      <c r="L20" s="24">
        <f t="shared" si="1"/>
        <v>67497721.824</v>
      </c>
      <c r="M20" s="24">
        <f t="shared" si="2"/>
        <v>3695.467934519573</v>
      </c>
      <c r="N20" s="24">
        <f t="shared" si="3"/>
        <v>440.5856515926893</v>
      </c>
      <c r="O20" s="53">
        <f t="shared" si="4"/>
        <v>57.87800549495449</v>
      </c>
      <c r="P20" s="181"/>
      <c r="Q20" s="181"/>
      <c r="R20" s="181"/>
      <c r="S20" s="181"/>
      <c r="T20" s="181"/>
      <c r="U20" s="29">
        <f t="shared" si="5"/>
        <v>108169.426</v>
      </c>
      <c r="V20" s="31">
        <v>6</v>
      </c>
      <c r="W20" s="40">
        <v>1267.9</v>
      </c>
      <c r="X20" s="40">
        <f t="shared" si="6"/>
        <v>14.21897441964403</v>
      </c>
      <c r="Y20" s="43">
        <f t="shared" si="7"/>
        <v>0.01545886898903699</v>
      </c>
    </row>
    <row r="21" spans="1:25" ht="30" customHeight="1">
      <c r="A21" s="65" t="s">
        <v>35</v>
      </c>
      <c r="B21">
        <v>6</v>
      </c>
      <c r="C21" s="52" t="s">
        <v>18</v>
      </c>
      <c r="D21" s="25">
        <v>300</v>
      </c>
      <c r="E21" s="25">
        <v>520</v>
      </c>
      <c r="F21" s="25"/>
      <c r="G21" s="24">
        <v>1</v>
      </c>
      <c r="H21" s="24">
        <f t="shared" si="0"/>
        <v>7996.123600000001</v>
      </c>
      <c r="I21" s="24"/>
      <c r="J21" s="24"/>
      <c r="K21" s="24"/>
      <c r="L21" s="24">
        <f t="shared" si="1"/>
        <v>29937486.758400004</v>
      </c>
      <c r="M21" s="24">
        <f t="shared" si="2"/>
        <v>1639.0630582206409</v>
      </c>
      <c r="N21" s="24">
        <f t="shared" si="3"/>
        <v>195.41440442819845</v>
      </c>
      <c r="O21" s="53">
        <f t="shared" si="4"/>
        <v>25.670822307541982</v>
      </c>
      <c r="P21" s="181"/>
      <c r="Q21" s="181"/>
      <c r="R21" s="181"/>
      <c r="S21" s="181"/>
      <c r="T21" s="181"/>
      <c r="U21" s="29">
        <f t="shared" si="5"/>
        <v>79961.236</v>
      </c>
      <c r="V21" s="31">
        <v>10</v>
      </c>
      <c r="W21" s="40">
        <v>1267.9</v>
      </c>
      <c r="X21" s="40">
        <f t="shared" si="6"/>
        <v>6.30658853221863</v>
      </c>
      <c r="Y21" s="43">
        <f t="shared" si="7"/>
        <v>0.006856523052228094</v>
      </c>
    </row>
    <row r="22" spans="1:25" ht="30" customHeight="1">
      <c r="A22" s="65" t="s">
        <v>43</v>
      </c>
      <c r="B22">
        <v>7</v>
      </c>
      <c r="C22" s="52" t="s">
        <v>42</v>
      </c>
      <c r="D22" s="25">
        <v>300</v>
      </c>
      <c r="E22" s="25">
        <v>520</v>
      </c>
      <c r="F22" s="25"/>
      <c r="G22" s="24">
        <v>1</v>
      </c>
      <c r="H22" s="24">
        <f t="shared" si="0"/>
        <v>12244.911250000001</v>
      </c>
      <c r="I22" s="24"/>
      <c r="J22" s="24"/>
      <c r="K22" s="24"/>
      <c r="L22" s="24">
        <f t="shared" si="1"/>
        <v>45844947.72</v>
      </c>
      <c r="M22" s="24">
        <f t="shared" si="2"/>
        <v>2509.988925266904</v>
      </c>
      <c r="N22" s="24">
        <f t="shared" si="3"/>
        <v>299.24900600522193</v>
      </c>
      <c r="O22" s="53">
        <f t="shared" si="4"/>
        <v>39.31116583420143</v>
      </c>
      <c r="P22" s="181"/>
      <c r="Q22" s="181"/>
      <c r="R22" s="181"/>
      <c r="S22" s="181"/>
      <c r="T22" s="181"/>
      <c r="U22" s="29">
        <f t="shared" si="5"/>
        <v>244898.225</v>
      </c>
      <c r="V22" s="31">
        <v>20</v>
      </c>
      <c r="W22" s="40">
        <v>1267.9</v>
      </c>
      <c r="X22" s="40">
        <f t="shared" si="6"/>
        <v>9.65763171385756</v>
      </c>
      <c r="Y22" s="43">
        <f t="shared" si="7"/>
        <v>0.010499777199305938</v>
      </c>
    </row>
    <row r="23" spans="1:25" ht="30" customHeight="1">
      <c r="A23" s="65" t="s">
        <v>43</v>
      </c>
      <c r="B23">
        <v>8</v>
      </c>
      <c r="C23" s="52" t="s">
        <v>21</v>
      </c>
      <c r="D23" s="25">
        <v>300</v>
      </c>
      <c r="E23" s="25">
        <v>520</v>
      </c>
      <c r="F23" s="25"/>
      <c r="G23" s="24">
        <v>1</v>
      </c>
      <c r="H23" s="24">
        <f t="shared" si="0"/>
        <v>3792.285</v>
      </c>
      <c r="I23" s="24"/>
      <c r="J23" s="24"/>
      <c r="K23" s="24"/>
      <c r="L23" s="24">
        <f t="shared" si="1"/>
        <v>14198315.04</v>
      </c>
      <c r="M23" s="24">
        <f t="shared" si="2"/>
        <v>777.350946619217</v>
      </c>
      <c r="N23" s="24">
        <f t="shared" si="3"/>
        <v>92.67829660574412</v>
      </c>
      <c r="O23" s="53">
        <f t="shared" si="4"/>
        <v>12.174783588207271</v>
      </c>
      <c r="P23" s="181"/>
      <c r="Q23" s="181"/>
      <c r="R23" s="181"/>
      <c r="S23" s="181"/>
      <c r="T23" s="181"/>
      <c r="U23" s="29">
        <f t="shared" si="5"/>
        <v>7584.57</v>
      </c>
      <c r="V23" s="31">
        <v>2</v>
      </c>
      <c r="W23" s="40">
        <v>1267.9</v>
      </c>
      <c r="X23" s="40">
        <f t="shared" si="6"/>
        <v>2.9909969240476375</v>
      </c>
      <c r="Y23" s="43">
        <f t="shared" si="7"/>
        <v>0.0032518118558245916</v>
      </c>
    </row>
    <row r="24" spans="1:25" ht="30" customHeight="1">
      <c r="A24" s="65" t="s">
        <v>40</v>
      </c>
      <c r="B24">
        <v>9</v>
      </c>
      <c r="C24" s="52" t="s">
        <v>22</v>
      </c>
      <c r="D24" s="25">
        <v>300</v>
      </c>
      <c r="E24" s="25">
        <v>520</v>
      </c>
      <c r="F24" s="25"/>
      <c r="G24" s="24">
        <v>1</v>
      </c>
      <c r="H24" s="24">
        <f t="shared" si="0"/>
        <v>3541.508</v>
      </c>
      <c r="I24" s="24"/>
      <c r="J24" s="24"/>
      <c r="K24" s="24"/>
      <c r="L24" s="24">
        <f t="shared" si="1"/>
        <v>13259405.952</v>
      </c>
      <c r="M24" s="24">
        <f t="shared" si="2"/>
        <v>725.9461238434163</v>
      </c>
      <c r="N24" s="24">
        <f t="shared" si="3"/>
        <v>86.54964720626631</v>
      </c>
      <c r="O24" s="53">
        <f t="shared" si="4"/>
        <v>11.369687002929567</v>
      </c>
      <c r="P24" s="181"/>
      <c r="Q24" s="181"/>
      <c r="R24" s="181"/>
      <c r="S24" s="181"/>
      <c r="T24" s="181"/>
      <c r="U24" s="29">
        <f t="shared" si="5"/>
        <v>10624.524</v>
      </c>
      <c r="V24" s="31">
        <v>3</v>
      </c>
      <c r="W24" s="40">
        <v>1267.9</v>
      </c>
      <c r="X24" s="40">
        <f t="shared" si="6"/>
        <v>2.793207666219733</v>
      </c>
      <c r="Y24" s="43">
        <f t="shared" si="7"/>
        <v>0.0030367753747140938</v>
      </c>
    </row>
    <row r="25" spans="1:25" ht="30" customHeight="1">
      <c r="A25" s="65" t="s">
        <v>35</v>
      </c>
      <c r="B25">
        <v>10</v>
      </c>
      <c r="C25" s="52" t="s">
        <v>38</v>
      </c>
      <c r="D25" s="25">
        <v>300</v>
      </c>
      <c r="E25" s="25">
        <v>520</v>
      </c>
      <c r="F25" s="25"/>
      <c r="G25" s="24">
        <v>1</v>
      </c>
      <c r="H25" s="24">
        <f t="shared" si="0"/>
        <v>5773.414699999999</v>
      </c>
      <c r="I25" s="24"/>
      <c r="J25" s="24"/>
      <c r="K25" s="24"/>
      <c r="L25" s="24">
        <f t="shared" si="1"/>
        <v>21615664.636799995</v>
      </c>
      <c r="M25" s="24">
        <f t="shared" si="2"/>
        <v>1183.4472837010674</v>
      </c>
      <c r="N25" s="24">
        <f t="shared" si="3"/>
        <v>141.094416689295</v>
      </c>
      <c r="O25" s="53">
        <f t="shared" si="4"/>
        <v>18.535019002388953</v>
      </c>
      <c r="P25" s="181"/>
      <c r="Q25" s="181"/>
      <c r="R25" s="181"/>
      <c r="S25" s="181"/>
      <c r="T25" s="181"/>
      <c r="U25" s="29">
        <f t="shared" si="5"/>
        <v>57734.147</v>
      </c>
      <c r="V25" s="31">
        <v>10</v>
      </c>
      <c r="W25" s="40">
        <v>1267.9</v>
      </c>
      <c r="X25" s="40">
        <f t="shared" si="6"/>
        <v>4.55352527801877</v>
      </c>
      <c r="Y25" s="43">
        <f t="shared" si="7"/>
        <v>0.004950592682262007</v>
      </c>
    </row>
    <row r="26" spans="1:25" ht="30" customHeight="1">
      <c r="A26" s="65" t="s">
        <v>35</v>
      </c>
      <c r="B26">
        <v>11</v>
      </c>
      <c r="C26" s="52" t="s">
        <v>39</v>
      </c>
      <c r="D26" s="26">
        <v>200</v>
      </c>
      <c r="E26" s="26">
        <v>460</v>
      </c>
      <c r="F26" s="26"/>
      <c r="G26" s="21">
        <v>1</v>
      </c>
      <c r="H26" s="21">
        <f t="shared" si="0"/>
        <v>17701.686</v>
      </c>
      <c r="I26" s="21"/>
      <c r="J26" s="21"/>
      <c r="K26" s="21"/>
      <c r="L26" s="21">
        <f t="shared" si="1"/>
        <v>66275112.384</v>
      </c>
      <c r="M26" s="21">
        <f t="shared" si="2"/>
        <v>3628.530653380783</v>
      </c>
      <c r="N26" s="21">
        <f t="shared" si="3"/>
        <v>432.60517221932116</v>
      </c>
      <c r="O26" s="53">
        <f t="shared" si="4"/>
        <v>57.898193799827084</v>
      </c>
      <c r="P26" s="181"/>
      <c r="Q26" s="181"/>
      <c r="R26" s="181"/>
      <c r="S26" s="181"/>
      <c r="T26" s="181"/>
      <c r="U26" s="29">
        <f t="shared" si="5"/>
        <v>35403.372</v>
      </c>
      <c r="V26" s="32">
        <v>2</v>
      </c>
      <c r="W26" s="40">
        <v>1244.5</v>
      </c>
      <c r="X26" s="40">
        <f t="shared" si="6"/>
        <v>14.223934110084372</v>
      </c>
      <c r="Y26" s="43">
        <f t="shared" si="7"/>
        <v>0.015464261164483729</v>
      </c>
    </row>
    <row r="27" spans="1:25" ht="30" customHeight="1">
      <c r="A27" s="65" t="s">
        <v>40</v>
      </c>
      <c r="B27">
        <v>12</v>
      </c>
      <c r="C27" s="54" t="s">
        <v>10</v>
      </c>
      <c r="D27" s="27">
        <v>20</v>
      </c>
      <c r="E27" s="27">
        <v>266</v>
      </c>
      <c r="F27" s="27"/>
      <c r="G27" s="21">
        <v>1</v>
      </c>
      <c r="H27" s="23">
        <f t="shared" si="0"/>
        <v>2912.1096000000002</v>
      </c>
      <c r="I27" s="23"/>
      <c r="J27" s="23"/>
      <c r="K27" s="23"/>
      <c r="L27" s="23">
        <f t="shared" si="1"/>
        <v>10902938.342400001</v>
      </c>
      <c r="M27" s="23">
        <f t="shared" si="2"/>
        <v>596.9306511032029</v>
      </c>
      <c r="N27" s="23">
        <f t="shared" si="3"/>
        <v>71.168004845953</v>
      </c>
      <c r="O27" s="53">
        <f t="shared" si="4"/>
        <v>10.156520063282736</v>
      </c>
      <c r="P27" s="181"/>
      <c r="Q27" s="181"/>
      <c r="R27" s="181"/>
      <c r="S27" s="181"/>
      <c r="T27" s="181"/>
      <c r="U27" s="29">
        <f t="shared" si="5"/>
        <v>14560.548</v>
      </c>
      <c r="V27" s="32">
        <v>5</v>
      </c>
      <c r="W27" s="131">
        <v>1167.1</v>
      </c>
      <c r="X27" s="40">
        <f t="shared" si="6"/>
        <v>2.4951671664810218</v>
      </c>
      <c r="Y27" s="43">
        <f t="shared" si="7"/>
        <v>0.0027127457433981667</v>
      </c>
    </row>
    <row r="28" spans="1:25" ht="30" customHeight="1">
      <c r="A28" s="65" t="s">
        <v>44</v>
      </c>
      <c r="B28">
        <v>13</v>
      </c>
      <c r="C28" s="54" t="s">
        <v>12</v>
      </c>
      <c r="D28" s="27">
        <v>20</v>
      </c>
      <c r="E28" s="27">
        <v>266</v>
      </c>
      <c r="F28" s="27"/>
      <c r="G28" s="21">
        <v>1</v>
      </c>
      <c r="H28" s="23">
        <f t="shared" si="0"/>
        <v>3474.9325</v>
      </c>
      <c r="I28" s="23"/>
      <c r="J28" s="23"/>
      <c r="K28" s="23"/>
      <c r="L28" s="23">
        <f t="shared" si="1"/>
        <v>13010147.280000001</v>
      </c>
      <c r="M28" s="23">
        <f t="shared" si="2"/>
        <v>712.2993309608541</v>
      </c>
      <c r="N28" s="23">
        <f t="shared" si="3"/>
        <v>84.92263237597912</v>
      </c>
      <c r="O28" s="53">
        <f t="shared" si="4"/>
        <v>12.11946887397481</v>
      </c>
      <c r="P28" s="181"/>
      <c r="Q28" s="181"/>
      <c r="R28" s="181"/>
      <c r="S28" s="181"/>
      <c r="T28" s="181"/>
      <c r="U28" s="29">
        <f t="shared" si="5"/>
        <v>6949.865</v>
      </c>
      <c r="V28" s="32">
        <v>2</v>
      </c>
      <c r="W28" s="131">
        <v>1167.1</v>
      </c>
      <c r="X28" s="40">
        <f t="shared" si="6"/>
        <v>2.977407677148488</v>
      </c>
      <c r="Y28" s="43">
        <f t="shared" si="7"/>
        <v>0.003237037626595836</v>
      </c>
    </row>
    <row r="29" spans="1:25" ht="30" customHeight="1">
      <c r="A29" s="65" t="s">
        <v>44</v>
      </c>
      <c r="B29">
        <v>14</v>
      </c>
      <c r="C29" s="54" t="s">
        <v>16</v>
      </c>
      <c r="D29" s="27">
        <v>20</v>
      </c>
      <c r="E29" s="27">
        <v>266</v>
      </c>
      <c r="F29" s="27"/>
      <c r="G29" s="21">
        <v>1</v>
      </c>
      <c r="H29" s="23">
        <f t="shared" si="0"/>
        <v>15608.074666666667</v>
      </c>
      <c r="I29" s="23"/>
      <c r="J29" s="23"/>
      <c r="K29" s="23"/>
      <c r="L29" s="23">
        <f t="shared" si="1"/>
        <v>58436631.552</v>
      </c>
      <c r="M29" s="23">
        <f t="shared" si="2"/>
        <v>3199.3775829181495</v>
      </c>
      <c r="N29" s="23">
        <f t="shared" si="3"/>
        <v>381.4401537336815</v>
      </c>
      <c r="O29" s="53">
        <f t="shared" si="4"/>
        <v>54.43604303258881</v>
      </c>
      <c r="P29" s="181"/>
      <c r="Q29" s="181"/>
      <c r="R29" s="181"/>
      <c r="S29" s="181"/>
      <c r="T29" s="181"/>
      <c r="U29" s="29">
        <f t="shared" si="5"/>
        <v>23412.112</v>
      </c>
      <c r="V29" s="32">
        <v>1.5</v>
      </c>
      <c r="W29" s="131">
        <v>1167.1</v>
      </c>
      <c r="X29" s="40">
        <f t="shared" si="6"/>
        <v>13.373382457944194</v>
      </c>
      <c r="Y29" s="43">
        <f t="shared" si="7"/>
        <v>0.014539541408276927</v>
      </c>
    </row>
    <row r="30" spans="1:25" ht="30" customHeight="1">
      <c r="A30" s="65" t="s">
        <v>45</v>
      </c>
      <c r="B30">
        <v>15</v>
      </c>
      <c r="C30" s="54" t="s">
        <v>20</v>
      </c>
      <c r="D30" s="27">
        <v>20</v>
      </c>
      <c r="E30" s="27">
        <v>266</v>
      </c>
      <c r="F30" s="27"/>
      <c r="G30" s="21">
        <v>1</v>
      </c>
      <c r="H30" s="23">
        <f t="shared" si="0"/>
        <v>10651.3587</v>
      </c>
      <c r="I30" s="23"/>
      <c r="J30" s="23"/>
      <c r="K30" s="23"/>
      <c r="L30" s="23">
        <f t="shared" si="1"/>
        <v>39878686.9728</v>
      </c>
      <c r="M30" s="23">
        <f t="shared" si="2"/>
        <v>2183.339007544484</v>
      </c>
      <c r="N30" s="23">
        <f t="shared" si="3"/>
        <v>260.3047452532637</v>
      </c>
      <c r="O30" s="53">
        <f t="shared" si="4"/>
        <v>37.148580650182645</v>
      </c>
      <c r="P30" s="181"/>
      <c r="Q30" s="181"/>
      <c r="R30" s="181"/>
      <c r="S30" s="181"/>
      <c r="T30" s="181"/>
      <c r="U30" s="29">
        <f t="shared" si="5"/>
        <v>532567.935</v>
      </c>
      <c r="V30" s="32">
        <v>50</v>
      </c>
      <c r="W30" s="131">
        <v>1167.1</v>
      </c>
      <c r="X30" s="40">
        <f t="shared" si="6"/>
        <v>9.126346242824095</v>
      </c>
      <c r="Y30" s="43">
        <f t="shared" si="7"/>
        <v>0.009922163635198355</v>
      </c>
    </row>
    <row r="31" spans="1:25" ht="30" customHeight="1" thickBot="1">
      <c r="A31" s="65" t="s">
        <v>35</v>
      </c>
      <c r="B31">
        <v>16</v>
      </c>
      <c r="C31" s="55" t="s">
        <v>24</v>
      </c>
      <c r="D31" s="56">
        <v>20</v>
      </c>
      <c r="E31" s="56">
        <v>266</v>
      </c>
      <c r="F31" s="56"/>
      <c r="G31" s="57">
        <v>1</v>
      </c>
      <c r="H31" s="58">
        <f t="shared" si="0"/>
        <v>6412.6067</v>
      </c>
      <c r="I31" s="58"/>
      <c r="J31" s="58"/>
      <c r="K31" s="58"/>
      <c r="L31" s="58">
        <f t="shared" si="1"/>
        <v>24008799.4848</v>
      </c>
      <c r="M31" s="58">
        <f t="shared" si="2"/>
        <v>1314.4702701779358</v>
      </c>
      <c r="N31" s="58">
        <f t="shared" si="3"/>
        <v>156.7154013368146</v>
      </c>
      <c r="O31" s="60">
        <f t="shared" si="4"/>
        <v>22.365150201246305</v>
      </c>
      <c r="P31" s="181"/>
      <c r="Q31" s="181"/>
      <c r="R31" s="181"/>
      <c r="S31" s="181"/>
      <c r="T31" s="181"/>
      <c r="U31" s="29">
        <f t="shared" si="5"/>
        <v>64126.067</v>
      </c>
      <c r="V31" s="32">
        <v>10</v>
      </c>
      <c r="W31" s="131">
        <v>1167.1</v>
      </c>
      <c r="X31" s="40">
        <f t="shared" si="6"/>
        <v>5.494479222003257</v>
      </c>
      <c r="Y31" s="43">
        <f t="shared" si="7"/>
        <v>0.005973597810161941</v>
      </c>
    </row>
    <row r="32" spans="3:20" ht="30" customHeight="1" thickBot="1">
      <c r="C32" s="22"/>
      <c r="D32" s="28"/>
      <c r="E32" s="28"/>
      <c r="F32" s="28"/>
      <c r="G32" s="22"/>
      <c r="H32" s="22"/>
      <c r="I32" s="22"/>
      <c r="J32" s="22"/>
      <c r="K32" s="22"/>
      <c r="L32" s="22"/>
      <c r="M32" s="22"/>
      <c r="N32" s="22">
        <f>SUM(N16:N31)</f>
        <v>3386.7727438558745</v>
      </c>
      <c r="O32" s="39">
        <f>SUM(O16:O31)</f>
        <v>456.8057351069492</v>
      </c>
      <c r="P32" s="182"/>
      <c r="Q32" s="182"/>
      <c r="R32" s="182"/>
      <c r="S32" s="182"/>
      <c r="T32" s="182"/>
    </row>
    <row r="33" spans="3:14" ht="30" customHeight="1">
      <c r="C33" s="22"/>
      <c r="D33" s="28"/>
      <c r="E33" s="28"/>
      <c r="F33" s="28"/>
      <c r="G33" s="22"/>
      <c r="H33" s="22"/>
      <c r="I33" s="22"/>
      <c r="J33" s="22"/>
      <c r="K33" s="22"/>
      <c r="L33" s="22"/>
      <c r="M33" s="22"/>
      <c r="N33" s="22"/>
    </row>
    <row r="34" spans="4:6" ht="30" customHeight="1">
      <c r="D34" s="28"/>
      <c r="E34" s="28"/>
      <c r="F34" s="28"/>
    </row>
    <row r="35" spans="4:6" ht="30" customHeight="1">
      <c r="D35" s="28"/>
      <c r="E35" s="28"/>
      <c r="F35" s="28"/>
    </row>
    <row r="36" ht="13.5" customHeight="1"/>
    <row r="37" spans="15:21" ht="13.5" customHeight="1">
      <c r="O37" s="241"/>
      <c r="P37" s="241"/>
      <c r="Q37" s="241"/>
      <c r="R37" s="241"/>
      <c r="S37" s="241"/>
      <c r="T37" s="241"/>
      <c r="U37" s="241"/>
    </row>
    <row r="38" spans="13:21" ht="13.5" customHeight="1">
      <c r="M38" s="34" t="s">
        <v>6</v>
      </c>
      <c r="N38" s="4"/>
      <c r="O38" s="241"/>
      <c r="P38" s="241"/>
      <c r="Q38" s="241"/>
      <c r="R38" s="241"/>
      <c r="S38" s="241"/>
      <c r="T38" s="241"/>
      <c r="U38" s="241"/>
    </row>
    <row r="39" spans="14:21" ht="13.5" customHeight="1" thickBot="1">
      <c r="N39" s="4"/>
      <c r="O39" s="242"/>
      <c r="P39" s="242"/>
      <c r="Q39" s="241"/>
      <c r="R39" s="241"/>
      <c r="S39" s="241"/>
      <c r="T39" s="241"/>
      <c r="U39" s="241"/>
    </row>
    <row r="40" spans="12:21" ht="13.5" customHeight="1">
      <c r="L40" s="5" t="s">
        <v>3</v>
      </c>
      <c r="M40" s="13"/>
      <c r="N40" s="14"/>
      <c r="O40" s="242"/>
      <c r="P40" s="242"/>
      <c r="Q40" s="242"/>
      <c r="R40" s="242"/>
      <c r="S40" s="242"/>
      <c r="T40" s="242"/>
      <c r="U40" s="241"/>
    </row>
    <row r="41" spans="12:21" ht="13.5" customHeight="1">
      <c r="L41" s="6" t="s">
        <v>4</v>
      </c>
      <c r="M41" s="15"/>
      <c r="N41" s="16"/>
      <c r="O41" s="242"/>
      <c r="P41" s="242"/>
      <c r="Q41" s="242"/>
      <c r="R41" s="242"/>
      <c r="S41" s="242"/>
      <c r="T41" s="242"/>
      <c r="U41" s="241"/>
    </row>
    <row r="42" spans="12:21" ht="13.5" customHeight="1" thickBot="1">
      <c r="L42" s="7" t="s">
        <v>2</v>
      </c>
      <c r="M42" s="17"/>
      <c r="N42" s="8"/>
      <c r="O42" s="242"/>
      <c r="P42" s="242"/>
      <c r="Q42" s="242"/>
      <c r="R42" s="242"/>
      <c r="S42" s="242"/>
      <c r="T42" s="242"/>
      <c r="U42" s="241"/>
    </row>
    <row r="43" ht="13.5" customHeight="1">
      <c r="N43" s="2"/>
    </row>
    <row r="44" spans="4:20" ht="13.5" customHeight="1">
      <c r="D44" s="20" t="s">
        <v>25</v>
      </c>
      <c r="E44" s="20"/>
      <c r="F44" s="20"/>
      <c r="G44" s="20"/>
      <c r="H44" s="20"/>
      <c r="I44" s="20"/>
      <c r="J44" s="20"/>
      <c r="K44" s="20"/>
      <c r="N44" s="18" t="s">
        <v>0</v>
      </c>
      <c r="O44" s="132">
        <v>1.087</v>
      </c>
      <c r="P44" s="132"/>
      <c r="Q44" s="132"/>
      <c r="R44" s="132"/>
      <c r="S44" s="132"/>
      <c r="T44" s="132"/>
    </row>
    <row r="45" spans="4:14" ht="13.5" customHeight="1">
      <c r="D45" s="20" t="s">
        <v>26</v>
      </c>
      <c r="E45" s="20"/>
      <c r="F45" s="20"/>
      <c r="G45" s="20"/>
      <c r="H45" s="20"/>
      <c r="I45" s="20"/>
      <c r="J45" s="20"/>
      <c r="K45" s="20"/>
      <c r="N45" s="2"/>
    </row>
    <row r="46" spans="4:14" ht="13.5" customHeight="1">
      <c r="D46" s="20" t="s">
        <v>28</v>
      </c>
      <c r="E46" s="20"/>
      <c r="F46" s="20"/>
      <c r="G46" s="20"/>
      <c r="H46" s="20"/>
      <c r="I46" s="20"/>
      <c r="J46" s="20"/>
      <c r="K46" s="20"/>
      <c r="N46" s="2"/>
    </row>
    <row r="47" spans="4:14" ht="13.5" customHeight="1">
      <c r="D47" s="20" t="s">
        <v>27</v>
      </c>
      <c r="E47" s="20"/>
      <c r="F47" s="20"/>
      <c r="G47" s="20"/>
      <c r="H47" s="20"/>
      <c r="I47" s="20"/>
      <c r="J47" s="20"/>
      <c r="K47" s="20"/>
      <c r="N47" s="2"/>
    </row>
    <row r="48" ht="13.5" customHeight="1">
      <c r="V48" t="s">
        <v>74</v>
      </c>
    </row>
    <row r="49" spans="23:41" ht="13.5" customHeight="1" thickBot="1">
      <c r="W49" t="s">
        <v>71</v>
      </c>
      <c r="AO49" s="189">
        <v>1.85</v>
      </c>
    </row>
    <row r="50" spans="3:53" ht="84.75" customHeight="1">
      <c r="C50" s="163" t="s">
        <v>7</v>
      </c>
      <c r="D50" s="206" t="s">
        <v>8</v>
      </c>
      <c r="E50" s="206" t="s">
        <v>84</v>
      </c>
      <c r="F50" s="206" t="s">
        <v>87</v>
      </c>
      <c r="G50" s="206" t="s">
        <v>115</v>
      </c>
      <c r="H50" s="206" t="s">
        <v>86</v>
      </c>
      <c r="I50" s="206" t="s">
        <v>89</v>
      </c>
      <c r="J50" s="206" t="s">
        <v>132</v>
      </c>
      <c r="K50" s="206" t="s">
        <v>78</v>
      </c>
      <c r="L50" s="206" t="s">
        <v>75</v>
      </c>
      <c r="M50" s="206" t="s">
        <v>79</v>
      </c>
      <c r="N50" s="206" t="s">
        <v>83</v>
      </c>
      <c r="O50" s="206" t="s">
        <v>114</v>
      </c>
      <c r="P50" s="206" t="s">
        <v>118</v>
      </c>
      <c r="Q50" s="206" t="s">
        <v>116</v>
      </c>
      <c r="R50" s="206" t="s">
        <v>117</v>
      </c>
      <c r="S50" s="228" t="s">
        <v>125</v>
      </c>
      <c r="T50" s="205"/>
      <c r="W50" t="s">
        <v>72</v>
      </c>
      <c r="X50" t="s">
        <v>30</v>
      </c>
      <c r="Y50" t="s">
        <v>31</v>
      </c>
      <c r="AI50" s="195" t="s">
        <v>101</v>
      </c>
      <c r="AJ50" s="195" t="s">
        <v>102</v>
      </c>
      <c r="AK50" s="195" t="s">
        <v>103</v>
      </c>
      <c r="AL50" s="196" t="s">
        <v>105</v>
      </c>
      <c r="AM50" s="196" t="s">
        <v>106</v>
      </c>
      <c r="AN50" s="197" t="s">
        <v>104</v>
      </c>
      <c r="AO50" s="196" t="s">
        <v>96</v>
      </c>
      <c r="AP50" s="195" t="s">
        <v>95</v>
      </c>
      <c r="AQ50" s="196" t="s">
        <v>94</v>
      </c>
      <c r="AR50" s="198">
        <v>0.1</v>
      </c>
      <c r="AS50" s="196" t="s">
        <v>98</v>
      </c>
      <c r="AT50" s="196" t="s">
        <v>99</v>
      </c>
      <c r="AU50" s="197" t="s">
        <v>108</v>
      </c>
      <c r="AV50" s="200" t="s">
        <v>107</v>
      </c>
      <c r="AW50" s="266" t="s">
        <v>109</v>
      </c>
      <c r="AX50" s="267"/>
      <c r="AY50" s="202" t="s">
        <v>110</v>
      </c>
      <c r="AZ50" t="s">
        <v>111</v>
      </c>
      <c r="BA50" s="184" t="s">
        <v>112</v>
      </c>
    </row>
    <row r="51" spans="2:73" ht="34.5" customHeight="1">
      <c r="B51">
        <v>1</v>
      </c>
      <c r="C51" s="225" t="s">
        <v>9</v>
      </c>
      <c r="D51" s="207">
        <v>300</v>
      </c>
      <c r="E51" s="207">
        <v>520</v>
      </c>
      <c r="F51" s="207" t="s">
        <v>29</v>
      </c>
      <c r="G51" s="208" t="s">
        <v>1</v>
      </c>
      <c r="H51" s="209">
        <v>187594.028</v>
      </c>
      <c r="I51" s="210">
        <v>0.068811</v>
      </c>
      <c r="J51" s="208">
        <f>K51/0.3048</f>
        <v>328.0839895013123</v>
      </c>
      <c r="K51" s="208">
        <v>100</v>
      </c>
      <c r="L51" s="211">
        <f aca="true" t="shared" si="8" ref="L51:L66">H51*24*156</f>
        <v>702352040.832</v>
      </c>
      <c r="M51" s="211">
        <f aca="true" t="shared" si="9" ref="M51:M66">L51/18265</f>
        <v>38453.43776797153</v>
      </c>
      <c r="N51" s="211">
        <f aca="true" t="shared" si="10" ref="N51:N66">L51/153200</f>
        <v>4584.543347467363</v>
      </c>
      <c r="O51" s="211">
        <f aca="true" t="shared" si="11" ref="O51:O66">Y51*3744</f>
        <v>602.2534417482059</v>
      </c>
      <c r="P51" s="211">
        <f>AN51</f>
        <v>111.11111111111111</v>
      </c>
      <c r="Q51" s="211">
        <f>AV51</f>
        <v>1310.4</v>
      </c>
      <c r="R51" s="211">
        <f>AX51</f>
        <v>1111.111111111111</v>
      </c>
      <c r="S51" s="212">
        <f>AY51</f>
        <v>2421.511111111111</v>
      </c>
      <c r="T51" s="183"/>
      <c r="W51" s="40">
        <v>1267.9</v>
      </c>
      <c r="X51" s="40">
        <f aca="true" t="shared" si="12" ref="X51:X66">H51/W51</f>
        <v>147.95648552724975</v>
      </c>
      <c r="Y51" s="40">
        <f aca="true" t="shared" si="13" ref="Y51:Y66">X51*0.0010872</f>
        <v>0.16085829106522592</v>
      </c>
      <c r="Z51" s="40"/>
      <c r="AI51" s="25">
        <v>4</v>
      </c>
      <c r="AJ51" s="136" t="s">
        <v>1</v>
      </c>
      <c r="AK51" s="135">
        <v>100</v>
      </c>
      <c r="AL51" s="191">
        <v>0.9</v>
      </c>
      <c r="AM51" s="191">
        <f>3.1416*AI51</f>
        <v>12.5664</v>
      </c>
      <c r="AN51" s="192">
        <f>AK51/AL51</f>
        <v>111.11111111111111</v>
      </c>
      <c r="AO51" s="189">
        <v>3</v>
      </c>
      <c r="AP51" s="71">
        <v>3.9</v>
      </c>
      <c r="AQ51" s="190">
        <f>AO51*AP51</f>
        <v>11.7</v>
      </c>
      <c r="AR51" s="190">
        <f>AQ51*0.1</f>
        <v>1.17</v>
      </c>
      <c r="AS51" s="190">
        <f>AQ51-AR51</f>
        <v>10.53</v>
      </c>
      <c r="AT51" s="190">
        <f>AS51*0.12</f>
        <v>1.2635999999999998</v>
      </c>
      <c r="AU51" s="193">
        <f>AS51+AT51</f>
        <v>11.7936</v>
      </c>
      <c r="AV51" s="194">
        <f>AU51*AN51</f>
        <v>1310.4</v>
      </c>
      <c r="AW51" s="190">
        <v>10</v>
      </c>
      <c r="AX51" s="199">
        <f>AW51*AN51</f>
        <v>1111.111111111111</v>
      </c>
      <c r="AY51" s="201">
        <f>AX51+AV51</f>
        <v>2421.511111111111</v>
      </c>
      <c r="AZ51" s="203">
        <f>O51</f>
        <v>602.2534417482059</v>
      </c>
      <c r="BA51" s="188">
        <f>AY51/AZ51</f>
        <v>4.020750971687286</v>
      </c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</row>
    <row r="52" spans="2:73" ht="34.5" customHeight="1">
      <c r="B52">
        <v>2</v>
      </c>
      <c r="C52" s="225" t="s">
        <v>85</v>
      </c>
      <c r="D52" s="207">
        <v>300</v>
      </c>
      <c r="E52" s="207">
        <v>520</v>
      </c>
      <c r="F52" s="207" t="s">
        <v>41</v>
      </c>
      <c r="G52" s="208" t="s">
        <v>40</v>
      </c>
      <c r="H52" s="209">
        <v>63689.594</v>
      </c>
      <c r="I52" s="210">
        <v>0.0802355</v>
      </c>
      <c r="J52" s="208">
        <f aca="true" t="shared" si="14" ref="J52:J66">K52/0.3048</f>
        <v>16.404199475065617</v>
      </c>
      <c r="K52" s="208">
        <v>5</v>
      </c>
      <c r="L52" s="211">
        <f t="shared" si="8"/>
        <v>238453839.93600002</v>
      </c>
      <c r="M52" s="211">
        <f t="shared" si="9"/>
        <v>13055.233503202848</v>
      </c>
      <c r="N52" s="211">
        <f t="shared" si="10"/>
        <v>1556.4872058485641</v>
      </c>
      <c r="O52" s="211">
        <f t="shared" si="11"/>
        <v>204.46960704978244</v>
      </c>
      <c r="P52" s="211">
        <f aca="true" t="shared" si="15" ref="P52:P66">AN52</f>
        <v>5.555555555555555</v>
      </c>
      <c r="Q52" s="211">
        <f aca="true" t="shared" si="16" ref="Q52:Q66">AV52</f>
        <v>403.872</v>
      </c>
      <c r="R52" s="211">
        <f aca="true" t="shared" si="17" ref="R52:R66">AX52</f>
        <v>55.55555555555556</v>
      </c>
      <c r="S52" s="212">
        <f aca="true" t="shared" si="18" ref="S52:S66">AY52</f>
        <v>459.42755555555556</v>
      </c>
      <c r="T52" s="183"/>
      <c r="W52" s="40">
        <v>1267.9</v>
      </c>
      <c r="X52" s="40">
        <f t="shared" si="12"/>
        <v>50.232347976969784</v>
      </c>
      <c r="Y52" s="40">
        <f t="shared" si="13"/>
        <v>0.05461260872056155</v>
      </c>
      <c r="Z52" s="40"/>
      <c r="AI52" s="25">
        <v>12</v>
      </c>
      <c r="AJ52" s="135" t="s">
        <v>40</v>
      </c>
      <c r="AK52" s="135">
        <v>5</v>
      </c>
      <c r="AL52" s="191">
        <v>0.9</v>
      </c>
      <c r="AM52" s="191">
        <f aca="true" t="shared" si="19" ref="AM52:AM66">3.1416*AI52</f>
        <v>37.6992</v>
      </c>
      <c r="AN52" s="192">
        <f aca="true" t="shared" si="20" ref="AN52:AN66">AK52/AL52</f>
        <v>5.555555555555555</v>
      </c>
      <c r="AO52" s="189">
        <v>3</v>
      </c>
      <c r="AP52" s="71">
        <v>24.04</v>
      </c>
      <c r="AQ52" s="190">
        <f aca="true" t="shared" si="21" ref="AQ52:AQ66">AO52*AP52</f>
        <v>72.12</v>
      </c>
      <c r="AR52" s="190">
        <f aca="true" t="shared" si="22" ref="AR52:AR66">AQ52*0.1</f>
        <v>7.212000000000001</v>
      </c>
      <c r="AS52" s="190">
        <f aca="true" t="shared" si="23" ref="AS52:AS65">AQ52-AR52</f>
        <v>64.908</v>
      </c>
      <c r="AT52" s="190">
        <f aca="true" t="shared" si="24" ref="AT52:AT66">AS52*0.12</f>
        <v>7.788959999999999</v>
      </c>
      <c r="AU52" s="193">
        <f aca="true" t="shared" si="25" ref="AU52:AU66">AS52+AT52</f>
        <v>72.69696</v>
      </c>
      <c r="AV52" s="194">
        <f aca="true" t="shared" si="26" ref="AV52:AV66">AU52*AN52</f>
        <v>403.872</v>
      </c>
      <c r="AW52" s="190">
        <v>10</v>
      </c>
      <c r="AX52" s="199">
        <f aca="true" t="shared" si="27" ref="AX52:AX66">AW52*AN52</f>
        <v>55.55555555555556</v>
      </c>
      <c r="AY52" s="201">
        <f aca="true" t="shared" si="28" ref="AY52:AY66">AX52+AV52</f>
        <v>459.42755555555556</v>
      </c>
      <c r="AZ52" s="203">
        <f aca="true" t="shared" si="29" ref="AZ52:AZ66">O52</f>
        <v>204.46960704978244</v>
      </c>
      <c r="BA52" s="188">
        <f aca="true" t="shared" si="30" ref="BA52:BA66">AY52/AZ52</f>
        <v>2.2469234532430935</v>
      </c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</row>
    <row r="53" spans="2:73" ht="34.5" customHeight="1">
      <c r="B53">
        <v>3</v>
      </c>
      <c r="C53" s="225" t="s">
        <v>14</v>
      </c>
      <c r="D53" s="207">
        <v>300</v>
      </c>
      <c r="E53" s="207">
        <v>520</v>
      </c>
      <c r="F53" s="207" t="s">
        <v>40</v>
      </c>
      <c r="G53" s="208" t="s">
        <v>5</v>
      </c>
      <c r="H53" s="209">
        <v>28041.184</v>
      </c>
      <c r="I53" s="210">
        <v>0.074666</v>
      </c>
      <c r="J53" s="208">
        <f t="shared" si="14"/>
        <v>9.84251968503937</v>
      </c>
      <c r="K53" s="208">
        <v>3</v>
      </c>
      <c r="L53" s="211">
        <f t="shared" si="8"/>
        <v>104986192.896</v>
      </c>
      <c r="M53" s="211">
        <f t="shared" si="9"/>
        <v>5747.943766548043</v>
      </c>
      <c r="N53" s="211">
        <f t="shared" si="10"/>
        <v>685.2884653785901</v>
      </c>
      <c r="O53" s="211">
        <f t="shared" si="11"/>
        <v>90.02365243042132</v>
      </c>
      <c r="P53" s="211">
        <f t="shared" si="15"/>
        <v>3.333333333333333</v>
      </c>
      <c r="Q53" s="211">
        <f t="shared" si="16"/>
        <v>78.4224</v>
      </c>
      <c r="R53" s="211">
        <f t="shared" si="17"/>
        <v>33.33333333333333</v>
      </c>
      <c r="S53" s="212">
        <f t="shared" si="18"/>
        <v>111.75573333333332</v>
      </c>
      <c r="T53" s="183"/>
      <c r="W53" s="40">
        <v>1267.9</v>
      </c>
      <c r="X53" s="40">
        <f t="shared" si="12"/>
        <v>22.116242605883745</v>
      </c>
      <c r="Y53" s="40">
        <f t="shared" si="13"/>
        <v>0.024044778961116807</v>
      </c>
      <c r="Z53" s="40"/>
      <c r="AI53" s="25">
        <v>6</v>
      </c>
      <c r="AJ53" s="136" t="s">
        <v>5</v>
      </c>
      <c r="AK53" s="135">
        <v>3</v>
      </c>
      <c r="AL53" s="191">
        <v>0.9</v>
      </c>
      <c r="AM53" s="191">
        <f t="shared" si="19"/>
        <v>18.8496</v>
      </c>
      <c r="AN53" s="192">
        <f t="shared" si="20"/>
        <v>3.333333333333333</v>
      </c>
      <c r="AO53" s="189">
        <v>3</v>
      </c>
      <c r="AP53" s="71">
        <v>7.78</v>
      </c>
      <c r="AQ53" s="190">
        <f t="shared" si="21"/>
        <v>23.34</v>
      </c>
      <c r="AR53" s="190">
        <f t="shared" si="22"/>
        <v>2.334</v>
      </c>
      <c r="AS53" s="190">
        <f t="shared" si="23"/>
        <v>21.006</v>
      </c>
      <c r="AT53" s="190">
        <f t="shared" si="24"/>
        <v>2.52072</v>
      </c>
      <c r="AU53" s="193">
        <f t="shared" si="25"/>
        <v>23.52672</v>
      </c>
      <c r="AV53" s="194">
        <f t="shared" si="26"/>
        <v>78.4224</v>
      </c>
      <c r="AW53" s="190">
        <v>10</v>
      </c>
      <c r="AX53" s="199">
        <f t="shared" si="27"/>
        <v>33.33333333333333</v>
      </c>
      <c r="AY53" s="201">
        <f t="shared" si="28"/>
        <v>111.75573333333332</v>
      </c>
      <c r="AZ53" s="203">
        <f t="shared" si="29"/>
        <v>90.02365243042132</v>
      </c>
      <c r="BA53" s="188">
        <f t="shared" si="30"/>
        <v>1.2414041234297684</v>
      </c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</row>
    <row r="54" spans="2:73" ht="34.5" customHeight="1">
      <c r="B54">
        <v>4</v>
      </c>
      <c r="C54" s="225" t="s">
        <v>15</v>
      </c>
      <c r="D54" s="207">
        <v>300</v>
      </c>
      <c r="E54" s="207">
        <v>520</v>
      </c>
      <c r="F54" s="207" t="s">
        <v>29</v>
      </c>
      <c r="G54" s="208" t="s">
        <v>1</v>
      </c>
      <c r="H54" s="209">
        <v>19453.558</v>
      </c>
      <c r="I54" s="210">
        <v>0.07332</v>
      </c>
      <c r="J54" s="208">
        <f t="shared" si="14"/>
        <v>9.84251968503937</v>
      </c>
      <c r="K54" s="208">
        <v>3</v>
      </c>
      <c r="L54" s="211">
        <f t="shared" si="8"/>
        <v>72834121.152</v>
      </c>
      <c r="M54" s="211">
        <f t="shared" si="9"/>
        <v>3987.6332412811385</v>
      </c>
      <c r="N54" s="211">
        <f t="shared" si="10"/>
        <v>475.41854537859007</v>
      </c>
      <c r="O54" s="211">
        <f t="shared" si="11"/>
        <v>62.453865854132346</v>
      </c>
      <c r="P54" s="211">
        <f t="shared" si="15"/>
        <v>3.333333333333333</v>
      </c>
      <c r="Q54" s="211">
        <f t="shared" si="16"/>
        <v>39.312</v>
      </c>
      <c r="R54" s="211">
        <f t="shared" si="17"/>
        <v>33.33333333333333</v>
      </c>
      <c r="S54" s="212">
        <f t="shared" si="18"/>
        <v>72.64533333333333</v>
      </c>
      <c r="T54" s="183"/>
      <c r="W54" s="40">
        <v>1267.9</v>
      </c>
      <c r="X54" s="40">
        <f t="shared" si="12"/>
        <v>15.343132739175013</v>
      </c>
      <c r="Y54" s="40">
        <f t="shared" si="13"/>
        <v>0.016681053914031074</v>
      </c>
      <c r="Z54" s="40"/>
      <c r="AI54" s="25">
        <v>4</v>
      </c>
      <c r="AJ54" s="136" t="s">
        <v>1</v>
      </c>
      <c r="AK54" s="135">
        <v>3</v>
      </c>
      <c r="AL54" s="191">
        <v>0.9</v>
      </c>
      <c r="AM54" s="191">
        <f t="shared" si="19"/>
        <v>12.5664</v>
      </c>
      <c r="AN54" s="192">
        <f t="shared" si="20"/>
        <v>3.333333333333333</v>
      </c>
      <c r="AO54" s="189">
        <v>3</v>
      </c>
      <c r="AP54" s="71">
        <v>3.9</v>
      </c>
      <c r="AQ54" s="190">
        <f t="shared" si="21"/>
        <v>11.7</v>
      </c>
      <c r="AR54" s="190">
        <f t="shared" si="22"/>
        <v>1.17</v>
      </c>
      <c r="AS54" s="190">
        <f t="shared" si="23"/>
        <v>10.53</v>
      </c>
      <c r="AT54" s="190">
        <f t="shared" si="24"/>
        <v>1.2635999999999998</v>
      </c>
      <c r="AU54" s="193">
        <f t="shared" si="25"/>
        <v>11.7936</v>
      </c>
      <c r="AV54" s="194">
        <f t="shared" si="26"/>
        <v>39.312</v>
      </c>
      <c r="AW54" s="190">
        <v>10</v>
      </c>
      <c r="AX54" s="199">
        <f t="shared" si="27"/>
        <v>33.33333333333333</v>
      </c>
      <c r="AY54" s="201">
        <f t="shared" si="28"/>
        <v>72.64533333333333</v>
      </c>
      <c r="AZ54" s="203">
        <f t="shared" si="29"/>
        <v>62.453865854132346</v>
      </c>
      <c r="BA54" s="188">
        <f t="shared" si="30"/>
        <v>1.1631839332893217</v>
      </c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</row>
    <row r="55" spans="2:73" ht="34.5" customHeight="1">
      <c r="B55">
        <v>5</v>
      </c>
      <c r="C55" s="225" t="s">
        <v>17</v>
      </c>
      <c r="D55" s="207">
        <v>300</v>
      </c>
      <c r="E55" s="207">
        <v>520</v>
      </c>
      <c r="F55" s="207" t="s">
        <v>41</v>
      </c>
      <c r="G55" s="208" t="s">
        <v>40</v>
      </c>
      <c r="H55" s="209">
        <v>108169.426</v>
      </c>
      <c r="I55" s="210">
        <v>0.077608</v>
      </c>
      <c r="J55" s="208">
        <f t="shared" si="14"/>
        <v>19.68503937007874</v>
      </c>
      <c r="K55" s="208">
        <v>6</v>
      </c>
      <c r="L55" s="211">
        <f t="shared" si="8"/>
        <v>404986330.94400007</v>
      </c>
      <c r="M55" s="211">
        <f t="shared" si="9"/>
        <v>22172.80760711744</v>
      </c>
      <c r="N55" s="211">
        <f t="shared" si="10"/>
        <v>2643.5139095561362</v>
      </c>
      <c r="O55" s="211">
        <f t="shared" si="11"/>
        <v>347.26803296972696</v>
      </c>
      <c r="P55" s="211">
        <f t="shared" si="15"/>
        <v>6.666666666666666</v>
      </c>
      <c r="Q55" s="211">
        <f t="shared" si="16"/>
        <v>484.64639999999997</v>
      </c>
      <c r="R55" s="211">
        <f t="shared" si="17"/>
        <v>66.66666666666666</v>
      </c>
      <c r="S55" s="212">
        <f t="shared" si="18"/>
        <v>551.3130666666666</v>
      </c>
      <c r="T55" s="183"/>
      <c r="W55" s="40">
        <v>1267.9</v>
      </c>
      <c r="X55" s="40">
        <f t="shared" si="12"/>
        <v>85.31384651786418</v>
      </c>
      <c r="Y55" s="40">
        <f t="shared" si="13"/>
        <v>0.09275321393422194</v>
      </c>
      <c r="Z55" s="40"/>
      <c r="AI55" s="25">
        <v>12</v>
      </c>
      <c r="AJ55" s="136" t="s">
        <v>40</v>
      </c>
      <c r="AK55" s="135">
        <v>6</v>
      </c>
      <c r="AL55" s="191">
        <v>0.9</v>
      </c>
      <c r="AM55" s="191">
        <f t="shared" si="19"/>
        <v>37.6992</v>
      </c>
      <c r="AN55" s="192">
        <f t="shared" si="20"/>
        <v>6.666666666666666</v>
      </c>
      <c r="AO55" s="189">
        <v>3</v>
      </c>
      <c r="AP55" s="71">
        <v>24.04</v>
      </c>
      <c r="AQ55" s="190">
        <f t="shared" si="21"/>
        <v>72.12</v>
      </c>
      <c r="AR55" s="190">
        <f t="shared" si="22"/>
        <v>7.212000000000001</v>
      </c>
      <c r="AS55" s="190">
        <f t="shared" si="23"/>
        <v>64.908</v>
      </c>
      <c r="AT55" s="190">
        <f t="shared" si="24"/>
        <v>7.788959999999999</v>
      </c>
      <c r="AU55" s="193">
        <f t="shared" si="25"/>
        <v>72.69696</v>
      </c>
      <c r="AV55" s="194">
        <f t="shared" si="26"/>
        <v>484.64639999999997</v>
      </c>
      <c r="AW55" s="190">
        <v>10</v>
      </c>
      <c r="AX55" s="199">
        <f t="shared" si="27"/>
        <v>66.66666666666666</v>
      </c>
      <c r="AY55" s="201">
        <f t="shared" si="28"/>
        <v>551.3130666666666</v>
      </c>
      <c r="AZ55" s="203">
        <f t="shared" si="29"/>
        <v>347.26803296972696</v>
      </c>
      <c r="BA55" s="188">
        <f t="shared" si="30"/>
        <v>1.5875721757399053</v>
      </c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</row>
    <row r="56" spans="2:73" ht="34.5" customHeight="1">
      <c r="B56">
        <v>6</v>
      </c>
      <c r="C56" s="225" t="s">
        <v>18</v>
      </c>
      <c r="D56" s="207">
        <v>300</v>
      </c>
      <c r="E56" s="207">
        <v>520</v>
      </c>
      <c r="F56" s="207" t="s">
        <v>29</v>
      </c>
      <c r="G56" s="208" t="s">
        <v>1</v>
      </c>
      <c r="H56" s="209">
        <v>79961.236</v>
      </c>
      <c r="I56" s="210">
        <v>0.07769</v>
      </c>
      <c r="J56" s="208">
        <f t="shared" si="14"/>
        <v>32.808398950131235</v>
      </c>
      <c r="K56" s="208">
        <v>10</v>
      </c>
      <c r="L56" s="211">
        <f t="shared" si="8"/>
        <v>299374867.584</v>
      </c>
      <c r="M56" s="211">
        <f t="shared" si="9"/>
        <v>16390.630582206406</v>
      </c>
      <c r="N56" s="211">
        <f t="shared" si="10"/>
        <v>1954.1440442819842</v>
      </c>
      <c r="O56" s="211">
        <f t="shared" si="11"/>
        <v>256.7082230754198</v>
      </c>
      <c r="P56" s="211">
        <f t="shared" si="15"/>
        <v>11.11111111111111</v>
      </c>
      <c r="Q56" s="211">
        <f t="shared" si="16"/>
        <v>131.04</v>
      </c>
      <c r="R56" s="211">
        <f t="shared" si="17"/>
        <v>111.11111111111111</v>
      </c>
      <c r="S56" s="212">
        <f t="shared" si="18"/>
        <v>242.1511111111111</v>
      </c>
      <c r="T56" s="183"/>
      <c r="W56" s="40">
        <v>1267.9</v>
      </c>
      <c r="X56" s="40">
        <f t="shared" si="12"/>
        <v>63.06588532218629</v>
      </c>
      <c r="Y56" s="40">
        <f t="shared" si="13"/>
        <v>0.06856523052228093</v>
      </c>
      <c r="Z56" s="40"/>
      <c r="AI56" s="25">
        <v>4</v>
      </c>
      <c r="AJ56" s="136" t="s">
        <v>1</v>
      </c>
      <c r="AK56" s="135">
        <v>10</v>
      </c>
      <c r="AL56" s="191">
        <v>0.9</v>
      </c>
      <c r="AM56" s="191">
        <f t="shared" si="19"/>
        <v>12.5664</v>
      </c>
      <c r="AN56" s="192">
        <f t="shared" si="20"/>
        <v>11.11111111111111</v>
      </c>
      <c r="AO56" s="189">
        <v>3</v>
      </c>
      <c r="AP56" s="71">
        <v>3.9</v>
      </c>
      <c r="AQ56" s="190">
        <f t="shared" si="21"/>
        <v>11.7</v>
      </c>
      <c r="AR56" s="190">
        <f t="shared" si="22"/>
        <v>1.17</v>
      </c>
      <c r="AS56" s="190">
        <f t="shared" si="23"/>
        <v>10.53</v>
      </c>
      <c r="AT56" s="190">
        <f t="shared" si="24"/>
        <v>1.2635999999999998</v>
      </c>
      <c r="AU56" s="193">
        <f t="shared" si="25"/>
        <v>11.7936</v>
      </c>
      <c r="AV56" s="194">
        <f t="shared" si="26"/>
        <v>131.04</v>
      </c>
      <c r="AW56" s="190">
        <v>10</v>
      </c>
      <c r="AX56" s="199">
        <f t="shared" si="27"/>
        <v>111.11111111111111</v>
      </c>
      <c r="AY56" s="201">
        <f t="shared" si="28"/>
        <v>242.1511111111111</v>
      </c>
      <c r="AZ56" s="203">
        <f t="shared" si="29"/>
        <v>256.7082230754198</v>
      </c>
      <c r="BA56" s="188">
        <f t="shared" si="30"/>
        <v>0.9432931606556604</v>
      </c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</row>
    <row r="57" spans="2:73" ht="34.5" customHeight="1">
      <c r="B57">
        <v>7</v>
      </c>
      <c r="C57" s="225" t="s">
        <v>19</v>
      </c>
      <c r="D57" s="207">
        <v>300</v>
      </c>
      <c r="E57" s="207">
        <v>520</v>
      </c>
      <c r="F57" s="213" t="s">
        <v>40</v>
      </c>
      <c r="G57" s="208" t="s">
        <v>5</v>
      </c>
      <c r="H57" s="209">
        <v>244898.225</v>
      </c>
      <c r="I57" s="210">
        <v>0.080392</v>
      </c>
      <c r="J57" s="208">
        <f t="shared" si="14"/>
        <v>65.61679790026247</v>
      </c>
      <c r="K57" s="208">
        <v>20</v>
      </c>
      <c r="L57" s="211">
        <f t="shared" si="8"/>
        <v>916898954.4000001</v>
      </c>
      <c r="M57" s="211">
        <f t="shared" si="9"/>
        <v>50199.77850533809</v>
      </c>
      <c r="N57" s="211">
        <f t="shared" si="10"/>
        <v>5984.980120104439</v>
      </c>
      <c r="O57" s="211">
        <f t="shared" si="11"/>
        <v>786.2233166840286</v>
      </c>
      <c r="P57" s="211">
        <f t="shared" si="15"/>
        <v>22.22222222222222</v>
      </c>
      <c r="Q57" s="211">
        <f t="shared" si="16"/>
        <v>522.816</v>
      </c>
      <c r="R57" s="211">
        <f t="shared" si="17"/>
        <v>222.22222222222223</v>
      </c>
      <c r="S57" s="212">
        <f t="shared" si="18"/>
        <v>745.0382222222222</v>
      </c>
      <c r="T57" s="183"/>
      <c r="W57" s="40">
        <v>1267.9</v>
      </c>
      <c r="X57" s="40">
        <f t="shared" si="12"/>
        <v>193.15263427715118</v>
      </c>
      <c r="Y57" s="40">
        <f t="shared" si="13"/>
        <v>0.20999554398611875</v>
      </c>
      <c r="Z57" s="40"/>
      <c r="AI57" s="25">
        <v>6</v>
      </c>
      <c r="AJ57" s="136" t="s">
        <v>5</v>
      </c>
      <c r="AK57" s="135">
        <v>20</v>
      </c>
      <c r="AL57" s="191">
        <v>0.9</v>
      </c>
      <c r="AM57" s="191">
        <f t="shared" si="19"/>
        <v>18.8496</v>
      </c>
      <c r="AN57" s="192">
        <f t="shared" si="20"/>
        <v>22.22222222222222</v>
      </c>
      <c r="AO57" s="189">
        <v>3</v>
      </c>
      <c r="AP57" s="71">
        <v>7.78</v>
      </c>
      <c r="AQ57" s="190">
        <f t="shared" si="21"/>
        <v>23.34</v>
      </c>
      <c r="AR57" s="190">
        <f t="shared" si="22"/>
        <v>2.334</v>
      </c>
      <c r="AS57" s="190">
        <f t="shared" si="23"/>
        <v>21.006</v>
      </c>
      <c r="AT57" s="190">
        <f t="shared" si="24"/>
        <v>2.52072</v>
      </c>
      <c r="AU57" s="193">
        <f t="shared" si="25"/>
        <v>23.52672</v>
      </c>
      <c r="AV57" s="194">
        <f t="shared" si="26"/>
        <v>522.816</v>
      </c>
      <c r="AW57" s="190">
        <v>10</v>
      </c>
      <c r="AX57" s="199">
        <f t="shared" si="27"/>
        <v>222.22222222222223</v>
      </c>
      <c r="AY57" s="201">
        <f t="shared" si="28"/>
        <v>745.0382222222222</v>
      </c>
      <c r="AZ57" s="203">
        <f t="shared" si="29"/>
        <v>786.2233166840286</v>
      </c>
      <c r="BA57" s="188">
        <f t="shared" si="30"/>
        <v>0.947616544068537</v>
      </c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</row>
    <row r="58" spans="2:73" ht="34.5" customHeight="1">
      <c r="B58">
        <v>8</v>
      </c>
      <c r="C58" s="225" t="s">
        <v>21</v>
      </c>
      <c r="D58" s="207">
        <v>300</v>
      </c>
      <c r="E58" s="207">
        <v>520</v>
      </c>
      <c r="F58" s="207" t="s">
        <v>29</v>
      </c>
      <c r="G58" s="208" t="s">
        <v>1</v>
      </c>
      <c r="H58" s="209">
        <v>7584.57</v>
      </c>
      <c r="I58" s="210">
        <v>0.0784</v>
      </c>
      <c r="J58" s="208">
        <f t="shared" si="14"/>
        <v>6.561679790026246</v>
      </c>
      <c r="K58" s="208">
        <v>2</v>
      </c>
      <c r="L58" s="211">
        <f t="shared" si="8"/>
        <v>28396630.08</v>
      </c>
      <c r="M58" s="211">
        <f t="shared" si="9"/>
        <v>1554.701893238434</v>
      </c>
      <c r="N58" s="211">
        <f t="shared" si="10"/>
        <v>185.35659321148825</v>
      </c>
      <c r="O58" s="211">
        <f t="shared" si="11"/>
        <v>24.349567176414542</v>
      </c>
      <c r="P58" s="211">
        <f t="shared" si="15"/>
        <v>2.2222222222222223</v>
      </c>
      <c r="Q58" s="211">
        <f t="shared" si="16"/>
        <v>26.208000000000002</v>
      </c>
      <c r="R58" s="211">
        <f t="shared" si="17"/>
        <v>22.22222222222222</v>
      </c>
      <c r="S58" s="212">
        <f t="shared" si="18"/>
        <v>48.43022222222223</v>
      </c>
      <c r="T58" s="183"/>
      <c r="W58" s="40">
        <v>1267.9</v>
      </c>
      <c r="X58" s="40">
        <f t="shared" si="12"/>
        <v>5.981993848095275</v>
      </c>
      <c r="Y58" s="40">
        <f t="shared" si="13"/>
        <v>0.006503623711649183</v>
      </c>
      <c r="Z58" s="40"/>
      <c r="AI58" s="25">
        <v>4</v>
      </c>
      <c r="AJ58" s="136" t="s">
        <v>1</v>
      </c>
      <c r="AK58" s="135">
        <v>2</v>
      </c>
      <c r="AL58" s="191">
        <v>0.9</v>
      </c>
      <c r="AM58" s="191">
        <f t="shared" si="19"/>
        <v>12.5664</v>
      </c>
      <c r="AN58" s="192">
        <f t="shared" si="20"/>
        <v>2.2222222222222223</v>
      </c>
      <c r="AO58" s="189">
        <v>3</v>
      </c>
      <c r="AP58" s="71">
        <v>3.9</v>
      </c>
      <c r="AQ58" s="190">
        <f t="shared" si="21"/>
        <v>11.7</v>
      </c>
      <c r="AR58" s="190">
        <f t="shared" si="22"/>
        <v>1.17</v>
      </c>
      <c r="AS58" s="190">
        <f t="shared" si="23"/>
        <v>10.53</v>
      </c>
      <c r="AT58" s="190">
        <f t="shared" si="24"/>
        <v>1.2635999999999998</v>
      </c>
      <c r="AU58" s="193">
        <f t="shared" si="25"/>
        <v>11.7936</v>
      </c>
      <c r="AV58" s="194">
        <f t="shared" si="26"/>
        <v>26.208000000000002</v>
      </c>
      <c r="AW58" s="190">
        <v>10</v>
      </c>
      <c r="AX58" s="199">
        <f t="shared" si="27"/>
        <v>22.22222222222222</v>
      </c>
      <c r="AY58" s="201">
        <f t="shared" si="28"/>
        <v>48.43022222222223</v>
      </c>
      <c r="AZ58" s="203">
        <f t="shared" si="29"/>
        <v>24.349567176414542</v>
      </c>
      <c r="BA58" s="188">
        <f t="shared" si="30"/>
        <v>1.9889561843683476</v>
      </c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</row>
    <row r="59" spans="2:73" ht="34.5" customHeight="1">
      <c r="B59">
        <v>9</v>
      </c>
      <c r="C59" s="225" t="s">
        <v>22</v>
      </c>
      <c r="D59" s="207">
        <v>300</v>
      </c>
      <c r="E59" s="207">
        <v>520</v>
      </c>
      <c r="F59" s="207" t="s">
        <v>40</v>
      </c>
      <c r="G59" s="208" t="s">
        <v>5</v>
      </c>
      <c r="H59" s="209">
        <v>10624.524</v>
      </c>
      <c r="I59" s="210">
        <v>0.071666</v>
      </c>
      <c r="J59" s="208">
        <f t="shared" si="14"/>
        <v>9.84251968503937</v>
      </c>
      <c r="K59" s="208">
        <v>3</v>
      </c>
      <c r="L59" s="211">
        <f t="shared" si="8"/>
        <v>39778217.856</v>
      </c>
      <c r="M59" s="211">
        <f t="shared" si="9"/>
        <v>2177.838371530249</v>
      </c>
      <c r="N59" s="211">
        <f t="shared" si="10"/>
        <v>259.648941618799</v>
      </c>
      <c r="O59" s="211">
        <f t="shared" si="11"/>
        <v>34.1090610087887</v>
      </c>
      <c r="P59" s="211">
        <f t="shared" si="15"/>
        <v>3.333333333333333</v>
      </c>
      <c r="Q59" s="211">
        <f t="shared" si="16"/>
        <v>78.4224</v>
      </c>
      <c r="R59" s="211">
        <f t="shared" si="17"/>
        <v>33.33333333333333</v>
      </c>
      <c r="S59" s="212">
        <f t="shared" si="18"/>
        <v>111.75573333333332</v>
      </c>
      <c r="T59" s="183"/>
      <c r="W59" s="40">
        <v>1267.9</v>
      </c>
      <c r="X59" s="40">
        <f t="shared" si="12"/>
        <v>8.3796229986592</v>
      </c>
      <c r="Y59" s="40">
        <f t="shared" si="13"/>
        <v>0.009110326124142282</v>
      </c>
      <c r="Z59" s="40"/>
      <c r="AI59" s="25">
        <v>6</v>
      </c>
      <c r="AJ59" s="136" t="s">
        <v>5</v>
      </c>
      <c r="AK59" s="135">
        <v>3</v>
      </c>
      <c r="AL59" s="191">
        <v>0.9</v>
      </c>
      <c r="AM59" s="191">
        <f t="shared" si="19"/>
        <v>18.8496</v>
      </c>
      <c r="AN59" s="192">
        <f t="shared" si="20"/>
        <v>3.333333333333333</v>
      </c>
      <c r="AO59" s="189">
        <v>3</v>
      </c>
      <c r="AP59" s="71">
        <v>7.78</v>
      </c>
      <c r="AQ59" s="190">
        <f t="shared" si="21"/>
        <v>23.34</v>
      </c>
      <c r="AR59" s="190">
        <f t="shared" si="22"/>
        <v>2.334</v>
      </c>
      <c r="AS59" s="190">
        <f t="shared" si="23"/>
        <v>21.006</v>
      </c>
      <c r="AT59" s="190">
        <f t="shared" si="24"/>
        <v>2.52072</v>
      </c>
      <c r="AU59" s="193">
        <f t="shared" si="25"/>
        <v>23.52672</v>
      </c>
      <c r="AV59" s="194">
        <f t="shared" si="26"/>
        <v>78.4224</v>
      </c>
      <c r="AW59" s="190">
        <v>10</v>
      </c>
      <c r="AX59" s="199">
        <f t="shared" si="27"/>
        <v>33.33333333333333</v>
      </c>
      <c r="AY59" s="201">
        <f t="shared" si="28"/>
        <v>111.75573333333332</v>
      </c>
      <c r="AZ59" s="203">
        <f t="shared" si="29"/>
        <v>34.1090610087887</v>
      </c>
      <c r="BA59" s="188">
        <f t="shared" si="30"/>
        <v>3.276423625515162</v>
      </c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</row>
    <row r="60" spans="2:73" ht="34.5" customHeight="1">
      <c r="B60">
        <v>1</v>
      </c>
      <c r="C60" s="225" t="s">
        <v>23</v>
      </c>
      <c r="D60" s="207">
        <v>300</v>
      </c>
      <c r="E60" s="207">
        <v>520</v>
      </c>
      <c r="F60" s="207" t="s">
        <v>35</v>
      </c>
      <c r="G60" s="208" t="s">
        <v>91</v>
      </c>
      <c r="H60" s="209">
        <v>57734.147</v>
      </c>
      <c r="I60" s="210">
        <v>0.071666</v>
      </c>
      <c r="J60" s="208">
        <f t="shared" si="14"/>
        <v>32.808398950131235</v>
      </c>
      <c r="K60" s="208">
        <v>10</v>
      </c>
      <c r="L60" s="211">
        <f t="shared" si="8"/>
        <v>216156646.368</v>
      </c>
      <c r="M60" s="211">
        <f t="shared" si="9"/>
        <v>11834.472837010677</v>
      </c>
      <c r="N60" s="211">
        <f t="shared" si="10"/>
        <v>1410.9441668929503</v>
      </c>
      <c r="O60" s="211">
        <f t="shared" si="11"/>
        <v>185.35019002388952</v>
      </c>
      <c r="P60" s="211">
        <f t="shared" si="15"/>
        <v>11.11111111111111</v>
      </c>
      <c r="Q60" s="211">
        <f t="shared" si="16"/>
        <v>573.2159999999999</v>
      </c>
      <c r="R60" s="211">
        <f t="shared" si="17"/>
        <v>111.11111111111111</v>
      </c>
      <c r="S60" s="212">
        <f t="shared" si="18"/>
        <v>684.327111111111</v>
      </c>
      <c r="T60" s="183"/>
      <c r="W60" s="40">
        <v>1267.9</v>
      </c>
      <c r="X60" s="40">
        <f t="shared" si="12"/>
        <v>45.535252780187705</v>
      </c>
      <c r="Y60" s="40">
        <f t="shared" si="13"/>
        <v>0.04950592682262007</v>
      </c>
      <c r="Z60" s="40"/>
      <c r="AI60" s="25">
        <v>10</v>
      </c>
      <c r="AJ60" s="136" t="s">
        <v>91</v>
      </c>
      <c r="AK60" s="135">
        <v>10</v>
      </c>
      <c r="AL60" s="191">
        <v>0.9</v>
      </c>
      <c r="AM60" s="191">
        <f t="shared" si="19"/>
        <v>31.416</v>
      </c>
      <c r="AN60" s="192">
        <f t="shared" si="20"/>
        <v>11.11111111111111</v>
      </c>
      <c r="AO60" s="189">
        <v>3</v>
      </c>
      <c r="AP60" s="71">
        <v>17.06</v>
      </c>
      <c r="AQ60" s="190">
        <f t="shared" si="21"/>
        <v>51.17999999999999</v>
      </c>
      <c r="AR60" s="190">
        <f t="shared" si="22"/>
        <v>5.117999999999999</v>
      </c>
      <c r="AS60" s="190">
        <f t="shared" si="23"/>
        <v>46.06199999999999</v>
      </c>
      <c r="AT60" s="190">
        <f t="shared" si="24"/>
        <v>5.527439999999999</v>
      </c>
      <c r="AU60" s="193">
        <f t="shared" si="25"/>
        <v>51.58943999999999</v>
      </c>
      <c r="AV60" s="194">
        <f t="shared" si="26"/>
        <v>573.2159999999999</v>
      </c>
      <c r="AW60" s="190">
        <v>10</v>
      </c>
      <c r="AX60" s="199">
        <f t="shared" si="27"/>
        <v>111.11111111111111</v>
      </c>
      <c r="AY60" s="201">
        <f t="shared" si="28"/>
        <v>684.327111111111</v>
      </c>
      <c r="AZ60" s="203">
        <f t="shared" si="29"/>
        <v>185.35019002388952</v>
      </c>
      <c r="BA60" s="188">
        <f t="shared" si="30"/>
        <v>3.692076663222784</v>
      </c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</row>
    <row r="61" spans="2:73" ht="34.5" customHeight="1">
      <c r="B61">
        <v>11</v>
      </c>
      <c r="C61" s="225" t="s">
        <v>13</v>
      </c>
      <c r="D61" s="214">
        <v>200</v>
      </c>
      <c r="E61" s="214">
        <v>460</v>
      </c>
      <c r="F61" s="207" t="s">
        <v>35</v>
      </c>
      <c r="G61" s="208" t="s">
        <v>91</v>
      </c>
      <c r="H61" s="209">
        <v>35403.372</v>
      </c>
      <c r="I61" s="210">
        <v>0.07498</v>
      </c>
      <c r="J61" s="208">
        <f t="shared" si="14"/>
        <v>6.561679790026246</v>
      </c>
      <c r="K61" s="215">
        <v>2</v>
      </c>
      <c r="L61" s="211">
        <f t="shared" si="8"/>
        <v>132550224.768</v>
      </c>
      <c r="M61" s="216">
        <f t="shared" si="9"/>
        <v>7257.061306761566</v>
      </c>
      <c r="N61" s="211">
        <f t="shared" si="10"/>
        <v>865.2103444386423</v>
      </c>
      <c r="O61" s="211">
        <f t="shared" si="11"/>
        <v>115.79638759965417</v>
      </c>
      <c r="P61" s="211">
        <f t="shared" si="15"/>
        <v>2.2222222222222223</v>
      </c>
      <c r="Q61" s="211">
        <f t="shared" si="16"/>
        <v>114.64319999999998</v>
      </c>
      <c r="R61" s="211">
        <f t="shared" si="17"/>
        <v>22.22222222222222</v>
      </c>
      <c r="S61" s="212">
        <f t="shared" si="18"/>
        <v>136.8654222222222</v>
      </c>
      <c r="T61" s="183"/>
      <c r="W61" s="40">
        <v>1244.5</v>
      </c>
      <c r="X61" s="40">
        <f t="shared" si="12"/>
        <v>28.447868220168743</v>
      </c>
      <c r="Y61" s="40">
        <f t="shared" si="13"/>
        <v>0.030928522328967457</v>
      </c>
      <c r="Z61" s="40"/>
      <c r="AI61" s="25">
        <v>10</v>
      </c>
      <c r="AJ61" s="136" t="s">
        <v>91</v>
      </c>
      <c r="AK61" s="149">
        <v>2</v>
      </c>
      <c r="AL61" s="191">
        <v>0.9</v>
      </c>
      <c r="AM61" s="191">
        <f t="shared" si="19"/>
        <v>31.416</v>
      </c>
      <c r="AN61" s="192">
        <f t="shared" si="20"/>
        <v>2.2222222222222223</v>
      </c>
      <c r="AO61" s="189">
        <v>3</v>
      </c>
      <c r="AP61" s="71">
        <v>17.06</v>
      </c>
      <c r="AQ61" s="190">
        <f t="shared" si="21"/>
        <v>51.17999999999999</v>
      </c>
      <c r="AR61" s="190">
        <f t="shared" si="22"/>
        <v>5.117999999999999</v>
      </c>
      <c r="AS61" s="190">
        <f t="shared" si="23"/>
        <v>46.06199999999999</v>
      </c>
      <c r="AT61" s="190">
        <f t="shared" si="24"/>
        <v>5.527439999999999</v>
      </c>
      <c r="AU61" s="193">
        <f t="shared" si="25"/>
        <v>51.58943999999999</v>
      </c>
      <c r="AV61" s="194">
        <f t="shared" si="26"/>
        <v>114.64319999999998</v>
      </c>
      <c r="AW61" s="190">
        <v>10</v>
      </c>
      <c r="AX61" s="199">
        <f t="shared" si="27"/>
        <v>22.22222222222222</v>
      </c>
      <c r="AY61" s="201">
        <f t="shared" si="28"/>
        <v>136.8654222222222</v>
      </c>
      <c r="AZ61" s="203">
        <f t="shared" si="29"/>
        <v>115.79638759965417</v>
      </c>
      <c r="BA61" s="188">
        <f t="shared" si="30"/>
        <v>1.1819489800960852</v>
      </c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</row>
    <row r="62" spans="2:73" ht="34.5" customHeight="1">
      <c r="B62">
        <v>12</v>
      </c>
      <c r="C62" s="226" t="s">
        <v>10</v>
      </c>
      <c r="D62" s="207">
        <v>20</v>
      </c>
      <c r="E62" s="207">
        <v>266</v>
      </c>
      <c r="F62" s="207" t="s">
        <v>40</v>
      </c>
      <c r="G62" s="208" t="s">
        <v>5</v>
      </c>
      <c r="H62" s="209">
        <v>14560.548</v>
      </c>
      <c r="I62" s="210">
        <v>0.052435</v>
      </c>
      <c r="J62" s="208">
        <f t="shared" si="14"/>
        <v>16.404199475065617</v>
      </c>
      <c r="K62" s="215">
        <v>5</v>
      </c>
      <c r="L62" s="211">
        <f t="shared" si="8"/>
        <v>54514691.712</v>
      </c>
      <c r="M62" s="211">
        <f t="shared" si="9"/>
        <v>2984.6532555160143</v>
      </c>
      <c r="N62" s="211">
        <f t="shared" si="10"/>
        <v>355.840024229765</v>
      </c>
      <c r="O62" s="211">
        <f t="shared" si="11"/>
        <v>50.78260031641368</v>
      </c>
      <c r="P62" s="211">
        <f t="shared" si="15"/>
        <v>5.555555555555555</v>
      </c>
      <c r="Q62" s="211">
        <f t="shared" si="16"/>
        <v>130.704</v>
      </c>
      <c r="R62" s="211">
        <f t="shared" si="17"/>
        <v>55.55555555555556</v>
      </c>
      <c r="S62" s="212">
        <f t="shared" si="18"/>
        <v>186.25955555555555</v>
      </c>
      <c r="T62" s="183"/>
      <c r="W62" s="131">
        <v>1167.1</v>
      </c>
      <c r="X62" s="40">
        <f t="shared" si="12"/>
        <v>12.475835832405108</v>
      </c>
      <c r="Y62" s="40">
        <f t="shared" si="13"/>
        <v>0.013563728716990834</v>
      </c>
      <c r="Z62" s="40"/>
      <c r="AI62" s="25">
        <v>6</v>
      </c>
      <c r="AJ62" s="136" t="s">
        <v>5</v>
      </c>
      <c r="AK62" s="149">
        <v>5</v>
      </c>
      <c r="AL62" s="191">
        <v>0.9</v>
      </c>
      <c r="AM62" s="191">
        <f t="shared" si="19"/>
        <v>18.8496</v>
      </c>
      <c r="AN62" s="192">
        <f t="shared" si="20"/>
        <v>5.555555555555555</v>
      </c>
      <c r="AO62" s="189">
        <v>3</v>
      </c>
      <c r="AP62" s="71">
        <v>7.78</v>
      </c>
      <c r="AQ62" s="190">
        <f t="shared" si="21"/>
        <v>23.34</v>
      </c>
      <c r="AR62" s="190">
        <f t="shared" si="22"/>
        <v>2.334</v>
      </c>
      <c r="AS62" s="190">
        <f t="shared" si="23"/>
        <v>21.006</v>
      </c>
      <c r="AT62" s="190">
        <f t="shared" si="24"/>
        <v>2.52072</v>
      </c>
      <c r="AU62" s="193">
        <f t="shared" si="25"/>
        <v>23.52672</v>
      </c>
      <c r="AV62" s="194">
        <f t="shared" si="26"/>
        <v>130.704</v>
      </c>
      <c r="AW62" s="190">
        <v>10</v>
      </c>
      <c r="AX62" s="199">
        <f t="shared" si="27"/>
        <v>55.55555555555556</v>
      </c>
      <c r="AY62" s="201">
        <f t="shared" si="28"/>
        <v>186.25955555555555</v>
      </c>
      <c r="AZ62" s="203">
        <f t="shared" si="29"/>
        <v>50.78260031641368</v>
      </c>
      <c r="BA62" s="188">
        <f t="shared" si="30"/>
        <v>3.6677829491798146</v>
      </c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</row>
    <row r="63" spans="2:73" ht="34.5" customHeight="1">
      <c r="B63">
        <v>13</v>
      </c>
      <c r="C63" s="226" t="s">
        <v>12</v>
      </c>
      <c r="D63" s="207">
        <v>20</v>
      </c>
      <c r="E63" s="207">
        <v>266</v>
      </c>
      <c r="F63" s="207" t="s">
        <v>41</v>
      </c>
      <c r="G63" s="208" t="s">
        <v>29</v>
      </c>
      <c r="H63" s="209">
        <v>6949.865</v>
      </c>
      <c r="I63" s="210">
        <v>0.048628</v>
      </c>
      <c r="J63" s="208">
        <f t="shared" si="14"/>
        <v>6.561679790026246</v>
      </c>
      <c r="K63" s="215">
        <v>2</v>
      </c>
      <c r="L63" s="211">
        <f t="shared" si="8"/>
        <v>26020294.560000002</v>
      </c>
      <c r="M63" s="211">
        <f t="shared" si="9"/>
        <v>1424.5986619217083</v>
      </c>
      <c r="N63" s="211">
        <f t="shared" si="10"/>
        <v>169.84526475195824</v>
      </c>
      <c r="O63" s="211">
        <f t="shared" si="11"/>
        <v>24.23893774794962</v>
      </c>
      <c r="P63" s="211">
        <f t="shared" si="15"/>
        <v>2.2222222222222223</v>
      </c>
      <c r="Q63" s="211">
        <f t="shared" si="16"/>
        <v>102.5472</v>
      </c>
      <c r="R63" s="211">
        <f t="shared" si="17"/>
        <v>22.22222222222222</v>
      </c>
      <c r="S63" s="212">
        <f t="shared" si="18"/>
        <v>124.76942222222223</v>
      </c>
      <c r="T63" s="183"/>
      <c r="W63" s="131">
        <v>1167.1</v>
      </c>
      <c r="X63" s="40">
        <f t="shared" si="12"/>
        <v>5.954815354296976</v>
      </c>
      <c r="Y63" s="40">
        <f t="shared" si="13"/>
        <v>0.006474075253191672</v>
      </c>
      <c r="Z63" s="40"/>
      <c r="AI63" s="25">
        <v>12</v>
      </c>
      <c r="AJ63" s="136" t="s">
        <v>29</v>
      </c>
      <c r="AK63" s="149">
        <v>2</v>
      </c>
      <c r="AL63" s="191">
        <v>0.9</v>
      </c>
      <c r="AM63" s="191">
        <f t="shared" si="19"/>
        <v>37.6992</v>
      </c>
      <c r="AN63" s="192">
        <f t="shared" si="20"/>
        <v>2.2222222222222223</v>
      </c>
      <c r="AO63" s="189">
        <v>3</v>
      </c>
      <c r="AP63" s="71">
        <v>15.26</v>
      </c>
      <c r="AQ63" s="190">
        <f t="shared" si="21"/>
        <v>45.78</v>
      </c>
      <c r="AR63" s="190">
        <f t="shared" si="22"/>
        <v>4.578</v>
      </c>
      <c r="AS63" s="190">
        <f t="shared" si="23"/>
        <v>41.202</v>
      </c>
      <c r="AT63" s="190">
        <f t="shared" si="24"/>
        <v>4.94424</v>
      </c>
      <c r="AU63" s="193">
        <f t="shared" si="25"/>
        <v>46.14624</v>
      </c>
      <c r="AV63" s="194">
        <f t="shared" si="26"/>
        <v>102.5472</v>
      </c>
      <c r="AW63" s="190">
        <v>10</v>
      </c>
      <c r="AX63" s="199">
        <f t="shared" si="27"/>
        <v>22.22222222222222</v>
      </c>
      <c r="AY63" s="201">
        <f t="shared" si="28"/>
        <v>124.76942222222223</v>
      </c>
      <c r="AZ63" s="203">
        <f t="shared" si="29"/>
        <v>24.23893774794962</v>
      </c>
      <c r="BA63" s="188">
        <f t="shared" si="30"/>
        <v>5.147478966266849</v>
      </c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</row>
    <row r="64" spans="2:73" ht="45" customHeight="1">
      <c r="B64">
        <v>14</v>
      </c>
      <c r="C64" s="226" t="s">
        <v>16</v>
      </c>
      <c r="D64" s="207">
        <v>20</v>
      </c>
      <c r="E64" s="207">
        <v>266</v>
      </c>
      <c r="F64" s="207" t="s">
        <v>44</v>
      </c>
      <c r="G64" s="208" t="s">
        <v>91</v>
      </c>
      <c r="H64" s="209">
        <v>23412.112</v>
      </c>
      <c r="I64" s="210">
        <v>0.046142</v>
      </c>
      <c r="J64" s="208">
        <f t="shared" si="14"/>
        <v>4.921259842519685</v>
      </c>
      <c r="K64" s="217">
        <v>1.5</v>
      </c>
      <c r="L64" s="211">
        <f t="shared" si="8"/>
        <v>87654947.32800001</v>
      </c>
      <c r="M64" s="211">
        <f t="shared" si="9"/>
        <v>4799.066374377225</v>
      </c>
      <c r="N64" s="211">
        <f t="shared" si="10"/>
        <v>572.1602306005223</v>
      </c>
      <c r="O64" s="211">
        <f t="shared" si="11"/>
        <v>81.65406454888323</v>
      </c>
      <c r="P64" s="211">
        <f t="shared" si="15"/>
        <v>1.6666666666666665</v>
      </c>
      <c r="Q64" s="211">
        <f t="shared" si="16"/>
        <v>211.52879999999996</v>
      </c>
      <c r="R64" s="211">
        <f t="shared" si="17"/>
        <v>16.666666666666664</v>
      </c>
      <c r="S64" s="212">
        <f t="shared" si="18"/>
        <v>228.19546666666662</v>
      </c>
      <c r="T64" s="183"/>
      <c r="W64" s="131">
        <v>1167.1</v>
      </c>
      <c r="X64" s="40">
        <f t="shared" si="12"/>
        <v>20.06007368691629</v>
      </c>
      <c r="Y64" s="40">
        <f t="shared" si="13"/>
        <v>0.02180931211241539</v>
      </c>
      <c r="Z64" s="40"/>
      <c r="AI64" s="25">
        <v>36</v>
      </c>
      <c r="AJ64" s="136" t="s">
        <v>91</v>
      </c>
      <c r="AK64" s="150">
        <v>1.5</v>
      </c>
      <c r="AL64" s="191">
        <v>0.9</v>
      </c>
      <c r="AM64" s="191">
        <f t="shared" si="19"/>
        <v>113.0976</v>
      </c>
      <c r="AN64" s="192">
        <f t="shared" si="20"/>
        <v>1.6666666666666665</v>
      </c>
      <c r="AO64" s="189">
        <v>3</v>
      </c>
      <c r="AP64" s="71">
        <v>41.97</v>
      </c>
      <c r="AQ64" s="190">
        <f t="shared" si="21"/>
        <v>125.91</v>
      </c>
      <c r="AR64" s="190">
        <f t="shared" si="22"/>
        <v>12.591000000000001</v>
      </c>
      <c r="AS64" s="190">
        <f t="shared" si="23"/>
        <v>113.31899999999999</v>
      </c>
      <c r="AT64" s="190">
        <f t="shared" si="24"/>
        <v>13.598279999999997</v>
      </c>
      <c r="AU64" s="193">
        <f t="shared" si="25"/>
        <v>126.91727999999999</v>
      </c>
      <c r="AV64" s="194">
        <f t="shared" si="26"/>
        <v>211.52879999999996</v>
      </c>
      <c r="AW64" s="190">
        <v>10</v>
      </c>
      <c r="AX64" s="199">
        <f t="shared" si="27"/>
        <v>16.666666666666664</v>
      </c>
      <c r="AY64" s="201">
        <f t="shared" si="28"/>
        <v>228.19546666666662</v>
      </c>
      <c r="AZ64" s="203">
        <f t="shared" si="29"/>
        <v>81.65406454888323</v>
      </c>
      <c r="BA64" s="188">
        <f t="shared" si="30"/>
        <v>2.7946614528913565</v>
      </c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</row>
    <row r="65" spans="2:73" ht="34.5" customHeight="1">
      <c r="B65">
        <v>15</v>
      </c>
      <c r="C65" s="232" t="s">
        <v>20</v>
      </c>
      <c r="D65" s="207">
        <v>20</v>
      </c>
      <c r="E65" s="207">
        <v>266</v>
      </c>
      <c r="F65" s="207" t="s">
        <v>50</v>
      </c>
      <c r="G65" s="208" t="s">
        <v>91</v>
      </c>
      <c r="H65" s="209">
        <v>532567.935</v>
      </c>
      <c r="I65" s="210">
        <v>0.04914</v>
      </c>
      <c r="J65" s="208">
        <f t="shared" si="14"/>
        <v>164.04199475065616</v>
      </c>
      <c r="K65" s="215">
        <v>50</v>
      </c>
      <c r="L65" s="211">
        <f t="shared" si="8"/>
        <v>1993934348.64</v>
      </c>
      <c r="M65" s="211">
        <f t="shared" si="9"/>
        <v>109166.9503772242</v>
      </c>
      <c r="N65" s="211">
        <f t="shared" si="10"/>
        <v>13015.237262663186</v>
      </c>
      <c r="O65" s="229">
        <f t="shared" si="11"/>
        <v>1857.4290325091322</v>
      </c>
      <c r="P65" s="211">
        <f t="shared" si="15"/>
        <v>55.55555555555556</v>
      </c>
      <c r="Q65" s="211">
        <f t="shared" si="16"/>
        <v>4309.2</v>
      </c>
      <c r="R65" s="211">
        <f t="shared" si="17"/>
        <v>555.5555555555555</v>
      </c>
      <c r="S65" s="212">
        <f t="shared" si="18"/>
        <v>4864.7555555555555</v>
      </c>
      <c r="T65" s="183"/>
      <c r="W65" s="131">
        <v>1167.1</v>
      </c>
      <c r="X65" s="40">
        <f t="shared" si="12"/>
        <v>456.31731214120475</v>
      </c>
      <c r="Y65" s="40">
        <f t="shared" si="13"/>
        <v>0.4961081817599178</v>
      </c>
      <c r="Z65" s="40"/>
      <c r="AI65" s="25">
        <v>20</v>
      </c>
      <c r="AJ65" s="136" t="s">
        <v>91</v>
      </c>
      <c r="AK65" s="149">
        <v>50</v>
      </c>
      <c r="AL65" s="191">
        <v>0.9</v>
      </c>
      <c r="AM65" s="191">
        <f t="shared" si="19"/>
        <v>62.832</v>
      </c>
      <c r="AN65" s="192">
        <f t="shared" si="20"/>
        <v>55.55555555555556</v>
      </c>
      <c r="AO65" s="189">
        <v>3</v>
      </c>
      <c r="AP65" s="71">
        <v>25.65</v>
      </c>
      <c r="AQ65" s="190">
        <f t="shared" si="21"/>
        <v>76.94999999999999</v>
      </c>
      <c r="AR65" s="190">
        <f t="shared" si="22"/>
        <v>7.694999999999999</v>
      </c>
      <c r="AS65" s="190">
        <f t="shared" si="23"/>
        <v>69.255</v>
      </c>
      <c r="AT65" s="190">
        <f t="shared" si="24"/>
        <v>8.310599999999999</v>
      </c>
      <c r="AU65" s="193">
        <f t="shared" si="25"/>
        <v>77.56559999999999</v>
      </c>
      <c r="AV65" s="194">
        <f t="shared" si="26"/>
        <v>4309.2</v>
      </c>
      <c r="AW65" s="190">
        <v>10</v>
      </c>
      <c r="AX65" s="199">
        <f t="shared" si="27"/>
        <v>555.5555555555555</v>
      </c>
      <c r="AY65" s="201">
        <f t="shared" si="28"/>
        <v>4864.7555555555555</v>
      </c>
      <c r="AZ65" s="203">
        <f t="shared" si="29"/>
        <v>1857.4290325091322</v>
      </c>
      <c r="BA65" s="188">
        <f t="shared" si="30"/>
        <v>2.6190801750223196</v>
      </c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7"/>
      <c r="BP65" s="187"/>
      <c r="BQ65" s="187"/>
      <c r="BR65" s="187"/>
      <c r="BS65" s="187"/>
      <c r="BT65" s="187"/>
      <c r="BU65" s="187"/>
    </row>
    <row r="66" spans="2:73" ht="34.5" customHeight="1" thickBot="1">
      <c r="B66">
        <v>16</v>
      </c>
      <c r="C66" s="227" t="s">
        <v>24</v>
      </c>
      <c r="D66" s="233">
        <v>20</v>
      </c>
      <c r="E66" s="218">
        <v>266</v>
      </c>
      <c r="F66" s="218" t="s">
        <v>35</v>
      </c>
      <c r="G66" s="219" t="s">
        <v>29</v>
      </c>
      <c r="H66" s="220">
        <v>64126.067</v>
      </c>
      <c r="I66" s="221">
        <v>0.04914</v>
      </c>
      <c r="J66" s="208">
        <f t="shared" si="14"/>
        <v>32.808398950131235</v>
      </c>
      <c r="K66" s="222">
        <v>10</v>
      </c>
      <c r="L66" s="223">
        <f t="shared" si="8"/>
        <v>240087994.848</v>
      </c>
      <c r="M66" s="223">
        <f t="shared" si="9"/>
        <v>13144.702701779359</v>
      </c>
      <c r="N66" s="230">
        <f t="shared" si="10"/>
        <v>1567.1540133681463</v>
      </c>
      <c r="O66" s="223">
        <f t="shared" si="11"/>
        <v>223.65150201246306</v>
      </c>
      <c r="P66" s="231">
        <f t="shared" si="15"/>
        <v>11.11111111111111</v>
      </c>
      <c r="Q66" s="223">
        <f t="shared" si="16"/>
        <v>454.27200000000005</v>
      </c>
      <c r="R66" s="223">
        <f t="shared" si="17"/>
        <v>111.11111111111111</v>
      </c>
      <c r="S66" s="224">
        <f t="shared" si="18"/>
        <v>565.3831111111111</v>
      </c>
      <c r="T66" s="183"/>
      <c r="W66" s="131">
        <v>1167.1</v>
      </c>
      <c r="X66" s="40">
        <f t="shared" si="12"/>
        <v>54.94479222003257</v>
      </c>
      <c r="Y66" s="40">
        <f t="shared" si="13"/>
        <v>0.05973597810161941</v>
      </c>
      <c r="Z66" s="40"/>
      <c r="AI66" s="25">
        <v>10</v>
      </c>
      <c r="AJ66" s="136" t="s">
        <v>29</v>
      </c>
      <c r="AK66" s="149">
        <v>10</v>
      </c>
      <c r="AL66" s="191">
        <v>0.9</v>
      </c>
      <c r="AM66" s="191">
        <f t="shared" si="19"/>
        <v>31.416</v>
      </c>
      <c r="AN66" s="192">
        <f t="shared" si="20"/>
        <v>11.11111111111111</v>
      </c>
      <c r="AO66" s="189">
        <v>3</v>
      </c>
      <c r="AP66" s="71">
        <v>13.52</v>
      </c>
      <c r="AQ66" s="190">
        <f t="shared" si="21"/>
        <v>40.56</v>
      </c>
      <c r="AR66" s="190">
        <f t="shared" si="22"/>
        <v>4.056</v>
      </c>
      <c r="AS66" s="190">
        <f>AQ66-AR66</f>
        <v>36.504000000000005</v>
      </c>
      <c r="AT66" s="190">
        <f t="shared" si="24"/>
        <v>4.38048</v>
      </c>
      <c r="AU66" s="193">
        <f t="shared" si="25"/>
        <v>40.88448</v>
      </c>
      <c r="AV66" s="194">
        <f t="shared" si="26"/>
        <v>454.27200000000005</v>
      </c>
      <c r="AW66" s="190">
        <v>10</v>
      </c>
      <c r="AX66" s="199">
        <f t="shared" si="27"/>
        <v>111.11111111111111</v>
      </c>
      <c r="AY66" s="201">
        <f t="shared" si="28"/>
        <v>565.3831111111111</v>
      </c>
      <c r="AZ66" s="203">
        <f t="shared" si="29"/>
        <v>223.65150201246306</v>
      </c>
      <c r="BA66" s="188">
        <f t="shared" si="30"/>
        <v>2.527964739890747</v>
      </c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87"/>
      <c r="BP66" s="187"/>
      <c r="BQ66" s="187"/>
      <c r="BR66" s="187"/>
      <c r="BS66" s="187"/>
      <c r="BT66" s="187"/>
      <c r="BU66" s="187"/>
    </row>
    <row r="67" spans="3:73" ht="36" customHeight="1" thickBot="1">
      <c r="C67" s="272" t="s">
        <v>134</v>
      </c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73"/>
      <c r="Q67" s="270" t="s">
        <v>124</v>
      </c>
      <c r="R67" s="271"/>
      <c r="S67" s="234">
        <f>SUM(S51:S66)</f>
        <v>11554.583733333333</v>
      </c>
      <c r="T67" s="204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8">
        <f>SUM(AY51:AY66)</f>
        <v>11554.583733333333</v>
      </c>
      <c r="AZ67" s="203">
        <f>SUM(AZ51:AZ66)</f>
        <v>4946.761482755306</v>
      </c>
      <c r="BA67" s="187"/>
      <c r="BB67" s="187"/>
      <c r="BC67" s="187"/>
      <c r="BD67" s="187"/>
      <c r="BE67" s="187"/>
      <c r="BF67" s="187"/>
      <c r="BG67" s="187"/>
      <c r="BH67" s="187"/>
      <c r="BI67" s="187"/>
      <c r="BJ67" s="187"/>
      <c r="BK67" s="187"/>
      <c r="BL67" s="187"/>
      <c r="BM67" s="187"/>
      <c r="BN67" s="187"/>
      <c r="BO67" s="187"/>
      <c r="BP67" s="187"/>
      <c r="BQ67" s="187"/>
      <c r="BR67" s="187"/>
      <c r="BS67" s="187"/>
      <c r="BT67" s="187"/>
      <c r="BU67" s="187"/>
    </row>
    <row r="68" spans="14:73" ht="12.75">
      <c r="N68" s="22">
        <f>SUM(N51:N66)</f>
        <v>36285.77247979112</v>
      </c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269">
        <f>AY67/AZ67</f>
        <v>2.335787519493971</v>
      </c>
      <c r="BA68" s="268" t="s">
        <v>113</v>
      </c>
      <c r="BB68" s="268"/>
      <c r="BC68" s="268"/>
      <c r="BD68" s="268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</row>
    <row r="69" spans="41:73" ht="12.75"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269"/>
      <c r="BA69" s="268"/>
      <c r="BB69" s="268"/>
      <c r="BC69" s="268"/>
      <c r="BD69" s="268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87"/>
      <c r="BP69" s="187"/>
      <c r="BQ69" s="187"/>
      <c r="BR69" s="187"/>
      <c r="BS69" s="187"/>
      <c r="BT69" s="187"/>
      <c r="BU69" s="187"/>
    </row>
    <row r="70" spans="41:73" ht="12.75"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268"/>
      <c r="BB70" s="268"/>
      <c r="BC70" s="268"/>
      <c r="BD70" s="268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</row>
    <row r="71" spans="6:73" ht="12.75">
      <c r="F71" s="252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</row>
    <row r="72" spans="41:73" ht="12.75"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</row>
    <row r="73" spans="41:73" ht="12.75"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</row>
    <row r="74" spans="41:73" ht="12.75"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</row>
    <row r="75" spans="41:73" ht="12.75"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</row>
    <row r="76" spans="41:73" ht="12.75"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  <c r="BS76" s="187"/>
      <c r="BT76" s="187"/>
      <c r="BU76" s="187"/>
    </row>
    <row r="77" spans="41:73" ht="12.75"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</row>
    <row r="78" spans="41:73" ht="12.75"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</row>
    <row r="79" spans="41:73" ht="12.75"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</row>
    <row r="80" spans="41:73" ht="12.75"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</row>
    <row r="81" spans="41:73" ht="12.75"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</row>
    <row r="82" spans="41:73" ht="12.75"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</row>
    <row r="83" spans="41:73" ht="12.75"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7"/>
      <c r="BJ83" s="187"/>
      <c r="BK83" s="187"/>
      <c r="BL83" s="187"/>
      <c r="BM83" s="187"/>
      <c r="BN83" s="187"/>
      <c r="BO83" s="187"/>
      <c r="BP83" s="187"/>
      <c r="BQ83" s="187"/>
      <c r="BR83" s="187"/>
      <c r="BS83" s="187"/>
      <c r="BT83" s="187"/>
      <c r="BU83" s="187"/>
    </row>
    <row r="84" spans="41:73" ht="12.75"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187"/>
      <c r="BO84" s="187"/>
      <c r="BP84" s="187"/>
      <c r="BQ84" s="187"/>
      <c r="BR84" s="187"/>
      <c r="BS84" s="187"/>
      <c r="BT84" s="187"/>
      <c r="BU84" s="187"/>
    </row>
    <row r="85" spans="41:73" ht="12.75"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</row>
    <row r="86" spans="41:73" ht="12.75"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</row>
    <row r="87" spans="41:73" ht="12.75"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</row>
    <row r="88" spans="41:73" ht="12.75"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  <c r="BS88" s="187"/>
      <c r="BT88" s="187"/>
      <c r="BU88" s="187"/>
    </row>
    <row r="89" spans="41:73" ht="12.75"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  <c r="BS89" s="187"/>
      <c r="BT89" s="187"/>
      <c r="BU89" s="187"/>
    </row>
    <row r="90" spans="41:73" ht="12.75"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  <c r="BS90" s="187"/>
      <c r="BT90" s="187"/>
      <c r="BU90" s="187"/>
    </row>
    <row r="91" spans="41:73" ht="12.75"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  <c r="BS91" s="187"/>
      <c r="BT91" s="187"/>
      <c r="BU91" s="187"/>
    </row>
    <row r="92" spans="41:73" ht="12.75"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87"/>
      <c r="BS92" s="187"/>
      <c r="BT92" s="187"/>
      <c r="BU92" s="187"/>
    </row>
    <row r="93" spans="41:73" ht="12.75"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  <c r="BS93" s="187"/>
      <c r="BT93" s="187"/>
      <c r="BU93" s="187"/>
    </row>
    <row r="94" spans="41:73" ht="12.75"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7"/>
      <c r="BO94" s="187"/>
      <c r="BP94" s="187"/>
      <c r="BQ94" s="187"/>
      <c r="BR94" s="187"/>
      <c r="BS94" s="187"/>
      <c r="BT94" s="187"/>
      <c r="BU94" s="187"/>
    </row>
    <row r="95" spans="41:73" ht="12.75"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87"/>
      <c r="BI95" s="187"/>
      <c r="BJ95" s="187"/>
      <c r="BK95" s="187"/>
      <c r="BL95" s="187"/>
      <c r="BM95" s="187"/>
      <c r="BN95" s="187"/>
      <c r="BO95" s="187"/>
      <c r="BP95" s="187"/>
      <c r="BQ95" s="187"/>
      <c r="BR95" s="187"/>
      <c r="BS95" s="187"/>
      <c r="BT95" s="187"/>
      <c r="BU95" s="187"/>
    </row>
    <row r="96" spans="41:73" ht="12.75"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  <c r="BS96" s="187"/>
      <c r="BT96" s="187"/>
      <c r="BU96" s="187"/>
    </row>
    <row r="97" spans="41:73" ht="12.75"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</row>
    <row r="98" spans="41:73" ht="12.75"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7"/>
      <c r="BR98" s="187"/>
      <c r="BS98" s="187"/>
      <c r="BT98" s="187"/>
      <c r="BU98" s="187"/>
    </row>
    <row r="99" spans="41:73" ht="12.75"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/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87"/>
      <c r="BS99" s="187"/>
      <c r="BT99" s="187"/>
      <c r="BU99" s="187"/>
    </row>
  </sheetData>
  <mergeCells count="5">
    <mergeCell ref="C67:P67"/>
    <mergeCell ref="AW50:AX50"/>
    <mergeCell ref="BA68:BD70"/>
    <mergeCell ref="AZ68:AZ69"/>
    <mergeCell ref="Q67:R67"/>
  </mergeCells>
  <printOptions horizontalCentered="1" verticalCentered="1"/>
  <pageMargins left="1.5748031496062993" right="1.5748031496062993" top="1.5748031496062993" bottom="0.9448818897637796" header="0" footer="0"/>
  <pageSetup horizontalDpi="600" verticalDpi="600" orientation="landscape" paperSize="9" scale="65" r:id="rId2"/>
  <headerFooter alignWithMargins="0">
    <oddFooter>&amp;LCompañía Azucarera Valdez&amp;R80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8"/>
  <sheetViews>
    <sheetView zoomScale="70" zoomScaleNormal="70" workbookViewId="0" topLeftCell="AH52">
      <selection activeCell="P9" sqref="P9"/>
    </sheetView>
  </sheetViews>
  <sheetFormatPr defaultColWidth="11.421875" defaultRowHeight="12.75"/>
  <cols>
    <col min="3" max="3" width="43.57421875" style="0" customWidth="1"/>
    <col min="4" max="4" width="7.7109375" style="0" customWidth="1"/>
    <col min="5" max="5" width="12.421875" style="0" customWidth="1"/>
    <col min="6" max="6" width="9.00390625" style="0" customWidth="1"/>
    <col min="7" max="7" width="10.140625" style="0" customWidth="1"/>
    <col min="8" max="8" width="16.140625" style="0" customWidth="1"/>
    <col min="9" max="9" width="15.8515625" style="0" customWidth="1"/>
    <col min="10" max="10" width="14.7109375" style="0" customWidth="1"/>
    <col min="11" max="11" width="14.28125" style="0" customWidth="1"/>
    <col min="12" max="12" width="12.57421875" style="0" customWidth="1"/>
    <col min="13" max="13" width="24.421875" style="0" customWidth="1"/>
    <col min="14" max="14" width="26.8515625" style="0" customWidth="1"/>
    <col min="16" max="16" width="11.57421875" style="0" bestFit="1" customWidth="1"/>
    <col min="17" max="17" width="7.57421875" style="0" bestFit="1" customWidth="1"/>
    <col min="18" max="18" width="14.7109375" style="0" customWidth="1"/>
    <col min="19" max="19" width="8.57421875" style="0" customWidth="1"/>
    <col min="20" max="20" width="7.57421875" style="0" bestFit="1" customWidth="1"/>
    <col min="21" max="21" width="9.8515625" style="0" customWidth="1"/>
  </cols>
  <sheetData>
    <row r="1" spans="1:18" ht="12.75">
      <c r="A1">
        <v>0</v>
      </c>
      <c r="O1" s="242"/>
      <c r="P1" s="242"/>
      <c r="Q1" s="242"/>
      <c r="R1" s="242"/>
    </row>
    <row r="2" spans="1:18" ht="12.75">
      <c r="A2" s="1"/>
      <c r="B2" s="1"/>
      <c r="O2" s="242"/>
      <c r="P2" s="242"/>
      <c r="Q2" s="242"/>
      <c r="R2" s="242"/>
    </row>
    <row r="3" spans="1:18" ht="15.75">
      <c r="A3" s="1"/>
      <c r="B3" s="1"/>
      <c r="J3" s="34" t="s">
        <v>6</v>
      </c>
      <c r="K3" s="4"/>
      <c r="L3" s="4"/>
      <c r="M3" s="10"/>
      <c r="N3" s="4"/>
      <c r="O3" s="247"/>
      <c r="P3" s="63"/>
      <c r="Q3" s="63"/>
      <c r="R3" s="248"/>
    </row>
    <row r="4" spans="8:18" ht="15">
      <c r="H4" s="242"/>
      <c r="I4" s="242"/>
      <c r="J4" s="242"/>
      <c r="K4" s="63"/>
      <c r="L4" s="63"/>
      <c r="M4" s="243"/>
      <c r="N4" s="63"/>
      <c r="O4" s="63"/>
      <c r="P4" s="4"/>
      <c r="Q4" s="4"/>
      <c r="R4" s="12"/>
    </row>
    <row r="5" spans="2:18" ht="15.75">
      <c r="B5" s="1"/>
      <c r="H5" s="242"/>
      <c r="I5" s="2"/>
      <c r="J5" s="243"/>
      <c r="K5" s="63"/>
      <c r="L5" s="63"/>
      <c r="M5" s="244"/>
      <c r="N5" s="242"/>
      <c r="O5" s="35"/>
      <c r="P5" s="63"/>
      <c r="Q5" s="35"/>
      <c r="R5" s="12"/>
    </row>
    <row r="6" spans="1:18" ht="15.75">
      <c r="A6" s="1"/>
      <c r="B6" s="1"/>
      <c r="H6" s="242"/>
      <c r="I6" s="245"/>
      <c r="J6" s="243"/>
      <c r="K6" s="63"/>
      <c r="L6" s="63"/>
      <c r="M6" s="246"/>
      <c r="N6" s="242"/>
      <c r="O6" s="35"/>
      <c r="P6" s="64"/>
      <c r="Q6" s="35"/>
      <c r="R6" s="12"/>
    </row>
    <row r="7" spans="1:18" ht="15.75">
      <c r="A7" s="2"/>
      <c r="B7" s="2"/>
      <c r="H7" s="242"/>
      <c r="I7" s="2"/>
      <c r="J7" s="243"/>
      <c r="K7" s="63"/>
      <c r="L7" s="63"/>
      <c r="M7" s="63"/>
      <c r="N7" s="242"/>
      <c r="O7" s="36"/>
      <c r="P7" s="63"/>
      <c r="Q7" s="36"/>
      <c r="R7" s="12"/>
    </row>
    <row r="8" spans="1:18" ht="15">
      <c r="A8" s="2"/>
      <c r="B8" s="2"/>
      <c r="K8" s="2"/>
      <c r="L8" s="2"/>
      <c r="M8" s="2"/>
      <c r="N8" s="9"/>
      <c r="O8" s="2"/>
      <c r="P8" s="2"/>
      <c r="Q8" s="2"/>
      <c r="R8" s="12"/>
    </row>
    <row r="9" spans="4:18" ht="15.75">
      <c r="D9" s="20" t="s">
        <v>25</v>
      </c>
      <c r="E9" s="20"/>
      <c r="F9" s="20"/>
      <c r="G9" s="20"/>
      <c r="H9" s="20"/>
      <c r="K9" s="18" t="s">
        <v>0</v>
      </c>
      <c r="L9" s="18"/>
      <c r="M9" s="18"/>
      <c r="N9" s="132">
        <v>1.087</v>
      </c>
      <c r="O9" s="2"/>
      <c r="P9" s="2"/>
      <c r="Q9" s="2"/>
      <c r="R9" s="12"/>
    </row>
    <row r="10" spans="4:17" ht="15.75">
      <c r="D10" s="20" t="s">
        <v>26</v>
      </c>
      <c r="E10" s="20"/>
      <c r="F10" s="20"/>
      <c r="G10" s="20"/>
      <c r="H10" s="20"/>
      <c r="K10" s="2"/>
      <c r="L10" s="2"/>
      <c r="M10" s="2"/>
      <c r="N10" s="3"/>
      <c r="O10" s="2"/>
      <c r="P10" s="2"/>
      <c r="Q10" s="2"/>
    </row>
    <row r="11" spans="4:17" ht="15.75">
      <c r="D11" s="20" t="s">
        <v>28</v>
      </c>
      <c r="E11" s="20"/>
      <c r="F11" s="20"/>
      <c r="G11" s="20"/>
      <c r="H11" s="20"/>
      <c r="K11" s="2"/>
      <c r="L11" s="2"/>
      <c r="M11" s="2"/>
      <c r="N11" s="3"/>
      <c r="O11" s="2"/>
      <c r="P11" s="2"/>
      <c r="Q11" s="2"/>
    </row>
    <row r="12" spans="4:17" ht="15.75">
      <c r="D12" s="20" t="s">
        <v>27</v>
      </c>
      <c r="E12" s="20"/>
      <c r="F12" s="20"/>
      <c r="G12" s="20"/>
      <c r="H12" s="20"/>
      <c r="K12" s="2"/>
      <c r="L12" s="2"/>
      <c r="M12" s="2"/>
      <c r="N12" s="3"/>
      <c r="O12" s="2"/>
      <c r="P12" s="2"/>
      <c r="Q12" s="2"/>
    </row>
    <row r="14" ht="13.5" thickBot="1">
      <c r="T14" t="s">
        <v>63</v>
      </c>
    </row>
    <row r="15" spans="1:20" ht="76.5">
      <c r="A15" t="s">
        <v>34</v>
      </c>
      <c r="C15" s="49" t="s">
        <v>7</v>
      </c>
      <c r="D15" s="50" t="s">
        <v>8</v>
      </c>
      <c r="E15" s="50" t="s">
        <v>73</v>
      </c>
      <c r="F15" s="50"/>
      <c r="G15" s="50" t="s">
        <v>80</v>
      </c>
      <c r="H15" s="50" t="s">
        <v>81</v>
      </c>
      <c r="I15" s="50" t="s">
        <v>77</v>
      </c>
      <c r="J15" s="50" t="s">
        <v>82</v>
      </c>
      <c r="K15" s="50" t="s">
        <v>76</v>
      </c>
      <c r="L15" s="50"/>
      <c r="M15" s="50" t="s">
        <v>33</v>
      </c>
      <c r="N15" s="51" t="s">
        <v>32</v>
      </c>
      <c r="R15" t="s">
        <v>72</v>
      </c>
      <c r="S15" t="s">
        <v>30</v>
      </c>
      <c r="T15" t="s">
        <v>31</v>
      </c>
    </row>
    <row r="16" spans="1:20" ht="30" customHeight="1">
      <c r="A16" s="65" t="s">
        <v>35</v>
      </c>
      <c r="B16">
        <v>1</v>
      </c>
      <c r="C16" s="52" t="s">
        <v>9</v>
      </c>
      <c r="D16" s="25">
        <v>300</v>
      </c>
      <c r="E16" s="25">
        <v>520</v>
      </c>
      <c r="F16" s="25"/>
      <c r="G16" s="24">
        <v>1</v>
      </c>
      <c r="H16" s="24">
        <f aca="true" t="shared" si="0" ref="H16:H31">P16/Q16</f>
        <v>1875.9402799999998</v>
      </c>
      <c r="I16" s="24">
        <f aca="true" t="shared" si="1" ref="I16:I31">H16*24*156</f>
        <v>7023520.408319999</v>
      </c>
      <c r="J16" s="24">
        <f aca="true" t="shared" si="2" ref="J16:J31">I16/18265</f>
        <v>384.53437767971525</v>
      </c>
      <c r="K16" s="24">
        <f aca="true" t="shared" si="3" ref="K16:K31">I16/153200</f>
        <v>45.84543347467363</v>
      </c>
      <c r="L16" s="45"/>
      <c r="M16" s="45">
        <f aca="true" t="shared" si="4" ref="M16:M31">K16*0.56</f>
        <v>25.673442745817233</v>
      </c>
      <c r="N16" s="53">
        <f aca="true" t="shared" si="5" ref="N16:N31">T16*3744</f>
        <v>6.022534417482059</v>
      </c>
      <c r="P16" s="29">
        <f aca="true" t="shared" si="6" ref="P16:P31">H51</f>
        <v>187594.028</v>
      </c>
      <c r="Q16" s="30">
        <v>100</v>
      </c>
      <c r="R16" s="40">
        <v>1267.9</v>
      </c>
      <c r="S16" s="40">
        <f aca="true" t="shared" si="7" ref="S16:S31">H16/R16</f>
        <v>1.4795648552724976</v>
      </c>
      <c r="T16" s="43">
        <f aca="true" t="shared" si="8" ref="T16:T31">S16*0.0010872</f>
        <v>0.0016085829106522594</v>
      </c>
    </row>
    <row r="17" spans="1:20" ht="30" customHeight="1">
      <c r="A17" s="65" t="s">
        <v>35</v>
      </c>
      <c r="B17">
        <v>2</v>
      </c>
      <c r="C17" s="52" t="s">
        <v>11</v>
      </c>
      <c r="D17" s="25">
        <v>300</v>
      </c>
      <c r="E17" s="25">
        <v>520</v>
      </c>
      <c r="F17" s="25"/>
      <c r="G17" s="24">
        <v>1</v>
      </c>
      <c r="H17" s="24">
        <f t="shared" si="0"/>
        <v>12737.9188</v>
      </c>
      <c r="I17" s="24">
        <f t="shared" si="1"/>
        <v>47690767.9872</v>
      </c>
      <c r="J17" s="24">
        <f t="shared" si="2"/>
        <v>2611.0467006405693</v>
      </c>
      <c r="K17" s="24">
        <f t="shared" si="3"/>
        <v>311.2974411697128</v>
      </c>
      <c r="L17" s="45"/>
      <c r="M17" s="45">
        <f t="shared" si="4"/>
        <v>174.32656705503916</v>
      </c>
      <c r="N17" s="53">
        <f t="shared" si="5"/>
        <v>40.89392140995649</v>
      </c>
      <c r="P17" s="29">
        <f t="shared" si="6"/>
        <v>63689.594</v>
      </c>
      <c r="Q17" s="31">
        <v>5</v>
      </c>
      <c r="R17" s="40">
        <v>1267.9</v>
      </c>
      <c r="S17" s="40">
        <f t="shared" si="7"/>
        <v>10.046469595393958</v>
      </c>
      <c r="T17" s="43">
        <f t="shared" si="8"/>
        <v>0.010922521744112311</v>
      </c>
    </row>
    <row r="18" spans="1:20" ht="30" customHeight="1">
      <c r="A18" s="65" t="s">
        <v>40</v>
      </c>
      <c r="B18">
        <v>3</v>
      </c>
      <c r="C18" s="52" t="s">
        <v>36</v>
      </c>
      <c r="D18" s="25">
        <v>300</v>
      </c>
      <c r="E18" s="25">
        <v>520</v>
      </c>
      <c r="F18" s="25"/>
      <c r="G18" s="24">
        <v>1</v>
      </c>
      <c r="H18" s="24">
        <f t="shared" si="0"/>
        <v>9347.061333333333</v>
      </c>
      <c r="I18" s="24">
        <f t="shared" si="1"/>
        <v>34995397.632</v>
      </c>
      <c r="J18" s="24">
        <f t="shared" si="2"/>
        <v>1915.9812555160142</v>
      </c>
      <c r="K18" s="24">
        <f t="shared" si="3"/>
        <v>228.42948845953003</v>
      </c>
      <c r="L18" s="45"/>
      <c r="M18" s="45">
        <f t="shared" si="4"/>
        <v>127.92051353733683</v>
      </c>
      <c r="N18" s="53">
        <f t="shared" si="5"/>
        <v>30.007884143473767</v>
      </c>
      <c r="P18" s="29">
        <f t="shared" si="6"/>
        <v>28041.184</v>
      </c>
      <c r="Q18" s="31">
        <v>3</v>
      </c>
      <c r="R18" s="40">
        <v>1267.9</v>
      </c>
      <c r="S18" s="40">
        <f t="shared" si="7"/>
        <v>7.372080868627914</v>
      </c>
      <c r="T18" s="43">
        <f t="shared" si="8"/>
        <v>0.008014926320372267</v>
      </c>
    </row>
    <row r="19" spans="1:20" ht="30" customHeight="1">
      <c r="A19" s="65" t="s">
        <v>29</v>
      </c>
      <c r="B19">
        <v>4</v>
      </c>
      <c r="C19" s="52" t="s">
        <v>37</v>
      </c>
      <c r="D19" s="25">
        <v>300</v>
      </c>
      <c r="E19" s="25">
        <v>520</v>
      </c>
      <c r="F19" s="25"/>
      <c r="G19" s="24">
        <v>1</v>
      </c>
      <c r="H19" s="24">
        <f t="shared" si="0"/>
        <v>6484.519333333334</v>
      </c>
      <c r="I19" s="24">
        <f t="shared" si="1"/>
        <v>24278040.384</v>
      </c>
      <c r="J19" s="24">
        <f t="shared" si="2"/>
        <v>1329.2110804270462</v>
      </c>
      <c r="K19" s="24">
        <f t="shared" si="3"/>
        <v>158.47284845953</v>
      </c>
      <c r="L19" s="45"/>
      <c r="M19" s="45">
        <f t="shared" si="4"/>
        <v>88.74479513733682</v>
      </c>
      <c r="N19" s="53">
        <f t="shared" si="5"/>
        <v>20.81795528471078</v>
      </c>
      <c r="P19" s="29">
        <f t="shared" si="6"/>
        <v>19453.558</v>
      </c>
      <c r="Q19" s="31">
        <v>3</v>
      </c>
      <c r="R19" s="40">
        <v>1267.9</v>
      </c>
      <c r="S19" s="40">
        <f t="shared" si="7"/>
        <v>5.114377579725004</v>
      </c>
      <c r="T19" s="43">
        <f t="shared" si="8"/>
        <v>0.005560351304677025</v>
      </c>
    </row>
    <row r="20" spans="1:20" ht="30" customHeight="1">
      <c r="A20" s="65" t="s">
        <v>41</v>
      </c>
      <c r="B20">
        <v>5</v>
      </c>
      <c r="C20" s="52" t="s">
        <v>17</v>
      </c>
      <c r="D20" s="25">
        <v>300</v>
      </c>
      <c r="E20" s="25">
        <v>520</v>
      </c>
      <c r="F20" s="25"/>
      <c r="G20" s="24">
        <v>1</v>
      </c>
      <c r="H20" s="24">
        <f t="shared" si="0"/>
        <v>18028.237666666668</v>
      </c>
      <c r="I20" s="24">
        <f t="shared" si="1"/>
        <v>67497721.824</v>
      </c>
      <c r="J20" s="24">
        <f t="shared" si="2"/>
        <v>3695.467934519573</v>
      </c>
      <c r="K20" s="24">
        <f t="shared" si="3"/>
        <v>440.5856515926893</v>
      </c>
      <c r="L20" s="45"/>
      <c r="M20" s="45">
        <f t="shared" si="4"/>
        <v>246.72796489190605</v>
      </c>
      <c r="N20" s="53">
        <f t="shared" si="5"/>
        <v>57.87800549495449</v>
      </c>
      <c r="P20" s="29">
        <f t="shared" si="6"/>
        <v>108169.426</v>
      </c>
      <c r="Q20" s="31">
        <v>6</v>
      </c>
      <c r="R20" s="40">
        <v>1267.9</v>
      </c>
      <c r="S20" s="40">
        <f t="shared" si="7"/>
        <v>14.21897441964403</v>
      </c>
      <c r="T20" s="43">
        <f t="shared" si="8"/>
        <v>0.01545886898903699</v>
      </c>
    </row>
    <row r="21" spans="1:20" ht="30" customHeight="1">
      <c r="A21" s="65" t="s">
        <v>35</v>
      </c>
      <c r="B21">
        <v>6</v>
      </c>
      <c r="C21" s="52" t="s">
        <v>18</v>
      </c>
      <c r="D21" s="25">
        <v>300</v>
      </c>
      <c r="E21" s="25">
        <v>520</v>
      </c>
      <c r="F21" s="25"/>
      <c r="G21" s="24">
        <v>1</v>
      </c>
      <c r="H21" s="24">
        <f t="shared" si="0"/>
        <v>7996.123600000001</v>
      </c>
      <c r="I21" s="24">
        <f t="shared" si="1"/>
        <v>29937486.758400004</v>
      </c>
      <c r="J21" s="24">
        <f t="shared" si="2"/>
        <v>1639.0630582206409</v>
      </c>
      <c r="K21" s="24">
        <f t="shared" si="3"/>
        <v>195.41440442819845</v>
      </c>
      <c r="L21" s="45"/>
      <c r="M21" s="45">
        <f t="shared" si="4"/>
        <v>109.43206647979115</v>
      </c>
      <c r="N21" s="53">
        <f t="shared" si="5"/>
        <v>25.670822307541982</v>
      </c>
      <c r="P21" s="29">
        <f t="shared" si="6"/>
        <v>79961.236</v>
      </c>
      <c r="Q21" s="31">
        <v>10</v>
      </c>
      <c r="R21" s="40">
        <v>1267.9</v>
      </c>
      <c r="S21" s="40">
        <f t="shared" si="7"/>
        <v>6.30658853221863</v>
      </c>
      <c r="T21" s="43">
        <f t="shared" si="8"/>
        <v>0.006856523052228094</v>
      </c>
    </row>
    <row r="22" spans="1:20" ht="30" customHeight="1">
      <c r="A22" s="65" t="s">
        <v>43</v>
      </c>
      <c r="B22">
        <v>7</v>
      </c>
      <c r="C22" s="52" t="s">
        <v>42</v>
      </c>
      <c r="D22" s="25">
        <v>300</v>
      </c>
      <c r="E22" s="25">
        <v>520</v>
      </c>
      <c r="F22" s="25"/>
      <c r="G22" s="24">
        <v>1</v>
      </c>
      <c r="H22" s="24">
        <f t="shared" si="0"/>
        <v>12244.911250000001</v>
      </c>
      <c r="I22" s="24">
        <f t="shared" si="1"/>
        <v>45844947.72</v>
      </c>
      <c r="J22" s="24">
        <f t="shared" si="2"/>
        <v>2509.988925266904</v>
      </c>
      <c r="K22" s="24">
        <f t="shared" si="3"/>
        <v>299.24900600522193</v>
      </c>
      <c r="L22" s="45"/>
      <c r="M22" s="45">
        <f t="shared" si="4"/>
        <v>167.5794433629243</v>
      </c>
      <c r="N22" s="53">
        <f t="shared" si="5"/>
        <v>39.31116583420143</v>
      </c>
      <c r="P22" s="29">
        <f t="shared" si="6"/>
        <v>244898.225</v>
      </c>
      <c r="Q22" s="31">
        <v>20</v>
      </c>
      <c r="R22" s="40">
        <v>1267.9</v>
      </c>
      <c r="S22" s="40">
        <f t="shared" si="7"/>
        <v>9.65763171385756</v>
      </c>
      <c r="T22" s="43">
        <f t="shared" si="8"/>
        <v>0.010499777199305938</v>
      </c>
    </row>
    <row r="23" spans="1:20" ht="30" customHeight="1">
      <c r="A23" s="65" t="s">
        <v>43</v>
      </c>
      <c r="B23">
        <v>8</v>
      </c>
      <c r="C23" s="52" t="s">
        <v>21</v>
      </c>
      <c r="D23" s="25">
        <v>300</v>
      </c>
      <c r="E23" s="25">
        <v>520</v>
      </c>
      <c r="F23" s="25"/>
      <c r="G23" s="24">
        <v>1</v>
      </c>
      <c r="H23" s="24">
        <f t="shared" si="0"/>
        <v>3792.285</v>
      </c>
      <c r="I23" s="24">
        <f t="shared" si="1"/>
        <v>14198315.04</v>
      </c>
      <c r="J23" s="24">
        <f t="shared" si="2"/>
        <v>777.350946619217</v>
      </c>
      <c r="K23" s="24">
        <f t="shared" si="3"/>
        <v>92.67829660574412</v>
      </c>
      <c r="L23" s="45"/>
      <c r="M23" s="45">
        <f t="shared" si="4"/>
        <v>51.89984609921672</v>
      </c>
      <c r="N23" s="53">
        <f t="shared" si="5"/>
        <v>12.174783588207271</v>
      </c>
      <c r="P23" s="29">
        <f t="shared" si="6"/>
        <v>7584.57</v>
      </c>
      <c r="Q23" s="31">
        <v>2</v>
      </c>
      <c r="R23" s="40">
        <v>1267.9</v>
      </c>
      <c r="S23" s="40">
        <f t="shared" si="7"/>
        <v>2.9909969240476375</v>
      </c>
      <c r="T23" s="43">
        <f t="shared" si="8"/>
        <v>0.0032518118558245916</v>
      </c>
    </row>
    <row r="24" spans="1:20" ht="30" customHeight="1">
      <c r="A24" s="65" t="s">
        <v>40</v>
      </c>
      <c r="B24">
        <v>9</v>
      </c>
      <c r="C24" s="52" t="s">
        <v>22</v>
      </c>
      <c r="D24" s="25">
        <v>300</v>
      </c>
      <c r="E24" s="25">
        <v>520</v>
      </c>
      <c r="F24" s="25"/>
      <c r="G24" s="24">
        <v>1</v>
      </c>
      <c r="H24" s="24">
        <f t="shared" si="0"/>
        <v>3541.508</v>
      </c>
      <c r="I24" s="24">
        <f t="shared" si="1"/>
        <v>13259405.952</v>
      </c>
      <c r="J24" s="24">
        <f t="shared" si="2"/>
        <v>725.9461238434163</v>
      </c>
      <c r="K24" s="24">
        <f t="shared" si="3"/>
        <v>86.54964720626631</v>
      </c>
      <c r="L24" s="45"/>
      <c r="M24" s="45">
        <f t="shared" si="4"/>
        <v>48.46780243550914</v>
      </c>
      <c r="N24" s="53">
        <f t="shared" si="5"/>
        <v>11.369687002929567</v>
      </c>
      <c r="P24" s="29">
        <f t="shared" si="6"/>
        <v>10624.524</v>
      </c>
      <c r="Q24" s="31">
        <v>3</v>
      </c>
      <c r="R24" s="40">
        <v>1267.9</v>
      </c>
      <c r="S24" s="40">
        <f t="shared" si="7"/>
        <v>2.793207666219733</v>
      </c>
      <c r="T24" s="43">
        <f t="shared" si="8"/>
        <v>0.0030367753747140938</v>
      </c>
    </row>
    <row r="25" spans="1:20" ht="30" customHeight="1">
      <c r="A25" s="65" t="s">
        <v>35</v>
      </c>
      <c r="B25">
        <v>10</v>
      </c>
      <c r="C25" s="52" t="s">
        <v>38</v>
      </c>
      <c r="D25" s="25">
        <v>300</v>
      </c>
      <c r="E25" s="25">
        <v>520</v>
      </c>
      <c r="F25" s="25"/>
      <c r="G25" s="24">
        <v>1</v>
      </c>
      <c r="H25" s="24">
        <f t="shared" si="0"/>
        <v>5773.414699999999</v>
      </c>
      <c r="I25" s="24">
        <f t="shared" si="1"/>
        <v>21615664.636799995</v>
      </c>
      <c r="J25" s="24">
        <f t="shared" si="2"/>
        <v>1183.4472837010674</v>
      </c>
      <c r="K25" s="24">
        <f t="shared" si="3"/>
        <v>141.094416689295</v>
      </c>
      <c r="L25" s="45"/>
      <c r="M25" s="45">
        <f t="shared" si="4"/>
        <v>79.01287334600521</v>
      </c>
      <c r="N25" s="53">
        <f t="shared" si="5"/>
        <v>18.535019002388953</v>
      </c>
      <c r="P25" s="29">
        <f t="shared" si="6"/>
        <v>57734.147</v>
      </c>
      <c r="Q25" s="31">
        <v>10</v>
      </c>
      <c r="R25" s="40">
        <v>1267.9</v>
      </c>
      <c r="S25" s="40">
        <f t="shared" si="7"/>
        <v>4.55352527801877</v>
      </c>
      <c r="T25" s="43">
        <f t="shared" si="8"/>
        <v>0.004950592682262007</v>
      </c>
    </row>
    <row r="26" spans="1:20" ht="30" customHeight="1">
      <c r="A26" s="65" t="s">
        <v>35</v>
      </c>
      <c r="B26">
        <v>11</v>
      </c>
      <c r="C26" s="52" t="s">
        <v>39</v>
      </c>
      <c r="D26" s="26">
        <v>200</v>
      </c>
      <c r="E26" s="26">
        <v>460</v>
      </c>
      <c r="F26" s="26"/>
      <c r="G26" s="21">
        <v>1</v>
      </c>
      <c r="H26" s="21">
        <f t="shared" si="0"/>
        <v>17701.686</v>
      </c>
      <c r="I26" s="21">
        <f t="shared" si="1"/>
        <v>66275112.384</v>
      </c>
      <c r="J26" s="21">
        <f t="shared" si="2"/>
        <v>3628.530653380783</v>
      </c>
      <c r="K26" s="21">
        <f t="shared" si="3"/>
        <v>432.60517221932116</v>
      </c>
      <c r="L26" s="46"/>
      <c r="M26" s="46">
        <f t="shared" si="4"/>
        <v>242.25889644281986</v>
      </c>
      <c r="N26" s="53">
        <f t="shared" si="5"/>
        <v>57.898193799827084</v>
      </c>
      <c r="P26" s="29">
        <f t="shared" si="6"/>
        <v>35403.372</v>
      </c>
      <c r="Q26" s="32">
        <v>2</v>
      </c>
      <c r="R26" s="40">
        <v>1244.5</v>
      </c>
      <c r="S26" s="40">
        <f t="shared" si="7"/>
        <v>14.223934110084372</v>
      </c>
      <c r="T26" s="43">
        <f t="shared" si="8"/>
        <v>0.015464261164483729</v>
      </c>
    </row>
    <row r="27" spans="1:20" ht="30" customHeight="1">
      <c r="A27" s="65" t="s">
        <v>40</v>
      </c>
      <c r="B27">
        <v>12</v>
      </c>
      <c r="C27" s="54" t="s">
        <v>10</v>
      </c>
      <c r="D27" s="27">
        <v>20</v>
      </c>
      <c r="E27" s="27">
        <v>266</v>
      </c>
      <c r="F27" s="27"/>
      <c r="G27" s="21">
        <v>1</v>
      </c>
      <c r="H27" s="23">
        <f t="shared" si="0"/>
        <v>2912.1096000000002</v>
      </c>
      <c r="I27" s="23">
        <f t="shared" si="1"/>
        <v>10902938.342400001</v>
      </c>
      <c r="J27" s="23">
        <f t="shared" si="2"/>
        <v>596.9306511032029</v>
      </c>
      <c r="K27" s="23">
        <f t="shared" si="3"/>
        <v>71.168004845953</v>
      </c>
      <c r="L27" s="47"/>
      <c r="M27" s="47">
        <f t="shared" si="4"/>
        <v>39.85408271373369</v>
      </c>
      <c r="N27" s="53">
        <f t="shared" si="5"/>
        <v>10.156520063282736</v>
      </c>
      <c r="P27" s="29">
        <f t="shared" si="6"/>
        <v>14560.548</v>
      </c>
      <c r="Q27" s="32">
        <v>5</v>
      </c>
      <c r="R27" s="131">
        <v>1167.1</v>
      </c>
      <c r="S27" s="40">
        <f t="shared" si="7"/>
        <v>2.4951671664810218</v>
      </c>
      <c r="T27" s="43">
        <f t="shared" si="8"/>
        <v>0.0027127457433981667</v>
      </c>
    </row>
    <row r="28" spans="1:20" ht="30" customHeight="1">
      <c r="A28" s="65" t="s">
        <v>44</v>
      </c>
      <c r="B28">
        <v>13</v>
      </c>
      <c r="C28" s="54" t="s">
        <v>12</v>
      </c>
      <c r="D28" s="27">
        <v>20</v>
      </c>
      <c r="E28" s="27">
        <v>266</v>
      </c>
      <c r="F28" s="27"/>
      <c r="G28" s="21">
        <v>1</v>
      </c>
      <c r="H28" s="23">
        <f t="shared" si="0"/>
        <v>3474.9325</v>
      </c>
      <c r="I28" s="23">
        <f t="shared" si="1"/>
        <v>13010147.280000001</v>
      </c>
      <c r="J28" s="23">
        <f t="shared" si="2"/>
        <v>712.2993309608541</v>
      </c>
      <c r="K28" s="23">
        <f t="shared" si="3"/>
        <v>84.92263237597912</v>
      </c>
      <c r="L28" s="47"/>
      <c r="M28" s="47">
        <f t="shared" si="4"/>
        <v>47.55667413054831</v>
      </c>
      <c r="N28" s="53">
        <f t="shared" si="5"/>
        <v>12.11946887397481</v>
      </c>
      <c r="P28" s="29">
        <f t="shared" si="6"/>
        <v>6949.865</v>
      </c>
      <c r="Q28" s="32">
        <v>2</v>
      </c>
      <c r="R28" s="131">
        <v>1167.1</v>
      </c>
      <c r="S28" s="40">
        <f t="shared" si="7"/>
        <v>2.977407677148488</v>
      </c>
      <c r="T28" s="43">
        <f t="shared" si="8"/>
        <v>0.003237037626595836</v>
      </c>
    </row>
    <row r="29" spans="1:20" ht="30" customHeight="1">
      <c r="A29" s="65" t="s">
        <v>44</v>
      </c>
      <c r="B29">
        <v>14</v>
      </c>
      <c r="C29" s="54" t="s">
        <v>16</v>
      </c>
      <c r="D29" s="27">
        <v>20</v>
      </c>
      <c r="E29" s="27">
        <v>266</v>
      </c>
      <c r="F29" s="27"/>
      <c r="G29" s="21">
        <v>1</v>
      </c>
      <c r="H29" s="23">
        <f t="shared" si="0"/>
        <v>15608.074666666667</v>
      </c>
      <c r="I29" s="23">
        <f t="shared" si="1"/>
        <v>58436631.552</v>
      </c>
      <c r="J29" s="23">
        <f t="shared" si="2"/>
        <v>3199.3775829181495</v>
      </c>
      <c r="K29" s="23">
        <f t="shared" si="3"/>
        <v>381.4401537336815</v>
      </c>
      <c r="L29" s="47"/>
      <c r="M29" s="47">
        <f t="shared" si="4"/>
        <v>213.60648609086167</v>
      </c>
      <c r="N29" s="53">
        <f t="shared" si="5"/>
        <v>54.43604303258881</v>
      </c>
      <c r="P29" s="29">
        <f t="shared" si="6"/>
        <v>23412.112</v>
      </c>
      <c r="Q29" s="32">
        <v>1.5</v>
      </c>
      <c r="R29" s="131">
        <v>1167.1</v>
      </c>
      <c r="S29" s="40">
        <f t="shared" si="7"/>
        <v>13.373382457944194</v>
      </c>
      <c r="T29" s="43">
        <f t="shared" si="8"/>
        <v>0.014539541408276927</v>
      </c>
    </row>
    <row r="30" spans="1:20" ht="30" customHeight="1">
      <c r="A30" s="65" t="s">
        <v>45</v>
      </c>
      <c r="B30">
        <v>15</v>
      </c>
      <c r="C30" s="54" t="s">
        <v>20</v>
      </c>
      <c r="D30" s="27">
        <v>20</v>
      </c>
      <c r="E30" s="27">
        <v>266</v>
      </c>
      <c r="F30" s="27"/>
      <c r="G30" s="21">
        <v>1</v>
      </c>
      <c r="H30" s="23">
        <f t="shared" si="0"/>
        <v>10651.3587</v>
      </c>
      <c r="I30" s="23">
        <f t="shared" si="1"/>
        <v>39878686.9728</v>
      </c>
      <c r="J30" s="23">
        <f t="shared" si="2"/>
        <v>2183.339007544484</v>
      </c>
      <c r="K30" s="23">
        <f t="shared" si="3"/>
        <v>260.3047452532637</v>
      </c>
      <c r="L30" s="47"/>
      <c r="M30" s="47">
        <f t="shared" si="4"/>
        <v>145.7706573418277</v>
      </c>
      <c r="N30" s="53">
        <f t="shared" si="5"/>
        <v>37.148580650182645</v>
      </c>
      <c r="P30" s="29">
        <f t="shared" si="6"/>
        <v>532567.935</v>
      </c>
      <c r="Q30" s="32">
        <v>50</v>
      </c>
      <c r="R30" s="131">
        <v>1167.1</v>
      </c>
      <c r="S30" s="40">
        <f t="shared" si="7"/>
        <v>9.126346242824095</v>
      </c>
      <c r="T30" s="43">
        <f t="shared" si="8"/>
        <v>0.009922163635198355</v>
      </c>
    </row>
    <row r="31" spans="1:20" ht="30" customHeight="1" thickBot="1">
      <c r="A31" s="65" t="s">
        <v>35</v>
      </c>
      <c r="B31">
        <v>16</v>
      </c>
      <c r="C31" s="55" t="s">
        <v>24</v>
      </c>
      <c r="D31" s="56">
        <v>20</v>
      </c>
      <c r="E31" s="56">
        <v>266</v>
      </c>
      <c r="F31" s="56"/>
      <c r="G31" s="57">
        <v>1</v>
      </c>
      <c r="H31" s="58">
        <f t="shared" si="0"/>
        <v>6412.6067</v>
      </c>
      <c r="I31" s="58">
        <f t="shared" si="1"/>
        <v>24008799.4848</v>
      </c>
      <c r="J31" s="58">
        <f t="shared" si="2"/>
        <v>1314.4702701779358</v>
      </c>
      <c r="K31" s="58">
        <f t="shared" si="3"/>
        <v>156.7154013368146</v>
      </c>
      <c r="L31" s="59"/>
      <c r="M31" s="59">
        <f t="shared" si="4"/>
        <v>87.7606247486162</v>
      </c>
      <c r="N31" s="60">
        <f t="shared" si="5"/>
        <v>22.365150201246305</v>
      </c>
      <c r="P31" s="29">
        <f t="shared" si="6"/>
        <v>64126.067</v>
      </c>
      <c r="Q31" s="32">
        <v>10</v>
      </c>
      <c r="R31" s="131">
        <v>1167.1</v>
      </c>
      <c r="S31" s="40">
        <f t="shared" si="7"/>
        <v>5.494479222003257</v>
      </c>
      <c r="T31" s="43">
        <f t="shared" si="8"/>
        <v>0.005973597810161941</v>
      </c>
    </row>
    <row r="32" spans="3:14" ht="30" customHeight="1" thickBot="1">
      <c r="C32" s="22"/>
      <c r="D32" s="28"/>
      <c r="E32" s="28"/>
      <c r="F32" s="28"/>
      <c r="G32" s="22"/>
      <c r="H32" s="22"/>
      <c r="I32" s="22"/>
      <c r="J32" s="22"/>
      <c r="K32" s="22">
        <f>SUM(K16:K31)</f>
        <v>3386.7727438558745</v>
      </c>
      <c r="L32" s="22"/>
      <c r="M32" s="48">
        <f>SUM(M16:M31)</f>
        <v>1896.59273655929</v>
      </c>
      <c r="N32" s="39">
        <f>SUM(N16:N31)</f>
        <v>456.8057351069492</v>
      </c>
    </row>
    <row r="33" spans="3:13" ht="30" customHeight="1">
      <c r="C33" s="22"/>
      <c r="D33" s="28"/>
      <c r="E33" s="28"/>
      <c r="F33" s="28"/>
      <c r="G33" s="22"/>
      <c r="H33" s="22"/>
      <c r="I33" s="22"/>
      <c r="J33" s="22"/>
      <c r="K33" s="22"/>
      <c r="L33" s="22"/>
      <c r="M33" s="22"/>
    </row>
    <row r="34" spans="4:6" ht="30" customHeight="1">
      <c r="D34" s="28"/>
      <c r="E34" s="28"/>
      <c r="F34" s="28"/>
    </row>
    <row r="35" spans="4:6" ht="30" customHeight="1">
      <c r="D35" s="28"/>
      <c r="E35" s="28"/>
      <c r="F35" s="28"/>
    </row>
    <row r="36" ht="13.5" customHeight="1"/>
    <row r="37" ht="13.5" customHeight="1"/>
    <row r="38" spans="10:13" ht="13.5" customHeight="1">
      <c r="J38" s="34" t="s">
        <v>6</v>
      </c>
      <c r="K38" s="4"/>
      <c r="L38" s="4"/>
      <c r="M38" s="10"/>
    </row>
    <row r="39" spans="9:14" ht="13.5" customHeight="1">
      <c r="I39" s="242"/>
      <c r="J39" s="242"/>
      <c r="K39" s="63"/>
      <c r="L39" s="63"/>
      <c r="M39" s="243"/>
      <c r="N39" s="242"/>
    </row>
    <row r="40" spans="9:15" ht="13.5" customHeight="1">
      <c r="I40" s="2"/>
      <c r="J40" s="243"/>
      <c r="K40" s="63"/>
      <c r="L40" s="63"/>
      <c r="M40" s="244"/>
      <c r="N40" s="242"/>
      <c r="O40" s="242"/>
    </row>
    <row r="41" spans="9:15" ht="13.5" customHeight="1">
      <c r="I41" s="245"/>
      <c r="J41" s="243"/>
      <c r="K41" s="63"/>
      <c r="L41" s="63"/>
      <c r="M41" s="246"/>
      <c r="N41" s="242"/>
      <c r="O41" s="242"/>
    </row>
    <row r="42" spans="9:15" ht="13.5" customHeight="1">
      <c r="I42" s="2"/>
      <c r="J42" s="243"/>
      <c r="K42" s="63"/>
      <c r="L42" s="63"/>
      <c r="M42" s="63"/>
      <c r="N42" s="242"/>
      <c r="O42" s="242"/>
    </row>
    <row r="43" spans="11:13" ht="13.5" customHeight="1">
      <c r="K43" s="2"/>
      <c r="L43" s="2"/>
      <c r="M43" s="2"/>
    </row>
    <row r="44" spans="4:14" ht="13.5" customHeight="1">
      <c r="D44" s="20" t="s">
        <v>25</v>
      </c>
      <c r="E44" s="20"/>
      <c r="F44" s="20"/>
      <c r="G44" s="20"/>
      <c r="H44" s="20"/>
      <c r="K44" s="18" t="s">
        <v>0</v>
      </c>
      <c r="L44" s="18"/>
      <c r="M44" s="18"/>
      <c r="N44" s="132">
        <v>1.087</v>
      </c>
    </row>
    <row r="45" spans="4:13" ht="13.5" customHeight="1">
      <c r="D45" s="20" t="s">
        <v>26</v>
      </c>
      <c r="E45" s="20"/>
      <c r="F45" s="20"/>
      <c r="G45" s="20"/>
      <c r="H45" s="20"/>
      <c r="K45" s="2"/>
      <c r="L45" s="2"/>
      <c r="M45" s="2"/>
    </row>
    <row r="46" spans="4:13" ht="13.5" customHeight="1">
      <c r="D46" s="20" t="s">
        <v>28</v>
      </c>
      <c r="E46" s="20"/>
      <c r="F46" s="20"/>
      <c r="G46" s="20"/>
      <c r="H46" s="20"/>
      <c r="K46" s="2"/>
      <c r="L46" s="2"/>
      <c r="M46" s="2"/>
    </row>
    <row r="47" spans="4:13" ht="13.5" customHeight="1">
      <c r="D47" s="20" t="s">
        <v>27</v>
      </c>
      <c r="E47" s="20"/>
      <c r="F47" s="20"/>
      <c r="G47" s="20"/>
      <c r="H47" s="20"/>
      <c r="K47" s="2"/>
      <c r="L47" s="2"/>
      <c r="M47" s="2"/>
    </row>
    <row r="48" ht="13.5" customHeight="1" thickBot="1">
      <c r="Q48" t="s">
        <v>74</v>
      </c>
    </row>
    <row r="49" spans="3:18" ht="30" customHeight="1" thickBot="1">
      <c r="C49" s="278" t="s">
        <v>7</v>
      </c>
      <c r="D49" s="276" t="s">
        <v>8</v>
      </c>
      <c r="E49" s="276" t="s">
        <v>131</v>
      </c>
      <c r="F49" s="276" t="s">
        <v>87</v>
      </c>
      <c r="G49" s="276" t="s">
        <v>78</v>
      </c>
      <c r="H49" s="276" t="s">
        <v>86</v>
      </c>
      <c r="I49" s="276" t="s">
        <v>128</v>
      </c>
      <c r="J49" s="276" t="s">
        <v>129</v>
      </c>
      <c r="K49" s="280"/>
      <c r="R49" t="s">
        <v>71</v>
      </c>
    </row>
    <row r="50" spans="3:20" ht="39.75" customHeight="1">
      <c r="C50" s="279"/>
      <c r="D50" s="277"/>
      <c r="E50" s="277"/>
      <c r="F50" s="277"/>
      <c r="G50" s="277"/>
      <c r="H50" s="277"/>
      <c r="I50" s="277"/>
      <c r="J50" s="235" t="s">
        <v>126</v>
      </c>
      <c r="K50" s="240" t="s">
        <v>127</v>
      </c>
      <c r="L50" s="155"/>
      <c r="M50" s="142" t="s">
        <v>33</v>
      </c>
      <c r="N50" s="143" t="s">
        <v>32</v>
      </c>
      <c r="R50" t="s">
        <v>72</v>
      </c>
      <c r="S50" t="s">
        <v>30</v>
      </c>
      <c r="T50" t="s">
        <v>31</v>
      </c>
    </row>
    <row r="51" spans="2:21" ht="24.75" customHeight="1">
      <c r="B51">
        <v>1</v>
      </c>
      <c r="C51" s="52" t="s">
        <v>9</v>
      </c>
      <c r="D51" s="25">
        <v>300</v>
      </c>
      <c r="E51" s="25">
        <v>520</v>
      </c>
      <c r="F51" s="25" t="s">
        <v>29</v>
      </c>
      <c r="G51" s="135">
        <v>100</v>
      </c>
      <c r="H51" s="37">
        <v>187594.028</v>
      </c>
      <c r="I51" s="156">
        <f aca="true" t="shared" si="9" ref="I51:I66">H51*24*156</f>
        <v>702352040.832</v>
      </c>
      <c r="J51" s="24">
        <f aca="true" t="shared" si="10" ref="J51:J66">I51/18265</f>
        <v>38453.43776797153</v>
      </c>
      <c r="K51" s="165">
        <f aca="true" t="shared" si="11" ref="K51:K66">I51/153200</f>
        <v>4584.543347467363</v>
      </c>
      <c r="L51" s="156"/>
      <c r="M51" s="24">
        <f aca="true" t="shared" si="12" ref="M51:M66">K51*0.56</f>
        <v>2567.3442745817233</v>
      </c>
      <c r="N51" s="61">
        <f aca="true" t="shared" si="13" ref="N51:N66">T51*3744</f>
        <v>602.2534417482059</v>
      </c>
      <c r="R51" s="40">
        <v>1267.9</v>
      </c>
      <c r="S51" s="40">
        <f aca="true" t="shared" si="14" ref="S51:S66">H51/R51</f>
        <v>147.95648552724975</v>
      </c>
      <c r="T51" s="40">
        <f aca="true" t="shared" si="15" ref="T51:T66">S51*0.0010872</f>
        <v>0.16085829106522592</v>
      </c>
      <c r="U51" s="40"/>
    </row>
    <row r="52" spans="2:21" ht="24.75" customHeight="1">
      <c r="B52">
        <v>2</v>
      </c>
      <c r="C52" s="52" t="s">
        <v>85</v>
      </c>
      <c r="D52" s="25">
        <v>300</v>
      </c>
      <c r="E52" s="25">
        <v>520</v>
      </c>
      <c r="F52" s="25" t="s">
        <v>41</v>
      </c>
      <c r="G52" s="135">
        <v>5</v>
      </c>
      <c r="H52" s="37">
        <v>63689.594</v>
      </c>
      <c r="I52" s="156">
        <f t="shared" si="9"/>
        <v>238453839.93600002</v>
      </c>
      <c r="J52" s="24">
        <f t="shared" si="10"/>
        <v>13055.233503202848</v>
      </c>
      <c r="K52" s="165">
        <f t="shared" si="11"/>
        <v>1556.4872058485641</v>
      </c>
      <c r="L52" s="156"/>
      <c r="M52" s="24">
        <f t="shared" si="12"/>
        <v>871.632835275196</v>
      </c>
      <c r="N52" s="61">
        <f t="shared" si="13"/>
        <v>204.46960704978244</v>
      </c>
      <c r="R52" s="40">
        <v>1267.9</v>
      </c>
      <c r="S52" s="40">
        <f t="shared" si="14"/>
        <v>50.232347976969784</v>
      </c>
      <c r="T52" s="40">
        <f t="shared" si="15"/>
        <v>0.05461260872056155</v>
      </c>
      <c r="U52" s="40"/>
    </row>
    <row r="53" spans="2:21" ht="24.75" customHeight="1">
      <c r="B53">
        <v>3</v>
      </c>
      <c r="C53" s="52" t="s">
        <v>14</v>
      </c>
      <c r="D53" s="25">
        <v>300</v>
      </c>
      <c r="E53" s="25">
        <v>520</v>
      </c>
      <c r="F53" s="25" t="s">
        <v>40</v>
      </c>
      <c r="G53" s="135">
        <v>3</v>
      </c>
      <c r="H53" s="37">
        <v>28041.184</v>
      </c>
      <c r="I53" s="156">
        <f t="shared" si="9"/>
        <v>104986192.896</v>
      </c>
      <c r="J53" s="24">
        <f t="shared" si="10"/>
        <v>5747.943766548043</v>
      </c>
      <c r="K53" s="165">
        <f t="shared" si="11"/>
        <v>685.2884653785901</v>
      </c>
      <c r="L53" s="156"/>
      <c r="M53" s="24">
        <f t="shared" si="12"/>
        <v>383.7615406120105</v>
      </c>
      <c r="N53" s="61">
        <f t="shared" si="13"/>
        <v>90.02365243042132</v>
      </c>
      <c r="R53" s="40">
        <v>1267.9</v>
      </c>
      <c r="S53" s="40">
        <f t="shared" si="14"/>
        <v>22.116242605883745</v>
      </c>
      <c r="T53" s="40">
        <f t="shared" si="15"/>
        <v>0.024044778961116807</v>
      </c>
      <c r="U53" s="40"/>
    </row>
    <row r="54" spans="2:21" ht="24.75" customHeight="1">
      <c r="B54">
        <v>4</v>
      </c>
      <c r="C54" s="52" t="s">
        <v>15</v>
      </c>
      <c r="D54" s="25">
        <v>300</v>
      </c>
      <c r="E54" s="25">
        <v>520</v>
      </c>
      <c r="F54" s="25" t="s">
        <v>29</v>
      </c>
      <c r="G54" s="135">
        <v>3</v>
      </c>
      <c r="H54" s="37">
        <v>19453.558</v>
      </c>
      <c r="I54" s="156">
        <f t="shared" si="9"/>
        <v>72834121.152</v>
      </c>
      <c r="J54" s="24">
        <f t="shared" si="10"/>
        <v>3987.6332412811385</v>
      </c>
      <c r="K54" s="165">
        <f t="shared" si="11"/>
        <v>475.41854537859007</v>
      </c>
      <c r="L54" s="156"/>
      <c r="M54" s="24">
        <f t="shared" si="12"/>
        <v>266.23438541201045</v>
      </c>
      <c r="N54" s="61">
        <f t="shared" si="13"/>
        <v>62.453865854132346</v>
      </c>
      <c r="R54" s="40">
        <v>1267.9</v>
      </c>
      <c r="S54" s="40">
        <f t="shared" si="14"/>
        <v>15.343132739175013</v>
      </c>
      <c r="T54" s="40">
        <f t="shared" si="15"/>
        <v>0.016681053914031074</v>
      </c>
      <c r="U54" s="40"/>
    </row>
    <row r="55" spans="2:21" ht="24.75" customHeight="1">
      <c r="B55">
        <v>5</v>
      </c>
      <c r="C55" s="52" t="s">
        <v>17</v>
      </c>
      <c r="D55" s="25">
        <v>300</v>
      </c>
      <c r="E55" s="25">
        <v>520</v>
      </c>
      <c r="F55" s="25" t="s">
        <v>41</v>
      </c>
      <c r="G55" s="135">
        <v>6</v>
      </c>
      <c r="H55" s="37">
        <v>108169.426</v>
      </c>
      <c r="I55" s="156">
        <f t="shared" si="9"/>
        <v>404986330.94400007</v>
      </c>
      <c r="J55" s="24">
        <f t="shared" si="10"/>
        <v>22172.80760711744</v>
      </c>
      <c r="K55" s="165">
        <f t="shared" si="11"/>
        <v>2643.5139095561362</v>
      </c>
      <c r="L55" s="156"/>
      <c r="M55" s="24">
        <f t="shared" si="12"/>
        <v>1480.3677893514364</v>
      </c>
      <c r="N55" s="61">
        <f t="shared" si="13"/>
        <v>347.26803296972696</v>
      </c>
      <c r="R55" s="40">
        <v>1267.9</v>
      </c>
      <c r="S55" s="40">
        <f t="shared" si="14"/>
        <v>85.31384651786418</v>
      </c>
      <c r="T55" s="40">
        <f t="shared" si="15"/>
        <v>0.09275321393422194</v>
      </c>
      <c r="U55" s="40"/>
    </row>
    <row r="56" spans="2:21" ht="24.75" customHeight="1">
      <c r="B56">
        <v>6</v>
      </c>
      <c r="C56" s="52" t="s">
        <v>18</v>
      </c>
      <c r="D56" s="25">
        <v>300</v>
      </c>
      <c r="E56" s="25">
        <v>520</v>
      </c>
      <c r="F56" s="25" t="s">
        <v>29</v>
      </c>
      <c r="G56" s="135">
        <v>10</v>
      </c>
      <c r="H56" s="37">
        <v>79961.236</v>
      </c>
      <c r="I56" s="156">
        <f t="shared" si="9"/>
        <v>299374867.584</v>
      </c>
      <c r="J56" s="24">
        <f t="shared" si="10"/>
        <v>16390.630582206406</v>
      </c>
      <c r="K56" s="165">
        <f t="shared" si="11"/>
        <v>1954.1440442819842</v>
      </c>
      <c r="L56" s="156"/>
      <c r="M56" s="24">
        <f t="shared" si="12"/>
        <v>1094.3206647979111</v>
      </c>
      <c r="N56" s="61">
        <f t="shared" si="13"/>
        <v>256.7082230754198</v>
      </c>
      <c r="R56" s="40">
        <v>1267.9</v>
      </c>
      <c r="S56" s="40">
        <f t="shared" si="14"/>
        <v>63.06588532218629</v>
      </c>
      <c r="T56" s="40">
        <f t="shared" si="15"/>
        <v>0.06856523052228093</v>
      </c>
      <c r="U56" s="40"/>
    </row>
    <row r="57" spans="2:21" ht="24.75" customHeight="1">
      <c r="B57">
        <v>7</v>
      </c>
      <c r="C57" s="52" t="s">
        <v>19</v>
      </c>
      <c r="D57" s="25">
        <v>300</v>
      </c>
      <c r="E57" s="25">
        <v>520</v>
      </c>
      <c r="F57" s="145" t="s">
        <v>40</v>
      </c>
      <c r="G57" s="135">
        <v>20</v>
      </c>
      <c r="H57" s="37">
        <v>244898.225</v>
      </c>
      <c r="I57" s="156">
        <f t="shared" si="9"/>
        <v>916898954.4000001</v>
      </c>
      <c r="J57" s="24">
        <f t="shared" si="10"/>
        <v>50199.77850533809</v>
      </c>
      <c r="K57" s="165">
        <f t="shared" si="11"/>
        <v>5984.980120104439</v>
      </c>
      <c r="L57" s="156"/>
      <c r="M57" s="24">
        <f t="shared" si="12"/>
        <v>3351.5888672584865</v>
      </c>
      <c r="N57" s="61">
        <f t="shared" si="13"/>
        <v>786.2233166840286</v>
      </c>
      <c r="R57" s="40">
        <v>1267.9</v>
      </c>
      <c r="S57" s="40">
        <f t="shared" si="14"/>
        <v>193.15263427715118</v>
      </c>
      <c r="T57" s="40">
        <f t="shared" si="15"/>
        <v>0.20999554398611875</v>
      </c>
      <c r="U57" s="40"/>
    </row>
    <row r="58" spans="2:21" ht="24.75" customHeight="1">
      <c r="B58">
        <v>8</v>
      </c>
      <c r="C58" s="52" t="s">
        <v>21</v>
      </c>
      <c r="D58" s="25">
        <v>300</v>
      </c>
      <c r="E58" s="25">
        <v>520</v>
      </c>
      <c r="F58" s="25" t="s">
        <v>29</v>
      </c>
      <c r="G58" s="135">
        <v>2</v>
      </c>
      <c r="H58" s="37">
        <v>7584.57</v>
      </c>
      <c r="I58" s="156">
        <f t="shared" si="9"/>
        <v>28396630.08</v>
      </c>
      <c r="J58" s="24">
        <f t="shared" si="10"/>
        <v>1554.701893238434</v>
      </c>
      <c r="K58" s="165">
        <f t="shared" si="11"/>
        <v>185.35659321148825</v>
      </c>
      <c r="L58" s="156"/>
      <c r="M58" s="24">
        <f t="shared" si="12"/>
        <v>103.79969219843343</v>
      </c>
      <c r="N58" s="61">
        <f t="shared" si="13"/>
        <v>24.349567176414542</v>
      </c>
      <c r="R58" s="40">
        <v>1267.9</v>
      </c>
      <c r="S58" s="40">
        <f t="shared" si="14"/>
        <v>5.981993848095275</v>
      </c>
      <c r="T58" s="40">
        <f t="shared" si="15"/>
        <v>0.006503623711649183</v>
      </c>
      <c r="U58" s="40"/>
    </row>
    <row r="59" spans="2:21" ht="24.75" customHeight="1">
      <c r="B59">
        <v>9</v>
      </c>
      <c r="C59" s="52" t="s">
        <v>22</v>
      </c>
      <c r="D59" s="25">
        <v>300</v>
      </c>
      <c r="E59" s="25">
        <v>520</v>
      </c>
      <c r="F59" s="25" t="s">
        <v>40</v>
      </c>
      <c r="G59" s="135">
        <v>3</v>
      </c>
      <c r="H59" s="37">
        <v>10624.524</v>
      </c>
      <c r="I59" s="156">
        <f t="shared" si="9"/>
        <v>39778217.856</v>
      </c>
      <c r="J59" s="24">
        <f t="shared" si="10"/>
        <v>2177.838371530249</v>
      </c>
      <c r="K59" s="165">
        <f t="shared" si="11"/>
        <v>259.648941618799</v>
      </c>
      <c r="L59" s="156"/>
      <c r="M59" s="24">
        <f t="shared" si="12"/>
        <v>145.40340730652744</v>
      </c>
      <c r="N59" s="61">
        <f t="shared" si="13"/>
        <v>34.1090610087887</v>
      </c>
      <c r="R59" s="40">
        <v>1267.9</v>
      </c>
      <c r="S59" s="40">
        <f t="shared" si="14"/>
        <v>8.3796229986592</v>
      </c>
      <c r="T59" s="40">
        <f t="shared" si="15"/>
        <v>0.009110326124142282</v>
      </c>
      <c r="U59" s="40"/>
    </row>
    <row r="60" spans="2:21" ht="24.75" customHeight="1">
      <c r="B60">
        <v>1</v>
      </c>
      <c r="C60" s="52" t="s">
        <v>23</v>
      </c>
      <c r="D60" s="25">
        <v>300</v>
      </c>
      <c r="E60" s="25">
        <v>520</v>
      </c>
      <c r="F60" s="25" t="s">
        <v>35</v>
      </c>
      <c r="G60" s="135">
        <v>10</v>
      </c>
      <c r="H60" s="37">
        <v>57734.147</v>
      </c>
      <c r="I60" s="156">
        <f t="shared" si="9"/>
        <v>216156646.368</v>
      </c>
      <c r="J60" s="24">
        <f t="shared" si="10"/>
        <v>11834.472837010677</v>
      </c>
      <c r="K60" s="165">
        <f t="shared" si="11"/>
        <v>1410.9441668929503</v>
      </c>
      <c r="L60" s="156"/>
      <c r="M60" s="24">
        <f t="shared" si="12"/>
        <v>790.1287334600522</v>
      </c>
      <c r="N60" s="61">
        <f t="shared" si="13"/>
        <v>185.35019002388952</v>
      </c>
      <c r="R60" s="40">
        <v>1267.9</v>
      </c>
      <c r="S60" s="40">
        <f t="shared" si="14"/>
        <v>45.535252780187705</v>
      </c>
      <c r="T60" s="40">
        <f t="shared" si="15"/>
        <v>0.04950592682262007</v>
      </c>
      <c r="U60" s="40"/>
    </row>
    <row r="61" spans="2:21" ht="24.75" customHeight="1">
      <c r="B61">
        <v>11</v>
      </c>
      <c r="C61" s="52" t="s">
        <v>13</v>
      </c>
      <c r="D61" s="26">
        <v>200</v>
      </c>
      <c r="E61" s="26">
        <v>460</v>
      </c>
      <c r="F61" s="25" t="s">
        <v>35</v>
      </c>
      <c r="G61" s="149">
        <v>2</v>
      </c>
      <c r="H61" s="37">
        <v>35403.372</v>
      </c>
      <c r="I61" s="156">
        <f t="shared" si="9"/>
        <v>132550224.768</v>
      </c>
      <c r="J61" s="21">
        <f t="shared" si="10"/>
        <v>7257.061306761566</v>
      </c>
      <c r="K61" s="165">
        <f t="shared" si="11"/>
        <v>865.2103444386423</v>
      </c>
      <c r="L61" s="156"/>
      <c r="M61" s="24">
        <f t="shared" si="12"/>
        <v>484.5177928856397</v>
      </c>
      <c r="N61" s="61">
        <f t="shared" si="13"/>
        <v>115.79638759965417</v>
      </c>
      <c r="R61" s="40">
        <v>1244.5</v>
      </c>
      <c r="S61" s="40">
        <f t="shared" si="14"/>
        <v>28.447868220168743</v>
      </c>
      <c r="T61" s="40">
        <f t="shared" si="15"/>
        <v>0.030928522328967457</v>
      </c>
      <c r="U61" s="40"/>
    </row>
    <row r="62" spans="2:21" ht="24.75" customHeight="1">
      <c r="B62">
        <v>12</v>
      </c>
      <c r="C62" s="54" t="s">
        <v>10</v>
      </c>
      <c r="D62" s="27">
        <v>20</v>
      </c>
      <c r="E62" s="25">
        <v>266</v>
      </c>
      <c r="F62" s="25" t="s">
        <v>40</v>
      </c>
      <c r="G62" s="149">
        <v>5</v>
      </c>
      <c r="H62" s="37">
        <v>14560.548</v>
      </c>
      <c r="I62" s="156">
        <f t="shared" si="9"/>
        <v>54514691.712</v>
      </c>
      <c r="J62" s="23">
        <f t="shared" si="10"/>
        <v>2984.6532555160143</v>
      </c>
      <c r="K62" s="165">
        <f t="shared" si="11"/>
        <v>355.840024229765</v>
      </c>
      <c r="L62" s="156"/>
      <c r="M62" s="24">
        <f t="shared" si="12"/>
        <v>199.2704135686684</v>
      </c>
      <c r="N62" s="61">
        <f t="shared" si="13"/>
        <v>50.78260031641368</v>
      </c>
      <c r="R62" s="131">
        <v>1167.1</v>
      </c>
      <c r="S62" s="40">
        <f t="shared" si="14"/>
        <v>12.475835832405108</v>
      </c>
      <c r="T62" s="40">
        <f t="shared" si="15"/>
        <v>0.013563728716990834</v>
      </c>
      <c r="U62" s="40"/>
    </row>
    <row r="63" spans="2:21" ht="24.75" customHeight="1">
      <c r="B63">
        <v>13</v>
      </c>
      <c r="C63" s="54" t="s">
        <v>12</v>
      </c>
      <c r="D63" s="27">
        <v>20</v>
      </c>
      <c r="E63" s="25">
        <v>266</v>
      </c>
      <c r="F63" s="25" t="s">
        <v>41</v>
      </c>
      <c r="G63" s="149">
        <v>2</v>
      </c>
      <c r="H63" s="37">
        <v>6949.865</v>
      </c>
      <c r="I63" s="156">
        <f t="shared" si="9"/>
        <v>26020294.560000002</v>
      </c>
      <c r="J63" s="23">
        <f t="shared" si="10"/>
        <v>1424.5986619217083</v>
      </c>
      <c r="K63" s="165">
        <f t="shared" si="11"/>
        <v>169.84526475195824</v>
      </c>
      <c r="L63" s="156"/>
      <c r="M63" s="24">
        <f t="shared" si="12"/>
        <v>95.11334826109662</v>
      </c>
      <c r="N63" s="61">
        <f t="shared" si="13"/>
        <v>24.23893774794962</v>
      </c>
      <c r="R63" s="131">
        <v>1167.1</v>
      </c>
      <c r="S63" s="40">
        <f t="shared" si="14"/>
        <v>5.954815354296976</v>
      </c>
      <c r="T63" s="40">
        <f t="shared" si="15"/>
        <v>0.006474075253191672</v>
      </c>
      <c r="U63" s="40"/>
    </row>
    <row r="64" spans="2:21" ht="24.75" customHeight="1">
      <c r="B64">
        <v>14</v>
      </c>
      <c r="C64" s="162" t="s">
        <v>16</v>
      </c>
      <c r="D64" s="27">
        <v>20</v>
      </c>
      <c r="E64" s="25">
        <v>266</v>
      </c>
      <c r="F64" s="25" t="s">
        <v>44</v>
      </c>
      <c r="G64" s="150">
        <v>1.5</v>
      </c>
      <c r="H64" s="37">
        <v>23412.112</v>
      </c>
      <c r="I64" s="156">
        <f t="shared" si="9"/>
        <v>87654947.32800001</v>
      </c>
      <c r="J64" s="23">
        <f t="shared" si="10"/>
        <v>4799.066374377225</v>
      </c>
      <c r="K64" s="165">
        <f t="shared" si="11"/>
        <v>572.1602306005223</v>
      </c>
      <c r="L64" s="156"/>
      <c r="M64" s="24">
        <f t="shared" si="12"/>
        <v>320.40972913629247</v>
      </c>
      <c r="N64" s="61">
        <f t="shared" si="13"/>
        <v>81.65406454888323</v>
      </c>
      <c r="R64" s="131">
        <v>1167.1</v>
      </c>
      <c r="S64" s="40">
        <f t="shared" si="14"/>
        <v>20.06007368691629</v>
      </c>
      <c r="T64" s="40">
        <f t="shared" si="15"/>
        <v>0.02180931211241539</v>
      </c>
      <c r="U64" s="40"/>
    </row>
    <row r="65" spans="2:21" ht="24.75" customHeight="1">
      <c r="B65">
        <v>15</v>
      </c>
      <c r="C65" s="54" t="s">
        <v>20</v>
      </c>
      <c r="D65" s="27">
        <v>20</v>
      </c>
      <c r="E65" s="25">
        <v>266</v>
      </c>
      <c r="F65" s="25" t="s">
        <v>50</v>
      </c>
      <c r="G65" s="149">
        <v>50</v>
      </c>
      <c r="H65" s="37">
        <v>532567.935</v>
      </c>
      <c r="I65" s="156">
        <f t="shared" si="9"/>
        <v>1993934348.64</v>
      </c>
      <c r="J65" s="23">
        <f t="shared" si="10"/>
        <v>109166.9503772242</v>
      </c>
      <c r="K65" s="165">
        <f t="shared" si="11"/>
        <v>13015.237262663186</v>
      </c>
      <c r="L65" s="156"/>
      <c r="M65" s="24">
        <f t="shared" si="12"/>
        <v>7288.532867091385</v>
      </c>
      <c r="N65" s="61">
        <f t="shared" si="13"/>
        <v>1857.4290325091322</v>
      </c>
      <c r="R65" s="131">
        <v>1167.1</v>
      </c>
      <c r="S65" s="40">
        <f t="shared" si="14"/>
        <v>456.31731214120475</v>
      </c>
      <c r="T65" s="40">
        <f t="shared" si="15"/>
        <v>0.4961081817599178</v>
      </c>
      <c r="U65" s="40"/>
    </row>
    <row r="66" spans="2:21" ht="24.75" customHeight="1" thickBot="1">
      <c r="B66">
        <v>16</v>
      </c>
      <c r="C66" s="55" t="s">
        <v>24</v>
      </c>
      <c r="D66" s="56">
        <v>20</v>
      </c>
      <c r="E66" s="151">
        <v>266</v>
      </c>
      <c r="F66" s="151" t="s">
        <v>35</v>
      </c>
      <c r="G66" s="152">
        <v>10</v>
      </c>
      <c r="H66" s="236">
        <v>64126.067</v>
      </c>
      <c r="I66" s="164">
        <f t="shared" si="9"/>
        <v>240087994.848</v>
      </c>
      <c r="J66" s="167">
        <f t="shared" si="10"/>
        <v>13144.702701779359</v>
      </c>
      <c r="K66" s="237">
        <f t="shared" si="11"/>
        <v>1567.1540133681463</v>
      </c>
      <c r="L66" s="164"/>
      <c r="M66" s="24">
        <f t="shared" si="12"/>
        <v>877.606247486162</v>
      </c>
      <c r="N66" s="61">
        <f t="shared" si="13"/>
        <v>223.65150201246306</v>
      </c>
      <c r="R66" s="131">
        <v>1167.1</v>
      </c>
      <c r="S66" s="40">
        <f t="shared" si="14"/>
        <v>54.94479222003257</v>
      </c>
      <c r="T66" s="40">
        <f t="shared" si="15"/>
        <v>0.05973597810161941</v>
      </c>
      <c r="U66" s="40"/>
    </row>
    <row r="67" spans="3:19" ht="24.75" customHeight="1" thickBot="1">
      <c r="C67" s="19"/>
      <c r="D67" s="19"/>
      <c r="E67" s="19"/>
      <c r="F67" s="274" t="s">
        <v>130</v>
      </c>
      <c r="G67" s="275"/>
      <c r="H67" s="238">
        <f>SUM(H51:H66)</f>
        <v>1484770.391</v>
      </c>
      <c r="I67" s="238">
        <f>SUM(I51:I66)</f>
        <v>5558980343.903999</v>
      </c>
      <c r="J67" s="238">
        <f>SUM(J51:J66)</f>
        <v>304351.510753025</v>
      </c>
      <c r="K67" s="239">
        <f>SUM(K51:K66)</f>
        <v>36285.77247979112</v>
      </c>
      <c r="L67" s="133"/>
      <c r="M67" s="48">
        <f>SUM(M51:M66)</f>
        <v>20320.032588683032</v>
      </c>
      <c r="N67" s="44">
        <f>SUM(N51:N66)</f>
        <v>4946.761482755306</v>
      </c>
      <c r="S67" s="22">
        <f>SUM(S51:S66)</f>
        <v>1215.2781420484466</v>
      </c>
    </row>
    <row r="68" spans="11:12" ht="12.75">
      <c r="K68" s="22"/>
      <c r="L68" s="22"/>
    </row>
  </sheetData>
  <mergeCells count="9">
    <mergeCell ref="C49:C50"/>
    <mergeCell ref="J49:K49"/>
    <mergeCell ref="I49:I50"/>
    <mergeCell ref="H49:H50"/>
    <mergeCell ref="G49:G50"/>
    <mergeCell ref="F67:G67"/>
    <mergeCell ref="F49:F50"/>
    <mergeCell ref="E49:E50"/>
    <mergeCell ref="D49:D50"/>
  </mergeCells>
  <printOptions horizontalCentered="1" verticalCentered="1"/>
  <pageMargins left="1.5748031496062993" right="1.5748031496062993" top="1.5748031496062993" bottom="0.9448818897637796" header="0" footer="0"/>
  <pageSetup horizontalDpi="600" verticalDpi="600" orientation="landscape" paperSize="9" scale="65" r:id="rId1"/>
  <headerFooter alignWithMargins="0">
    <oddFooter>&amp;LCompañía Azucarera Valdez&amp;R80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68"/>
  <sheetViews>
    <sheetView zoomScale="85" zoomScaleNormal="85" workbookViewId="0" topLeftCell="E48">
      <selection activeCell="K49" sqref="K49"/>
    </sheetView>
  </sheetViews>
  <sheetFormatPr defaultColWidth="11.421875" defaultRowHeight="12.75"/>
  <cols>
    <col min="3" max="3" width="43.57421875" style="0" customWidth="1"/>
    <col min="4" max="4" width="9.421875" style="0" customWidth="1"/>
    <col min="5" max="6" width="12.7109375" style="0" customWidth="1"/>
    <col min="7" max="8" width="9.00390625" style="0" customWidth="1"/>
    <col min="9" max="9" width="0.13671875" style="0" hidden="1" customWidth="1"/>
    <col min="10" max="11" width="16.28125" style="0" customWidth="1"/>
    <col min="12" max="12" width="16.00390625" style="0" hidden="1" customWidth="1"/>
    <col min="13" max="13" width="13.57421875" style="0" customWidth="1"/>
    <col min="14" max="14" width="15.00390625" style="0" customWidth="1"/>
    <col min="15" max="15" width="13.00390625" style="0" customWidth="1"/>
    <col min="16" max="17" width="12.57421875" style="0" customWidth="1"/>
    <col min="18" max="18" width="24.421875" style="0" customWidth="1"/>
    <col min="19" max="19" width="26.8515625" style="0" customWidth="1"/>
    <col min="21" max="21" width="11.57421875" style="0" bestFit="1" customWidth="1"/>
    <col min="22" max="22" width="7.57421875" style="0" bestFit="1" customWidth="1"/>
    <col min="23" max="23" width="14.7109375" style="0" customWidth="1"/>
    <col min="24" max="24" width="8.57421875" style="0" customWidth="1"/>
    <col min="25" max="25" width="7.57421875" style="0" bestFit="1" customWidth="1"/>
    <col min="26" max="26" width="9.8515625" style="0" customWidth="1"/>
  </cols>
  <sheetData>
    <row r="1" spans="1:22" ht="12.75">
      <c r="A1">
        <v>0</v>
      </c>
      <c r="U1" s="33"/>
      <c r="V1" s="33"/>
    </row>
    <row r="2" spans="1:2" ht="12.75">
      <c r="A2" s="1"/>
      <c r="B2" s="1"/>
    </row>
    <row r="3" spans="1:23" ht="15.75">
      <c r="A3" s="1"/>
      <c r="B3" s="1"/>
      <c r="O3" s="34" t="s">
        <v>6</v>
      </c>
      <c r="P3" s="4"/>
      <c r="Q3" s="4"/>
      <c r="R3" s="10"/>
      <c r="S3" s="4"/>
      <c r="T3" s="11"/>
      <c r="U3" s="4"/>
      <c r="V3" s="4"/>
      <c r="W3" s="12"/>
    </row>
    <row r="4" spans="14:23" ht="15">
      <c r="N4" s="242"/>
      <c r="O4" s="242"/>
      <c r="P4" s="63"/>
      <c r="Q4" s="63"/>
      <c r="R4" s="243"/>
      <c r="S4" s="63"/>
      <c r="T4" s="63"/>
      <c r="U4" s="4"/>
      <c r="V4" s="4"/>
      <c r="W4" s="12"/>
    </row>
    <row r="5" spans="2:23" ht="15.75">
      <c r="B5" s="1"/>
      <c r="N5" s="2"/>
      <c r="O5" s="243"/>
      <c r="P5" s="63"/>
      <c r="Q5" s="63"/>
      <c r="R5" s="244"/>
      <c r="S5" s="242"/>
      <c r="T5" s="35"/>
      <c r="U5" s="63"/>
      <c r="V5" s="35"/>
      <c r="W5" s="12"/>
    </row>
    <row r="6" spans="1:23" ht="15.75">
      <c r="A6" s="1"/>
      <c r="B6" s="1"/>
      <c r="N6" s="245"/>
      <c r="O6" s="243"/>
      <c r="P6" s="63"/>
      <c r="Q6" s="63"/>
      <c r="R6" s="246"/>
      <c r="S6" s="242"/>
      <c r="T6" s="35"/>
      <c r="U6" s="64"/>
      <c r="V6" s="35"/>
      <c r="W6" s="12"/>
    </row>
    <row r="7" spans="1:23" ht="15.75">
      <c r="A7" s="2"/>
      <c r="B7" s="2"/>
      <c r="N7" s="2"/>
      <c r="O7" s="243"/>
      <c r="P7" s="63"/>
      <c r="Q7" s="63"/>
      <c r="R7" s="63"/>
      <c r="S7" s="242"/>
      <c r="T7" s="36"/>
      <c r="U7" s="63"/>
      <c r="V7" s="36"/>
      <c r="W7" s="12"/>
    </row>
    <row r="8" spans="1:23" ht="15">
      <c r="A8" s="2"/>
      <c r="B8" s="2"/>
      <c r="P8" s="2"/>
      <c r="Q8" s="2"/>
      <c r="R8" s="2"/>
      <c r="S8" s="9"/>
      <c r="T8" s="2"/>
      <c r="U8" s="2"/>
      <c r="V8" s="2"/>
      <c r="W8" s="12"/>
    </row>
    <row r="9" spans="4:23" ht="15.75">
      <c r="D9" s="20" t="s">
        <v>25</v>
      </c>
      <c r="E9" s="20"/>
      <c r="F9" s="20"/>
      <c r="G9" s="20"/>
      <c r="H9" s="20"/>
      <c r="I9" s="20"/>
      <c r="J9" s="20"/>
      <c r="K9" s="20"/>
      <c r="L9" s="20"/>
      <c r="M9" s="20"/>
      <c r="P9" s="18" t="s">
        <v>0</v>
      </c>
      <c r="Q9" s="18"/>
      <c r="R9" s="18"/>
      <c r="S9" s="132">
        <v>1.087</v>
      </c>
      <c r="T9" s="2"/>
      <c r="U9" s="2"/>
      <c r="V9" s="2"/>
      <c r="W9" s="12"/>
    </row>
    <row r="10" spans="4:22" ht="15.75">
      <c r="D10" s="2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P10" s="2"/>
      <c r="Q10" s="2"/>
      <c r="R10" s="2"/>
      <c r="S10" s="3"/>
      <c r="T10" s="2"/>
      <c r="U10" s="2"/>
      <c r="V10" s="2"/>
    </row>
    <row r="11" spans="4:22" ht="15.75">
      <c r="D11" s="20" t="s">
        <v>28</v>
      </c>
      <c r="E11" s="20"/>
      <c r="F11" s="20"/>
      <c r="G11" s="20"/>
      <c r="H11" s="20"/>
      <c r="I11" s="20"/>
      <c r="J11" s="20"/>
      <c r="K11" s="20"/>
      <c r="L11" s="20"/>
      <c r="M11" s="20"/>
      <c r="P11" s="2"/>
      <c r="Q11" s="2"/>
      <c r="R11" s="2"/>
      <c r="S11" s="3"/>
      <c r="T11" s="2"/>
      <c r="U11" s="2"/>
      <c r="V11" s="2"/>
    </row>
    <row r="12" spans="4:22" ht="15.75">
      <c r="D12" s="20" t="s">
        <v>27</v>
      </c>
      <c r="E12" s="20"/>
      <c r="F12" s="20"/>
      <c r="G12" s="20"/>
      <c r="H12" s="20"/>
      <c r="I12" s="20"/>
      <c r="J12" s="20"/>
      <c r="K12" s="20"/>
      <c r="L12" s="20"/>
      <c r="M12" s="20"/>
      <c r="P12" s="2"/>
      <c r="Q12" s="2"/>
      <c r="R12" s="2"/>
      <c r="S12" s="3"/>
      <c r="T12" s="2"/>
      <c r="U12" s="2"/>
      <c r="V12" s="2"/>
    </row>
    <row r="14" ht="13.5" thickBot="1">
      <c r="Y14" t="s">
        <v>63</v>
      </c>
    </row>
    <row r="15" spans="1:25" ht="369.75">
      <c r="A15" t="s">
        <v>34</v>
      </c>
      <c r="C15" s="49" t="s">
        <v>7</v>
      </c>
      <c r="D15" s="50" t="s">
        <v>8</v>
      </c>
      <c r="E15" s="50" t="s">
        <v>73</v>
      </c>
      <c r="F15" s="50"/>
      <c r="G15" s="50"/>
      <c r="H15" s="50"/>
      <c r="I15" s="50" t="s">
        <v>80</v>
      </c>
      <c r="J15" s="50" t="s">
        <v>81</v>
      </c>
      <c r="K15" s="50"/>
      <c r="L15" s="50"/>
      <c r="M15" s="50"/>
      <c r="N15" s="50" t="s">
        <v>77</v>
      </c>
      <c r="O15" s="50" t="s">
        <v>82</v>
      </c>
      <c r="P15" s="50" t="s">
        <v>76</v>
      </c>
      <c r="Q15" s="50"/>
      <c r="R15" s="50" t="s">
        <v>33</v>
      </c>
      <c r="S15" s="51" t="s">
        <v>32</v>
      </c>
      <c r="W15" t="s">
        <v>72</v>
      </c>
      <c r="X15" t="s">
        <v>30</v>
      </c>
      <c r="Y15" t="s">
        <v>31</v>
      </c>
    </row>
    <row r="16" spans="1:25" ht="30" customHeight="1">
      <c r="A16" s="65" t="s">
        <v>35</v>
      </c>
      <c r="B16">
        <v>1</v>
      </c>
      <c r="C16" s="52" t="s">
        <v>9</v>
      </c>
      <c r="D16" s="25">
        <v>300</v>
      </c>
      <c r="E16" s="25">
        <v>520</v>
      </c>
      <c r="F16" s="25"/>
      <c r="G16" s="25"/>
      <c r="H16" s="25"/>
      <c r="I16" s="24">
        <v>1</v>
      </c>
      <c r="J16" s="24">
        <f>U16/V16</f>
        <v>1875.9402799999998</v>
      </c>
      <c r="K16" s="24"/>
      <c r="L16" s="24"/>
      <c r="M16" s="24"/>
      <c r="N16" s="24">
        <f>J16*24*156</f>
        <v>7023520.408319999</v>
      </c>
      <c r="O16" s="24">
        <f>N16/18265</f>
        <v>384.53437767971525</v>
      </c>
      <c r="P16" s="24">
        <f>N16/153200</f>
        <v>45.84543347467363</v>
      </c>
      <c r="Q16" s="45"/>
      <c r="R16" s="45">
        <f>P16*0.56</f>
        <v>25.673442745817233</v>
      </c>
      <c r="S16" s="53">
        <f>Y16*3744</f>
        <v>6.022534417482059</v>
      </c>
      <c r="U16" s="29">
        <f>J51</f>
        <v>187594.028</v>
      </c>
      <c r="V16" s="30">
        <v>100</v>
      </c>
      <c r="W16" s="40">
        <v>1267.9</v>
      </c>
      <c r="X16" s="40">
        <f aca="true" t="shared" si="0" ref="X16:X31">J16/W16</f>
        <v>1.4795648552724976</v>
      </c>
      <c r="Y16" s="43">
        <f>X16*0.0010872</f>
        <v>0.0016085829106522594</v>
      </c>
    </row>
    <row r="17" spans="1:25" ht="30" customHeight="1">
      <c r="A17" s="65" t="s">
        <v>35</v>
      </c>
      <c r="B17">
        <v>2</v>
      </c>
      <c r="C17" s="52" t="s">
        <v>11</v>
      </c>
      <c r="D17" s="25">
        <v>300</v>
      </c>
      <c r="E17" s="25">
        <v>520</v>
      </c>
      <c r="F17" s="25"/>
      <c r="G17" s="25"/>
      <c r="H17" s="25"/>
      <c r="I17" s="24">
        <v>1</v>
      </c>
      <c r="J17" s="24">
        <f aca="true" t="shared" si="1" ref="J17:J31">U17/V17</f>
        <v>12737.9188</v>
      </c>
      <c r="K17" s="24"/>
      <c r="L17" s="24"/>
      <c r="M17" s="24"/>
      <c r="N17" s="24">
        <f aca="true" t="shared" si="2" ref="N17:N31">J17*24*156</f>
        <v>47690767.9872</v>
      </c>
      <c r="O17" s="24">
        <f aca="true" t="shared" si="3" ref="O17:O31">N17/18265</f>
        <v>2611.0467006405693</v>
      </c>
      <c r="P17" s="24">
        <f aca="true" t="shared" si="4" ref="P17:P31">N17/153200</f>
        <v>311.2974411697128</v>
      </c>
      <c r="Q17" s="45"/>
      <c r="R17" s="45">
        <f aca="true" t="shared" si="5" ref="R17:R31">P17*0.56</f>
        <v>174.32656705503916</v>
      </c>
      <c r="S17" s="53">
        <f aca="true" t="shared" si="6" ref="S17:S31">Y17*3744</f>
        <v>40.89392140995649</v>
      </c>
      <c r="U17" s="29">
        <f aca="true" t="shared" si="7" ref="U17:U31">J52</f>
        <v>63689.594</v>
      </c>
      <c r="V17" s="31">
        <v>5</v>
      </c>
      <c r="W17" s="40">
        <v>1267.9</v>
      </c>
      <c r="X17" s="40">
        <f t="shared" si="0"/>
        <v>10.046469595393958</v>
      </c>
      <c r="Y17" s="43">
        <f aca="true" t="shared" si="8" ref="Y17:Y31">X17*0.0010872</f>
        <v>0.010922521744112311</v>
      </c>
    </row>
    <row r="18" spans="1:25" ht="30" customHeight="1">
      <c r="A18" s="65" t="s">
        <v>40</v>
      </c>
      <c r="B18">
        <v>3</v>
      </c>
      <c r="C18" s="52" t="s">
        <v>36</v>
      </c>
      <c r="D18" s="25">
        <v>300</v>
      </c>
      <c r="E18" s="25">
        <v>520</v>
      </c>
      <c r="F18" s="25"/>
      <c r="G18" s="25"/>
      <c r="H18" s="25"/>
      <c r="I18" s="24">
        <v>1</v>
      </c>
      <c r="J18" s="24">
        <f t="shared" si="1"/>
        <v>9347.061333333333</v>
      </c>
      <c r="K18" s="24"/>
      <c r="L18" s="24"/>
      <c r="M18" s="24"/>
      <c r="N18" s="24">
        <f t="shared" si="2"/>
        <v>34995397.632</v>
      </c>
      <c r="O18" s="24">
        <f t="shared" si="3"/>
        <v>1915.9812555160142</v>
      </c>
      <c r="P18" s="24">
        <f t="shared" si="4"/>
        <v>228.42948845953003</v>
      </c>
      <c r="Q18" s="45"/>
      <c r="R18" s="45">
        <f t="shared" si="5"/>
        <v>127.92051353733683</v>
      </c>
      <c r="S18" s="53">
        <f t="shared" si="6"/>
        <v>30.007884143473767</v>
      </c>
      <c r="U18" s="29">
        <f t="shared" si="7"/>
        <v>28041.184</v>
      </c>
      <c r="V18" s="31">
        <v>3</v>
      </c>
      <c r="W18" s="40">
        <v>1267.9</v>
      </c>
      <c r="X18" s="40">
        <f t="shared" si="0"/>
        <v>7.372080868627914</v>
      </c>
      <c r="Y18" s="43">
        <f t="shared" si="8"/>
        <v>0.008014926320372267</v>
      </c>
    </row>
    <row r="19" spans="1:25" ht="30" customHeight="1">
      <c r="A19" s="65" t="s">
        <v>29</v>
      </c>
      <c r="B19">
        <v>4</v>
      </c>
      <c r="C19" s="52" t="s">
        <v>37</v>
      </c>
      <c r="D19" s="25">
        <v>300</v>
      </c>
      <c r="E19" s="25">
        <v>520</v>
      </c>
      <c r="F19" s="25"/>
      <c r="G19" s="25"/>
      <c r="H19" s="25"/>
      <c r="I19" s="24">
        <v>1</v>
      </c>
      <c r="J19" s="24">
        <f t="shared" si="1"/>
        <v>6484.519333333334</v>
      </c>
      <c r="K19" s="24"/>
      <c r="L19" s="24"/>
      <c r="M19" s="24"/>
      <c r="N19" s="24">
        <f t="shared" si="2"/>
        <v>24278040.384</v>
      </c>
      <c r="O19" s="24">
        <f t="shared" si="3"/>
        <v>1329.2110804270462</v>
      </c>
      <c r="P19" s="24">
        <f t="shared" si="4"/>
        <v>158.47284845953</v>
      </c>
      <c r="Q19" s="45"/>
      <c r="R19" s="45">
        <f t="shared" si="5"/>
        <v>88.74479513733682</v>
      </c>
      <c r="S19" s="53">
        <f t="shared" si="6"/>
        <v>20.81795528471078</v>
      </c>
      <c r="U19" s="29">
        <f t="shared" si="7"/>
        <v>19453.558</v>
      </c>
      <c r="V19" s="31">
        <v>3</v>
      </c>
      <c r="W19" s="40">
        <v>1267.9</v>
      </c>
      <c r="X19" s="40">
        <f t="shared" si="0"/>
        <v>5.114377579725004</v>
      </c>
      <c r="Y19" s="43">
        <f t="shared" si="8"/>
        <v>0.005560351304677025</v>
      </c>
    </row>
    <row r="20" spans="1:25" ht="30" customHeight="1">
      <c r="A20" s="65" t="s">
        <v>41</v>
      </c>
      <c r="B20">
        <v>5</v>
      </c>
      <c r="C20" s="52" t="s">
        <v>17</v>
      </c>
      <c r="D20" s="25">
        <v>300</v>
      </c>
      <c r="E20" s="25">
        <v>520</v>
      </c>
      <c r="F20" s="25"/>
      <c r="G20" s="25"/>
      <c r="H20" s="25"/>
      <c r="I20" s="24">
        <v>1</v>
      </c>
      <c r="J20" s="24">
        <f t="shared" si="1"/>
        <v>18028.237666666668</v>
      </c>
      <c r="K20" s="24"/>
      <c r="L20" s="24"/>
      <c r="M20" s="24"/>
      <c r="N20" s="24">
        <f t="shared" si="2"/>
        <v>67497721.824</v>
      </c>
      <c r="O20" s="24">
        <f t="shared" si="3"/>
        <v>3695.467934519573</v>
      </c>
      <c r="P20" s="24">
        <f t="shared" si="4"/>
        <v>440.5856515926893</v>
      </c>
      <c r="Q20" s="45"/>
      <c r="R20" s="45">
        <f t="shared" si="5"/>
        <v>246.72796489190605</v>
      </c>
      <c r="S20" s="53">
        <f t="shared" si="6"/>
        <v>57.87800549495449</v>
      </c>
      <c r="U20" s="29">
        <f t="shared" si="7"/>
        <v>108169.426</v>
      </c>
      <c r="V20" s="31">
        <v>6</v>
      </c>
      <c r="W20" s="40">
        <v>1267.9</v>
      </c>
      <c r="X20" s="40">
        <f t="shared" si="0"/>
        <v>14.21897441964403</v>
      </c>
      <c r="Y20" s="43">
        <f t="shared" si="8"/>
        <v>0.01545886898903699</v>
      </c>
    </row>
    <row r="21" spans="1:25" ht="30" customHeight="1">
      <c r="A21" s="65" t="s">
        <v>35</v>
      </c>
      <c r="B21">
        <v>6</v>
      </c>
      <c r="C21" s="52" t="s">
        <v>18</v>
      </c>
      <c r="D21" s="25">
        <v>300</v>
      </c>
      <c r="E21" s="25">
        <v>520</v>
      </c>
      <c r="F21" s="25"/>
      <c r="G21" s="25"/>
      <c r="H21" s="25"/>
      <c r="I21" s="24">
        <v>1</v>
      </c>
      <c r="J21" s="24">
        <f t="shared" si="1"/>
        <v>7996.123600000001</v>
      </c>
      <c r="K21" s="24"/>
      <c r="L21" s="24"/>
      <c r="M21" s="24"/>
      <c r="N21" s="24">
        <f t="shared" si="2"/>
        <v>29937486.758400004</v>
      </c>
      <c r="O21" s="24">
        <f t="shared" si="3"/>
        <v>1639.0630582206409</v>
      </c>
      <c r="P21" s="24">
        <f t="shared" si="4"/>
        <v>195.41440442819845</v>
      </c>
      <c r="Q21" s="45"/>
      <c r="R21" s="45">
        <f t="shared" si="5"/>
        <v>109.43206647979115</v>
      </c>
      <c r="S21" s="53">
        <f t="shared" si="6"/>
        <v>25.670822307541982</v>
      </c>
      <c r="U21" s="29">
        <f t="shared" si="7"/>
        <v>79961.236</v>
      </c>
      <c r="V21" s="31">
        <v>10</v>
      </c>
      <c r="W21" s="40">
        <v>1267.9</v>
      </c>
      <c r="X21" s="40">
        <f t="shared" si="0"/>
        <v>6.30658853221863</v>
      </c>
      <c r="Y21" s="43">
        <f t="shared" si="8"/>
        <v>0.006856523052228094</v>
      </c>
    </row>
    <row r="22" spans="1:25" ht="30" customHeight="1">
      <c r="A22" s="65" t="s">
        <v>43</v>
      </c>
      <c r="B22">
        <v>7</v>
      </c>
      <c r="C22" s="52" t="s">
        <v>42</v>
      </c>
      <c r="D22" s="25">
        <v>300</v>
      </c>
      <c r="E22" s="25">
        <v>520</v>
      </c>
      <c r="F22" s="25"/>
      <c r="G22" s="25"/>
      <c r="H22" s="25"/>
      <c r="I22" s="24">
        <v>1</v>
      </c>
      <c r="J22" s="24">
        <f t="shared" si="1"/>
        <v>12244.911250000001</v>
      </c>
      <c r="K22" s="24"/>
      <c r="L22" s="24"/>
      <c r="M22" s="24"/>
      <c r="N22" s="24">
        <f t="shared" si="2"/>
        <v>45844947.72</v>
      </c>
      <c r="O22" s="24">
        <f t="shared" si="3"/>
        <v>2509.988925266904</v>
      </c>
      <c r="P22" s="24">
        <f t="shared" si="4"/>
        <v>299.24900600522193</v>
      </c>
      <c r="Q22" s="45"/>
      <c r="R22" s="45">
        <f t="shared" si="5"/>
        <v>167.5794433629243</v>
      </c>
      <c r="S22" s="53">
        <f t="shared" si="6"/>
        <v>39.31116583420143</v>
      </c>
      <c r="U22" s="29">
        <f t="shared" si="7"/>
        <v>244898.225</v>
      </c>
      <c r="V22" s="31">
        <v>20</v>
      </c>
      <c r="W22" s="40">
        <v>1267.9</v>
      </c>
      <c r="X22" s="40">
        <f t="shared" si="0"/>
        <v>9.65763171385756</v>
      </c>
      <c r="Y22" s="43">
        <f t="shared" si="8"/>
        <v>0.010499777199305938</v>
      </c>
    </row>
    <row r="23" spans="1:25" ht="30" customHeight="1">
      <c r="A23" s="65" t="s">
        <v>43</v>
      </c>
      <c r="B23">
        <v>8</v>
      </c>
      <c r="C23" s="52" t="s">
        <v>21</v>
      </c>
      <c r="D23" s="25">
        <v>300</v>
      </c>
      <c r="E23" s="25">
        <v>520</v>
      </c>
      <c r="F23" s="25"/>
      <c r="G23" s="25"/>
      <c r="H23" s="25"/>
      <c r="I23" s="24">
        <v>1</v>
      </c>
      <c r="J23" s="24">
        <f t="shared" si="1"/>
        <v>3792.285</v>
      </c>
      <c r="K23" s="24"/>
      <c r="L23" s="24"/>
      <c r="M23" s="24"/>
      <c r="N23" s="24">
        <f t="shared" si="2"/>
        <v>14198315.04</v>
      </c>
      <c r="O23" s="24">
        <f t="shared" si="3"/>
        <v>777.350946619217</v>
      </c>
      <c r="P23" s="24">
        <f t="shared" si="4"/>
        <v>92.67829660574412</v>
      </c>
      <c r="Q23" s="45"/>
      <c r="R23" s="45">
        <f t="shared" si="5"/>
        <v>51.89984609921672</v>
      </c>
      <c r="S23" s="53">
        <f t="shared" si="6"/>
        <v>12.174783588207271</v>
      </c>
      <c r="U23" s="29">
        <f t="shared" si="7"/>
        <v>7584.57</v>
      </c>
      <c r="V23" s="31">
        <v>2</v>
      </c>
      <c r="W23" s="40">
        <v>1267.9</v>
      </c>
      <c r="X23" s="40">
        <f t="shared" si="0"/>
        <v>2.9909969240476375</v>
      </c>
      <c r="Y23" s="43">
        <f t="shared" si="8"/>
        <v>0.0032518118558245916</v>
      </c>
    </row>
    <row r="24" spans="1:25" ht="30" customHeight="1">
      <c r="A24" s="65" t="s">
        <v>40</v>
      </c>
      <c r="B24">
        <v>9</v>
      </c>
      <c r="C24" s="52" t="s">
        <v>22</v>
      </c>
      <c r="D24" s="25">
        <v>300</v>
      </c>
      <c r="E24" s="25">
        <v>520</v>
      </c>
      <c r="F24" s="25"/>
      <c r="G24" s="25"/>
      <c r="H24" s="25"/>
      <c r="I24" s="24">
        <v>1</v>
      </c>
      <c r="J24" s="24">
        <f t="shared" si="1"/>
        <v>3541.508</v>
      </c>
      <c r="K24" s="24"/>
      <c r="L24" s="24"/>
      <c r="M24" s="24"/>
      <c r="N24" s="24">
        <f t="shared" si="2"/>
        <v>13259405.952</v>
      </c>
      <c r="O24" s="24">
        <f t="shared" si="3"/>
        <v>725.9461238434163</v>
      </c>
      <c r="P24" s="24">
        <f t="shared" si="4"/>
        <v>86.54964720626631</v>
      </c>
      <c r="Q24" s="45"/>
      <c r="R24" s="45">
        <f t="shared" si="5"/>
        <v>48.46780243550914</v>
      </c>
      <c r="S24" s="53">
        <f t="shared" si="6"/>
        <v>11.369687002929567</v>
      </c>
      <c r="U24" s="29">
        <f t="shared" si="7"/>
        <v>10624.524</v>
      </c>
      <c r="V24" s="31">
        <v>3</v>
      </c>
      <c r="W24" s="40">
        <v>1267.9</v>
      </c>
      <c r="X24" s="40">
        <f t="shared" si="0"/>
        <v>2.793207666219733</v>
      </c>
      <c r="Y24" s="43">
        <f t="shared" si="8"/>
        <v>0.0030367753747140938</v>
      </c>
    </row>
    <row r="25" spans="1:25" ht="30" customHeight="1">
      <c r="A25" s="65" t="s">
        <v>35</v>
      </c>
      <c r="B25">
        <v>10</v>
      </c>
      <c r="C25" s="52" t="s">
        <v>38</v>
      </c>
      <c r="D25" s="25">
        <v>300</v>
      </c>
      <c r="E25" s="25">
        <v>520</v>
      </c>
      <c r="F25" s="25"/>
      <c r="G25" s="25"/>
      <c r="H25" s="25"/>
      <c r="I25" s="24">
        <v>1</v>
      </c>
      <c r="J25" s="24">
        <f t="shared" si="1"/>
        <v>5773.414699999999</v>
      </c>
      <c r="K25" s="24"/>
      <c r="L25" s="24"/>
      <c r="M25" s="24"/>
      <c r="N25" s="24">
        <f t="shared" si="2"/>
        <v>21615664.636799995</v>
      </c>
      <c r="O25" s="24">
        <f t="shared" si="3"/>
        <v>1183.4472837010674</v>
      </c>
      <c r="P25" s="24">
        <f t="shared" si="4"/>
        <v>141.094416689295</v>
      </c>
      <c r="Q25" s="45"/>
      <c r="R25" s="45">
        <f t="shared" si="5"/>
        <v>79.01287334600521</v>
      </c>
      <c r="S25" s="53">
        <f t="shared" si="6"/>
        <v>18.535019002388953</v>
      </c>
      <c r="U25" s="29">
        <f t="shared" si="7"/>
        <v>57734.147</v>
      </c>
      <c r="V25" s="31">
        <v>10</v>
      </c>
      <c r="W25" s="40">
        <v>1267.9</v>
      </c>
      <c r="X25" s="40">
        <f t="shared" si="0"/>
        <v>4.55352527801877</v>
      </c>
      <c r="Y25" s="43">
        <f t="shared" si="8"/>
        <v>0.004950592682262007</v>
      </c>
    </row>
    <row r="26" spans="1:25" ht="30" customHeight="1">
      <c r="A26" s="65" t="s">
        <v>35</v>
      </c>
      <c r="B26">
        <v>11</v>
      </c>
      <c r="C26" s="52" t="s">
        <v>39</v>
      </c>
      <c r="D26" s="26">
        <v>200</v>
      </c>
      <c r="E26" s="26">
        <v>460</v>
      </c>
      <c r="F26" s="26"/>
      <c r="G26" s="26"/>
      <c r="H26" s="26"/>
      <c r="I26" s="21">
        <v>1</v>
      </c>
      <c r="J26" s="21">
        <f t="shared" si="1"/>
        <v>17701.686</v>
      </c>
      <c r="K26" s="21"/>
      <c r="L26" s="21"/>
      <c r="M26" s="21"/>
      <c r="N26" s="21">
        <f t="shared" si="2"/>
        <v>66275112.384</v>
      </c>
      <c r="O26" s="21">
        <f t="shared" si="3"/>
        <v>3628.530653380783</v>
      </c>
      <c r="P26" s="21">
        <f t="shared" si="4"/>
        <v>432.60517221932116</v>
      </c>
      <c r="Q26" s="46"/>
      <c r="R26" s="46">
        <f t="shared" si="5"/>
        <v>242.25889644281986</v>
      </c>
      <c r="S26" s="53">
        <f t="shared" si="6"/>
        <v>57.898193799827084</v>
      </c>
      <c r="U26" s="29">
        <f t="shared" si="7"/>
        <v>35403.372</v>
      </c>
      <c r="V26" s="32">
        <v>2</v>
      </c>
      <c r="W26" s="40">
        <v>1244.5</v>
      </c>
      <c r="X26" s="40">
        <f t="shared" si="0"/>
        <v>14.223934110084372</v>
      </c>
      <c r="Y26" s="43">
        <f t="shared" si="8"/>
        <v>0.015464261164483729</v>
      </c>
    </row>
    <row r="27" spans="1:25" ht="30" customHeight="1">
      <c r="A27" s="65" t="s">
        <v>40</v>
      </c>
      <c r="B27">
        <v>12</v>
      </c>
      <c r="C27" s="54" t="s">
        <v>10</v>
      </c>
      <c r="D27" s="27">
        <v>20</v>
      </c>
      <c r="E27" s="27">
        <v>266</v>
      </c>
      <c r="F27" s="27"/>
      <c r="G27" s="27"/>
      <c r="H27" s="27"/>
      <c r="I27" s="21">
        <v>1</v>
      </c>
      <c r="J27" s="23">
        <f t="shared" si="1"/>
        <v>2912.1096000000002</v>
      </c>
      <c r="K27" s="23"/>
      <c r="L27" s="23"/>
      <c r="M27" s="23"/>
      <c r="N27" s="23">
        <f t="shared" si="2"/>
        <v>10902938.342400001</v>
      </c>
      <c r="O27" s="23">
        <f t="shared" si="3"/>
        <v>596.9306511032029</v>
      </c>
      <c r="P27" s="23">
        <f t="shared" si="4"/>
        <v>71.168004845953</v>
      </c>
      <c r="Q27" s="47"/>
      <c r="R27" s="47">
        <f t="shared" si="5"/>
        <v>39.85408271373369</v>
      </c>
      <c r="S27" s="53">
        <f t="shared" si="6"/>
        <v>10.156520063282736</v>
      </c>
      <c r="U27" s="29">
        <f t="shared" si="7"/>
        <v>14560.548</v>
      </c>
      <c r="V27" s="32">
        <v>5</v>
      </c>
      <c r="W27" s="131">
        <v>1167.1</v>
      </c>
      <c r="X27" s="40">
        <f t="shared" si="0"/>
        <v>2.4951671664810218</v>
      </c>
      <c r="Y27" s="43">
        <f t="shared" si="8"/>
        <v>0.0027127457433981667</v>
      </c>
    </row>
    <row r="28" spans="1:25" ht="30" customHeight="1">
      <c r="A28" s="65" t="s">
        <v>44</v>
      </c>
      <c r="B28">
        <v>13</v>
      </c>
      <c r="C28" s="54" t="s">
        <v>12</v>
      </c>
      <c r="D28" s="27">
        <v>20</v>
      </c>
      <c r="E28" s="27">
        <v>266</v>
      </c>
      <c r="F28" s="27"/>
      <c r="G28" s="27"/>
      <c r="H28" s="27"/>
      <c r="I28" s="21">
        <v>1</v>
      </c>
      <c r="J28" s="23">
        <f t="shared" si="1"/>
        <v>3474.9325</v>
      </c>
      <c r="K28" s="23"/>
      <c r="L28" s="23"/>
      <c r="M28" s="23"/>
      <c r="N28" s="23">
        <f t="shared" si="2"/>
        <v>13010147.280000001</v>
      </c>
      <c r="O28" s="23">
        <f t="shared" si="3"/>
        <v>712.2993309608541</v>
      </c>
      <c r="P28" s="23">
        <f t="shared" si="4"/>
        <v>84.92263237597912</v>
      </c>
      <c r="Q28" s="47"/>
      <c r="R28" s="47">
        <f t="shared" si="5"/>
        <v>47.55667413054831</v>
      </c>
      <c r="S28" s="53">
        <f t="shared" si="6"/>
        <v>12.11946887397481</v>
      </c>
      <c r="U28" s="29">
        <f t="shared" si="7"/>
        <v>6949.865</v>
      </c>
      <c r="V28" s="32">
        <v>2</v>
      </c>
      <c r="W28" s="131">
        <v>1167.1</v>
      </c>
      <c r="X28" s="40">
        <f t="shared" si="0"/>
        <v>2.977407677148488</v>
      </c>
      <c r="Y28" s="43">
        <f t="shared" si="8"/>
        <v>0.003237037626595836</v>
      </c>
    </row>
    <row r="29" spans="1:25" ht="30" customHeight="1">
      <c r="A29" s="65" t="s">
        <v>44</v>
      </c>
      <c r="B29">
        <v>14</v>
      </c>
      <c r="C29" s="54" t="s">
        <v>16</v>
      </c>
      <c r="D29" s="27">
        <v>20</v>
      </c>
      <c r="E29" s="27">
        <v>266</v>
      </c>
      <c r="F29" s="27"/>
      <c r="G29" s="27"/>
      <c r="H29" s="27"/>
      <c r="I29" s="21">
        <v>1</v>
      </c>
      <c r="J29" s="23">
        <f t="shared" si="1"/>
        <v>15608.074666666667</v>
      </c>
      <c r="K29" s="23"/>
      <c r="L29" s="23"/>
      <c r="M29" s="23"/>
      <c r="N29" s="23">
        <f t="shared" si="2"/>
        <v>58436631.552</v>
      </c>
      <c r="O29" s="23">
        <f t="shared" si="3"/>
        <v>3199.3775829181495</v>
      </c>
      <c r="P29" s="23">
        <f t="shared" si="4"/>
        <v>381.4401537336815</v>
      </c>
      <c r="Q29" s="47"/>
      <c r="R29" s="47">
        <f t="shared" si="5"/>
        <v>213.60648609086167</v>
      </c>
      <c r="S29" s="53">
        <f t="shared" si="6"/>
        <v>54.43604303258881</v>
      </c>
      <c r="U29" s="29">
        <f t="shared" si="7"/>
        <v>23412.112</v>
      </c>
      <c r="V29" s="32">
        <v>1.5</v>
      </c>
      <c r="W29" s="131">
        <v>1167.1</v>
      </c>
      <c r="X29" s="40">
        <f t="shared" si="0"/>
        <v>13.373382457944194</v>
      </c>
      <c r="Y29" s="43">
        <f t="shared" si="8"/>
        <v>0.014539541408276927</v>
      </c>
    </row>
    <row r="30" spans="1:25" ht="30" customHeight="1">
      <c r="A30" s="65" t="s">
        <v>45</v>
      </c>
      <c r="B30">
        <v>15</v>
      </c>
      <c r="C30" s="54" t="s">
        <v>20</v>
      </c>
      <c r="D30" s="27">
        <v>20</v>
      </c>
      <c r="E30" s="27">
        <v>266</v>
      </c>
      <c r="F30" s="27"/>
      <c r="G30" s="27"/>
      <c r="H30" s="27"/>
      <c r="I30" s="21">
        <v>1</v>
      </c>
      <c r="J30" s="23">
        <f t="shared" si="1"/>
        <v>10651.3587</v>
      </c>
      <c r="K30" s="23"/>
      <c r="L30" s="23"/>
      <c r="M30" s="23"/>
      <c r="N30" s="23">
        <f t="shared" si="2"/>
        <v>39878686.9728</v>
      </c>
      <c r="O30" s="23">
        <f t="shared" si="3"/>
        <v>2183.339007544484</v>
      </c>
      <c r="P30" s="23">
        <f t="shared" si="4"/>
        <v>260.3047452532637</v>
      </c>
      <c r="Q30" s="47"/>
      <c r="R30" s="47">
        <f t="shared" si="5"/>
        <v>145.7706573418277</v>
      </c>
      <c r="S30" s="53">
        <f t="shared" si="6"/>
        <v>37.148580650182645</v>
      </c>
      <c r="U30" s="29">
        <f t="shared" si="7"/>
        <v>532567.935</v>
      </c>
      <c r="V30" s="32">
        <v>50</v>
      </c>
      <c r="W30" s="131">
        <v>1167.1</v>
      </c>
      <c r="X30" s="40">
        <f t="shared" si="0"/>
        <v>9.126346242824095</v>
      </c>
      <c r="Y30" s="43">
        <f t="shared" si="8"/>
        <v>0.009922163635198355</v>
      </c>
    </row>
    <row r="31" spans="1:25" ht="30" customHeight="1" thickBot="1">
      <c r="A31" s="65" t="s">
        <v>35</v>
      </c>
      <c r="B31">
        <v>16</v>
      </c>
      <c r="C31" s="55" t="s">
        <v>24</v>
      </c>
      <c r="D31" s="56">
        <v>20</v>
      </c>
      <c r="E31" s="56">
        <v>266</v>
      </c>
      <c r="F31" s="56"/>
      <c r="G31" s="56"/>
      <c r="H31" s="56"/>
      <c r="I31" s="57">
        <v>1</v>
      </c>
      <c r="J31" s="58">
        <f t="shared" si="1"/>
        <v>6412.6067</v>
      </c>
      <c r="K31" s="58"/>
      <c r="L31" s="58"/>
      <c r="M31" s="58"/>
      <c r="N31" s="58">
        <f t="shared" si="2"/>
        <v>24008799.4848</v>
      </c>
      <c r="O31" s="58">
        <f t="shared" si="3"/>
        <v>1314.4702701779358</v>
      </c>
      <c r="P31" s="58">
        <f t="shared" si="4"/>
        <v>156.7154013368146</v>
      </c>
      <c r="Q31" s="59"/>
      <c r="R31" s="59">
        <f t="shared" si="5"/>
        <v>87.7606247486162</v>
      </c>
      <c r="S31" s="60">
        <f t="shared" si="6"/>
        <v>22.365150201246305</v>
      </c>
      <c r="U31" s="29">
        <f t="shared" si="7"/>
        <v>64126.067</v>
      </c>
      <c r="V31" s="32">
        <v>10</v>
      </c>
      <c r="W31" s="131">
        <v>1167.1</v>
      </c>
      <c r="X31" s="40">
        <f t="shared" si="0"/>
        <v>5.494479222003257</v>
      </c>
      <c r="Y31" s="43">
        <f t="shared" si="8"/>
        <v>0.005973597810161941</v>
      </c>
    </row>
    <row r="32" spans="3:19" ht="30" customHeight="1" thickBot="1">
      <c r="C32" s="22"/>
      <c r="D32" s="28"/>
      <c r="E32" s="28"/>
      <c r="F32" s="28"/>
      <c r="G32" s="28"/>
      <c r="H32" s="28"/>
      <c r="I32" s="22"/>
      <c r="J32" s="22"/>
      <c r="K32" s="22"/>
      <c r="L32" s="22"/>
      <c r="M32" s="22"/>
      <c r="N32" s="22"/>
      <c r="O32" s="22"/>
      <c r="P32" s="22">
        <f>SUM(P16:P31)</f>
        <v>3386.7727438558745</v>
      </c>
      <c r="Q32" s="22"/>
      <c r="R32" s="48">
        <f>SUM(R16:R31)</f>
        <v>1896.59273655929</v>
      </c>
      <c r="S32" s="39">
        <f>SUM(S16:S31)</f>
        <v>456.8057351069492</v>
      </c>
    </row>
    <row r="33" spans="3:18" ht="30" customHeight="1">
      <c r="C33" s="22"/>
      <c r="D33" s="28"/>
      <c r="E33" s="28"/>
      <c r="F33" s="28"/>
      <c r="G33" s="28"/>
      <c r="H33" s="28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4:8" ht="30" customHeight="1">
      <c r="D34" s="28"/>
      <c r="E34" s="28"/>
      <c r="F34" s="28"/>
      <c r="G34" s="28"/>
      <c r="H34" s="28"/>
    </row>
    <row r="35" spans="4:8" ht="30" customHeight="1">
      <c r="D35" s="28"/>
      <c r="E35" s="28"/>
      <c r="F35" s="28"/>
      <c r="G35" s="28"/>
      <c r="H35" s="28"/>
    </row>
    <row r="36" ht="13.5" customHeight="1"/>
    <row r="37" ht="13.5" customHeight="1"/>
    <row r="38" spans="15:18" ht="13.5" customHeight="1">
      <c r="O38" s="34" t="s">
        <v>6</v>
      </c>
      <c r="P38" s="4"/>
      <c r="Q38" s="4"/>
      <c r="R38" s="10"/>
    </row>
    <row r="39" spans="14:20" ht="13.5" customHeight="1">
      <c r="N39" s="242"/>
      <c r="O39" s="242"/>
      <c r="P39" s="63"/>
      <c r="Q39" s="63"/>
      <c r="R39" s="243"/>
      <c r="S39" s="242"/>
      <c r="T39" s="242"/>
    </row>
    <row r="40" spans="14:20" ht="13.5" customHeight="1">
      <c r="N40" s="2"/>
      <c r="O40" s="243"/>
      <c r="P40" s="63"/>
      <c r="Q40" s="63"/>
      <c r="R40" s="244"/>
      <c r="S40" s="242"/>
      <c r="T40" s="242"/>
    </row>
    <row r="41" spans="14:20" ht="13.5" customHeight="1">
      <c r="N41" s="245"/>
      <c r="O41" s="243"/>
      <c r="P41" s="63"/>
      <c r="Q41" s="63"/>
      <c r="R41" s="246"/>
      <c r="S41" s="242"/>
      <c r="T41" s="242"/>
    </row>
    <row r="42" spans="14:20" ht="13.5" customHeight="1">
      <c r="N42" s="2"/>
      <c r="O42" s="243"/>
      <c r="P42" s="63"/>
      <c r="Q42" s="63"/>
      <c r="R42" s="63"/>
      <c r="S42" s="242"/>
      <c r="T42" s="242"/>
    </row>
    <row r="43" spans="16:18" ht="13.5" customHeight="1">
      <c r="P43" s="2"/>
      <c r="Q43" s="2"/>
      <c r="R43" s="2"/>
    </row>
    <row r="44" spans="4:19" ht="13.5" customHeight="1">
      <c r="D44" s="20" t="s">
        <v>25</v>
      </c>
      <c r="E44" s="20"/>
      <c r="F44" s="20"/>
      <c r="G44" s="20"/>
      <c r="H44" s="20"/>
      <c r="I44" s="20"/>
      <c r="J44" s="20"/>
      <c r="K44" s="20"/>
      <c r="L44" s="20"/>
      <c r="M44" s="20"/>
      <c r="P44" s="18" t="s">
        <v>0</v>
      </c>
      <c r="Q44" s="18"/>
      <c r="R44" s="18"/>
      <c r="S44" s="132">
        <v>1.087</v>
      </c>
    </row>
    <row r="45" spans="4:18" ht="13.5" customHeight="1">
      <c r="D45" s="20" t="s">
        <v>26</v>
      </c>
      <c r="E45" s="20"/>
      <c r="F45" s="20"/>
      <c r="G45" s="20"/>
      <c r="H45" s="20"/>
      <c r="I45" s="20"/>
      <c r="J45" s="20"/>
      <c r="K45" s="20"/>
      <c r="L45" s="20"/>
      <c r="M45" s="20"/>
      <c r="P45" s="2"/>
      <c r="Q45" s="2"/>
      <c r="R45" s="2"/>
    </row>
    <row r="46" spans="4:18" ht="13.5" customHeight="1">
      <c r="D46" s="20" t="s">
        <v>28</v>
      </c>
      <c r="E46" s="20"/>
      <c r="F46" s="20"/>
      <c r="G46" s="20"/>
      <c r="H46" s="20"/>
      <c r="I46" s="20"/>
      <c r="J46" s="20"/>
      <c r="K46" s="20"/>
      <c r="L46" s="20"/>
      <c r="M46" s="20"/>
      <c r="P46" s="2"/>
      <c r="Q46" s="2"/>
      <c r="R46" s="2"/>
    </row>
    <row r="47" spans="4:18" ht="13.5" customHeight="1">
      <c r="D47" s="20" t="s">
        <v>27</v>
      </c>
      <c r="E47" s="20"/>
      <c r="F47" s="20"/>
      <c r="G47" s="20"/>
      <c r="H47" s="20"/>
      <c r="I47" s="20"/>
      <c r="J47" s="20"/>
      <c r="K47" s="20"/>
      <c r="L47" s="20"/>
      <c r="M47" s="20"/>
      <c r="P47" s="2"/>
      <c r="Q47" s="2"/>
      <c r="R47" s="2"/>
    </row>
    <row r="48" ht="13.5" customHeight="1">
      <c r="V48" t="s">
        <v>74</v>
      </c>
    </row>
    <row r="49" ht="13.5" customHeight="1" thickBot="1">
      <c r="W49" t="s">
        <v>71</v>
      </c>
    </row>
    <row r="50" spans="3:25" ht="64.5" customHeight="1">
      <c r="C50" s="163" t="s">
        <v>7</v>
      </c>
      <c r="D50" s="50" t="s">
        <v>8</v>
      </c>
      <c r="E50" s="50" t="s">
        <v>84</v>
      </c>
      <c r="F50" s="50" t="s">
        <v>88</v>
      </c>
      <c r="G50" s="50" t="s">
        <v>87</v>
      </c>
      <c r="H50" s="50" t="s">
        <v>132</v>
      </c>
      <c r="I50" s="50" t="s">
        <v>78</v>
      </c>
      <c r="J50" s="50" t="s">
        <v>86</v>
      </c>
      <c r="K50" s="50" t="s">
        <v>133</v>
      </c>
      <c r="L50" s="50" t="s">
        <v>89</v>
      </c>
      <c r="M50" s="51" t="s">
        <v>90</v>
      </c>
      <c r="N50" s="155" t="s">
        <v>75</v>
      </c>
      <c r="O50" s="50" t="s">
        <v>79</v>
      </c>
      <c r="P50" s="51" t="s">
        <v>83</v>
      </c>
      <c r="Q50" s="155"/>
      <c r="R50" s="142" t="s">
        <v>33</v>
      </c>
      <c r="S50" s="143" t="s">
        <v>32</v>
      </c>
      <c r="W50" t="s">
        <v>72</v>
      </c>
      <c r="X50" t="s">
        <v>30</v>
      </c>
      <c r="Y50" t="s">
        <v>31</v>
      </c>
    </row>
    <row r="51" spans="2:26" ht="24.75" customHeight="1">
      <c r="B51">
        <v>1</v>
      </c>
      <c r="C51" s="52" t="s">
        <v>9</v>
      </c>
      <c r="D51" s="25">
        <v>300</v>
      </c>
      <c r="E51" s="25">
        <v>520</v>
      </c>
      <c r="F51" s="25">
        <v>293</v>
      </c>
      <c r="G51" s="25" t="s">
        <v>29</v>
      </c>
      <c r="H51" s="25">
        <f>I51/0.3048</f>
        <v>328.0839895013123</v>
      </c>
      <c r="I51" s="135">
        <v>100</v>
      </c>
      <c r="J51" s="37">
        <v>187594.028</v>
      </c>
      <c r="K51" s="249">
        <f>L51*0.57782</f>
        <v>0.03976037202</v>
      </c>
      <c r="L51" s="148">
        <v>0.068811</v>
      </c>
      <c r="M51" s="158" t="s">
        <v>1</v>
      </c>
      <c r="N51" s="156">
        <f>J51*24*156</f>
        <v>702352040.832</v>
      </c>
      <c r="O51" s="24">
        <f>N51/18265</f>
        <v>38453.43776797153</v>
      </c>
      <c r="P51" s="165">
        <f>N51/153200</f>
        <v>4584.543347467363</v>
      </c>
      <c r="Q51" s="156"/>
      <c r="R51" s="24">
        <f>P51*0.56</f>
        <v>2567.3442745817233</v>
      </c>
      <c r="S51" s="61">
        <f>Y51*3744</f>
        <v>602.2534417482059</v>
      </c>
      <c r="W51" s="40">
        <v>1267.9</v>
      </c>
      <c r="X51" s="40">
        <f>J51/W51</f>
        <v>147.95648552724975</v>
      </c>
      <c r="Y51" s="40">
        <f>X51*0.0010872</f>
        <v>0.16085829106522592</v>
      </c>
      <c r="Z51" s="40"/>
    </row>
    <row r="52" spans="2:26" ht="24.75" customHeight="1">
      <c r="B52">
        <v>2</v>
      </c>
      <c r="C52" s="52" t="s">
        <v>85</v>
      </c>
      <c r="D52" s="25">
        <v>300</v>
      </c>
      <c r="E52" s="25">
        <v>520</v>
      </c>
      <c r="F52" s="25">
        <v>437</v>
      </c>
      <c r="G52" s="25" t="s">
        <v>41</v>
      </c>
      <c r="H52" s="25">
        <f aca="true" t="shared" si="9" ref="H52:H66">I52/0.3048</f>
        <v>16.404199475065617</v>
      </c>
      <c r="I52" s="135">
        <v>5</v>
      </c>
      <c r="J52" s="37">
        <v>63689.594</v>
      </c>
      <c r="K52" s="249">
        <f aca="true" t="shared" si="10" ref="K52:K66">L52*0.57782</f>
        <v>0.04636167661</v>
      </c>
      <c r="L52" s="148">
        <v>0.0802355</v>
      </c>
      <c r="M52" s="159" t="s">
        <v>40</v>
      </c>
      <c r="N52" s="156">
        <f aca="true" t="shared" si="11" ref="N52:N66">J52*24*156</f>
        <v>238453839.93600002</v>
      </c>
      <c r="O52" s="24">
        <f aca="true" t="shared" si="12" ref="O52:O66">N52/18265</f>
        <v>13055.233503202848</v>
      </c>
      <c r="P52" s="165">
        <f aca="true" t="shared" si="13" ref="P52:P66">N52/153200</f>
        <v>1556.4872058485641</v>
      </c>
      <c r="Q52" s="156"/>
      <c r="R52" s="24">
        <f aca="true" t="shared" si="14" ref="R52:R66">P52*0.56</f>
        <v>871.632835275196</v>
      </c>
      <c r="S52" s="61">
        <f aca="true" t="shared" si="15" ref="S52:S66">Y52*3744</f>
        <v>204.46960704978244</v>
      </c>
      <c r="W52" s="40">
        <v>1267.9</v>
      </c>
      <c r="X52" s="40">
        <f aca="true" t="shared" si="16" ref="X52:X66">J52/W52</f>
        <v>50.232347976969784</v>
      </c>
      <c r="Y52" s="40">
        <f aca="true" t="shared" si="17" ref="Y52:Y66">X52*0.0010872</f>
        <v>0.05461260872056155</v>
      </c>
      <c r="Z52" s="40"/>
    </row>
    <row r="53" spans="2:26" ht="24.75" customHeight="1">
      <c r="B53">
        <v>3</v>
      </c>
      <c r="C53" s="52" t="s">
        <v>14</v>
      </c>
      <c r="D53" s="25">
        <v>300</v>
      </c>
      <c r="E53" s="25">
        <v>520</v>
      </c>
      <c r="F53" s="145">
        <v>366.8</v>
      </c>
      <c r="G53" s="25" t="s">
        <v>40</v>
      </c>
      <c r="H53" s="25">
        <f t="shared" si="9"/>
        <v>9.84251968503937</v>
      </c>
      <c r="I53" s="135">
        <v>3</v>
      </c>
      <c r="J53" s="37">
        <v>28041.184</v>
      </c>
      <c r="K53" s="249">
        <f t="shared" si="10"/>
        <v>0.04314350812</v>
      </c>
      <c r="L53" s="148">
        <v>0.074666</v>
      </c>
      <c r="M53" s="158" t="s">
        <v>5</v>
      </c>
      <c r="N53" s="156">
        <f t="shared" si="11"/>
        <v>104986192.896</v>
      </c>
      <c r="O53" s="24">
        <f t="shared" si="12"/>
        <v>5747.943766548043</v>
      </c>
      <c r="P53" s="165">
        <f t="shared" si="13"/>
        <v>685.2884653785901</v>
      </c>
      <c r="Q53" s="156"/>
      <c r="R53" s="24">
        <f t="shared" si="14"/>
        <v>383.7615406120105</v>
      </c>
      <c r="S53" s="61">
        <f t="shared" si="15"/>
        <v>90.02365243042132</v>
      </c>
      <c r="W53" s="40">
        <v>1267.9</v>
      </c>
      <c r="X53" s="40">
        <f t="shared" si="16"/>
        <v>22.116242605883745</v>
      </c>
      <c r="Y53" s="40">
        <f t="shared" si="17"/>
        <v>0.024044778961116807</v>
      </c>
      <c r="Z53" s="40"/>
    </row>
    <row r="54" spans="2:26" ht="24.75" customHeight="1">
      <c r="B54">
        <v>4</v>
      </c>
      <c r="C54" s="52" t="s">
        <v>15</v>
      </c>
      <c r="D54" s="25">
        <v>300</v>
      </c>
      <c r="E54" s="25">
        <v>520</v>
      </c>
      <c r="F54" s="145">
        <v>349.8</v>
      </c>
      <c r="G54" s="25" t="s">
        <v>29</v>
      </c>
      <c r="H54" s="25">
        <f t="shared" si="9"/>
        <v>9.84251968503937</v>
      </c>
      <c r="I54" s="135">
        <v>3</v>
      </c>
      <c r="J54" s="37">
        <v>19453.558</v>
      </c>
      <c r="K54" s="249">
        <f t="shared" si="10"/>
        <v>0.0423657624</v>
      </c>
      <c r="L54" s="148">
        <v>0.07332</v>
      </c>
      <c r="M54" s="158" t="s">
        <v>1</v>
      </c>
      <c r="N54" s="156">
        <f t="shared" si="11"/>
        <v>72834121.152</v>
      </c>
      <c r="O54" s="24">
        <f t="shared" si="12"/>
        <v>3987.6332412811385</v>
      </c>
      <c r="P54" s="165">
        <f t="shared" si="13"/>
        <v>475.41854537859007</v>
      </c>
      <c r="Q54" s="156"/>
      <c r="R54" s="24">
        <f t="shared" si="14"/>
        <v>266.23438541201045</v>
      </c>
      <c r="S54" s="61">
        <f t="shared" si="15"/>
        <v>62.453865854132346</v>
      </c>
      <c r="W54" s="40">
        <v>1267.9</v>
      </c>
      <c r="X54" s="40">
        <f t="shared" si="16"/>
        <v>15.343132739175013</v>
      </c>
      <c r="Y54" s="40">
        <f t="shared" si="17"/>
        <v>0.016681053914031074</v>
      </c>
      <c r="Z54" s="40"/>
    </row>
    <row r="55" spans="2:26" ht="24.75" customHeight="1">
      <c r="B55">
        <v>5</v>
      </c>
      <c r="C55" s="52" t="s">
        <v>17</v>
      </c>
      <c r="D55" s="25">
        <v>300</v>
      </c>
      <c r="E55" s="25">
        <v>520</v>
      </c>
      <c r="F55" s="145">
        <v>403.8</v>
      </c>
      <c r="G55" s="25" t="s">
        <v>41</v>
      </c>
      <c r="H55" s="25">
        <f t="shared" si="9"/>
        <v>19.68503937007874</v>
      </c>
      <c r="I55" s="135">
        <v>6</v>
      </c>
      <c r="J55" s="37">
        <v>108169.426</v>
      </c>
      <c r="K55" s="249">
        <f t="shared" si="10"/>
        <v>0.044843454559999996</v>
      </c>
      <c r="L55" s="148">
        <v>0.077608</v>
      </c>
      <c r="M55" s="158" t="s">
        <v>40</v>
      </c>
      <c r="N55" s="156">
        <f t="shared" si="11"/>
        <v>404986330.94400007</v>
      </c>
      <c r="O55" s="24">
        <f t="shared" si="12"/>
        <v>22172.80760711744</v>
      </c>
      <c r="P55" s="165">
        <f t="shared" si="13"/>
        <v>2643.5139095561362</v>
      </c>
      <c r="Q55" s="156"/>
      <c r="R55" s="24">
        <f t="shared" si="14"/>
        <v>1480.3677893514364</v>
      </c>
      <c r="S55" s="61">
        <f t="shared" si="15"/>
        <v>347.26803296972696</v>
      </c>
      <c r="W55" s="40">
        <v>1267.9</v>
      </c>
      <c r="X55" s="40">
        <f t="shared" si="16"/>
        <v>85.31384651786418</v>
      </c>
      <c r="Y55" s="40">
        <f t="shared" si="17"/>
        <v>0.09275321393422194</v>
      </c>
      <c r="Z55" s="40"/>
    </row>
    <row r="56" spans="2:26" ht="24.75" customHeight="1">
      <c r="B56">
        <v>6</v>
      </c>
      <c r="C56" s="52" t="s">
        <v>18</v>
      </c>
      <c r="D56" s="25">
        <v>300</v>
      </c>
      <c r="E56" s="25">
        <v>520</v>
      </c>
      <c r="F56" s="147">
        <v>404.96</v>
      </c>
      <c r="G56" s="25" t="s">
        <v>29</v>
      </c>
      <c r="H56" s="25">
        <f t="shared" si="9"/>
        <v>32.808398950131235</v>
      </c>
      <c r="I56" s="135">
        <v>10</v>
      </c>
      <c r="J56" s="37">
        <v>79961.236</v>
      </c>
      <c r="K56" s="249">
        <f t="shared" si="10"/>
        <v>0.044890835799999994</v>
      </c>
      <c r="L56" s="148">
        <v>0.07769</v>
      </c>
      <c r="M56" s="158" t="s">
        <v>1</v>
      </c>
      <c r="N56" s="156">
        <f t="shared" si="11"/>
        <v>299374867.584</v>
      </c>
      <c r="O56" s="24">
        <f t="shared" si="12"/>
        <v>16390.630582206406</v>
      </c>
      <c r="P56" s="165">
        <f t="shared" si="13"/>
        <v>1954.1440442819842</v>
      </c>
      <c r="Q56" s="156"/>
      <c r="R56" s="24">
        <f t="shared" si="14"/>
        <v>1094.3206647979111</v>
      </c>
      <c r="S56" s="61">
        <f t="shared" si="15"/>
        <v>256.7082230754198</v>
      </c>
      <c r="W56" s="40">
        <v>1267.9</v>
      </c>
      <c r="X56" s="40">
        <f t="shared" si="16"/>
        <v>63.06588532218629</v>
      </c>
      <c r="Y56" s="40">
        <f t="shared" si="17"/>
        <v>0.06856523052228093</v>
      </c>
      <c r="Z56" s="40"/>
    </row>
    <row r="57" spans="2:26" ht="24.75" customHeight="1">
      <c r="B57">
        <v>7</v>
      </c>
      <c r="C57" s="52" t="s">
        <v>19</v>
      </c>
      <c r="D57" s="25">
        <v>300</v>
      </c>
      <c r="E57" s="25">
        <v>520</v>
      </c>
      <c r="F57" s="145">
        <v>438.9</v>
      </c>
      <c r="G57" s="145" t="s">
        <v>40</v>
      </c>
      <c r="H57" s="25">
        <f t="shared" si="9"/>
        <v>65.61679790026247</v>
      </c>
      <c r="I57" s="135">
        <v>20</v>
      </c>
      <c r="J57" s="37">
        <v>244898.225</v>
      </c>
      <c r="K57" s="249">
        <f t="shared" si="10"/>
        <v>0.04645210544</v>
      </c>
      <c r="L57" s="148">
        <v>0.080392</v>
      </c>
      <c r="M57" s="158" t="s">
        <v>5</v>
      </c>
      <c r="N57" s="156">
        <f t="shared" si="11"/>
        <v>916898954.4000001</v>
      </c>
      <c r="O57" s="24">
        <f t="shared" si="12"/>
        <v>50199.77850533809</v>
      </c>
      <c r="P57" s="165">
        <f t="shared" si="13"/>
        <v>5984.980120104439</v>
      </c>
      <c r="Q57" s="156"/>
      <c r="R57" s="24">
        <f t="shared" si="14"/>
        <v>3351.5888672584865</v>
      </c>
      <c r="S57" s="61">
        <f t="shared" si="15"/>
        <v>786.2233166840286</v>
      </c>
      <c r="W57" s="40">
        <v>1267.9</v>
      </c>
      <c r="X57" s="40">
        <f t="shared" si="16"/>
        <v>193.15263427715118</v>
      </c>
      <c r="Y57" s="40">
        <f t="shared" si="17"/>
        <v>0.20999554398611875</v>
      </c>
      <c r="Z57" s="40"/>
    </row>
    <row r="58" spans="2:26" ht="24.75" customHeight="1">
      <c r="B58">
        <v>8</v>
      </c>
      <c r="C58" s="52" t="s">
        <v>21</v>
      </c>
      <c r="D58" s="25">
        <v>300</v>
      </c>
      <c r="E58" s="25">
        <v>520</v>
      </c>
      <c r="F58" s="145">
        <v>413.9</v>
      </c>
      <c r="G58" s="25" t="s">
        <v>29</v>
      </c>
      <c r="H58" s="25">
        <f t="shared" si="9"/>
        <v>6.561679790026246</v>
      </c>
      <c r="I58" s="135">
        <v>2</v>
      </c>
      <c r="J58" s="37">
        <v>7584.57</v>
      </c>
      <c r="K58" s="249">
        <f t="shared" si="10"/>
        <v>0.045301087999999996</v>
      </c>
      <c r="L58" s="148">
        <v>0.0784</v>
      </c>
      <c r="M58" s="158" t="s">
        <v>1</v>
      </c>
      <c r="N58" s="156">
        <f t="shared" si="11"/>
        <v>28396630.08</v>
      </c>
      <c r="O58" s="24">
        <f t="shared" si="12"/>
        <v>1554.701893238434</v>
      </c>
      <c r="P58" s="165">
        <f t="shared" si="13"/>
        <v>185.35659321148825</v>
      </c>
      <c r="Q58" s="156"/>
      <c r="R58" s="24">
        <f t="shared" si="14"/>
        <v>103.79969219843343</v>
      </c>
      <c r="S58" s="61">
        <f t="shared" si="15"/>
        <v>24.349567176414542</v>
      </c>
      <c r="W58" s="40">
        <v>1267.9</v>
      </c>
      <c r="X58" s="40">
        <f t="shared" si="16"/>
        <v>5.981993848095275</v>
      </c>
      <c r="Y58" s="40">
        <f t="shared" si="17"/>
        <v>0.006503623711649183</v>
      </c>
      <c r="Z58" s="40"/>
    </row>
    <row r="59" spans="2:26" ht="24.75" customHeight="1">
      <c r="B59">
        <v>9</v>
      </c>
      <c r="C59" s="52" t="s">
        <v>22</v>
      </c>
      <c r="D59" s="25">
        <v>300</v>
      </c>
      <c r="E59" s="25">
        <v>520</v>
      </c>
      <c r="F59" s="145">
        <v>329</v>
      </c>
      <c r="G59" s="25" t="s">
        <v>40</v>
      </c>
      <c r="H59" s="25">
        <f t="shared" si="9"/>
        <v>9.84251968503937</v>
      </c>
      <c r="I59" s="135">
        <v>3</v>
      </c>
      <c r="J59" s="37">
        <v>10624.524</v>
      </c>
      <c r="K59" s="249">
        <f t="shared" si="10"/>
        <v>0.041410048119999994</v>
      </c>
      <c r="L59" s="148">
        <v>0.071666</v>
      </c>
      <c r="M59" s="158" t="s">
        <v>5</v>
      </c>
      <c r="N59" s="156">
        <f t="shared" si="11"/>
        <v>39778217.856</v>
      </c>
      <c r="O59" s="24">
        <f t="shared" si="12"/>
        <v>2177.838371530249</v>
      </c>
      <c r="P59" s="165">
        <f t="shared" si="13"/>
        <v>259.648941618799</v>
      </c>
      <c r="Q59" s="156"/>
      <c r="R59" s="24">
        <f t="shared" si="14"/>
        <v>145.40340730652744</v>
      </c>
      <c r="S59" s="61">
        <f t="shared" si="15"/>
        <v>34.1090610087887</v>
      </c>
      <c r="W59" s="40">
        <v>1267.9</v>
      </c>
      <c r="X59" s="40">
        <f t="shared" si="16"/>
        <v>8.3796229986592</v>
      </c>
      <c r="Y59" s="40">
        <f t="shared" si="17"/>
        <v>0.009110326124142282</v>
      </c>
      <c r="Z59" s="40"/>
    </row>
    <row r="60" spans="2:26" ht="24.75" customHeight="1">
      <c r="B60">
        <v>1</v>
      </c>
      <c r="C60" s="52" t="s">
        <v>23</v>
      </c>
      <c r="D60" s="25">
        <v>300</v>
      </c>
      <c r="E60" s="25">
        <v>520</v>
      </c>
      <c r="F60" s="145">
        <v>329</v>
      </c>
      <c r="G60" s="25" t="s">
        <v>35</v>
      </c>
      <c r="H60" s="25">
        <f t="shared" si="9"/>
        <v>32.808398950131235</v>
      </c>
      <c r="I60" s="135">
        <v>10</v>
      </c>
      <c r="J60" s="37">
        <v>57734.147</v>
      </c>
      <c r="K60" s="249">
        <f t="shared" si="10"/>
        <v>0.041410048119999994</v>
      </c>
      <c r="L60" s="148">
        <v>0.071666</v>
      </c>
      <c r="M60" s="158" t="s">
        <v>91</v>
      </c>
      <c r="N60" s="156">
        <f t="shared" si="11"/>
        <v>216156646.368</v>
      </c>
      <c r="O60" s="24">
        <f t="shared" si="12"/>
        <v>11834.472837010677</v>
      </c>
      <c r="P60" s="165">
        <f t="shared" si="13"/>
        <v>1410.9441668929503</v>
      </c>
      <c r="Q60" s="156"/>
      <c r="R60" s="24">
        <f t="shared" si="14"/>
        <v>790.1287334600522</v>
      </c>
      <c r="S60" s="61">
        <f t="shared" si="15"/>
        <v>185.35019002388952</v>
      </c>
      <c r="W60" s="40">
        <v>1267.9</v>
      </c>
      <c r="X60" s="40">
        <f t="shared" si="16"/>
        <v>45.535252780187705</v>
      </c>
      <c r="Y60" s="40">
        <f t="shared" si="17"/>
        <v>0.04950592682262007</v>
      </c>
      <c r="Z60" s="40"/>
    </row>
    <row r="61" spans="2:26" ht="24.75" customHeight="1">
      <c r="B61">
        <v>11</v>
      </c>
      <c r="C61" s="52" t="s">
        <v>13</v>
      </c>
      <c r="D61" s="26">
        <v>200</v>
      </c>
      <c r="E61" s="26">
        <v>460</v>
      </c>
      <c r="F61" s="146">
        <v>430.8</v>
      </c>
      <c r="G61" s="25" t="s">
        <v>35</v>
      </c>
      <c r="H61" s="25">
        <f t="shared" si="9"/>
        <v>6.561679790026246</v>
      </c>
      <c r="I61" s="149">
        <v>2</v>
      </c>
      <c r="J61" s="37">
        <v>35403.372</v>
      </c>
      <c r="K61" s="249">
        <f t="shared" si="10"/>
        <v>0.043324943600000006</v>
      </c>
      <c r="L61" s="148">
        <v>0.07498</v>
      </c>
      <c r="M61" s="158" t="s">
        <v>91</v>
      </c>
      <c r="N61" s="156">
        <f t="shared" si="11"/>
        <v>132550224.768</v>
      </c>
      <c r="O61" s="21">
        <f t="shared" si="12"/>
        <v>7257.061306761566</v>
      </c>
      <c r="P61" s="165">
        <f t="shared" si="13"/>
        <v>865.2103444386423</v>
      </c>
      <c r="Q61" s="156"/>
      <c r="R61" s="24">
        <f t="shared" si="14"/>
        <v>484.5177928856397</v>
      </c>
      <c r="S61" s="61">
        <f t="shared" si="15"/>
        <v>115.79638759965417</v>
      </c>
      <c r="W61" s="40">
        <v>1244.5</v>
      </c>
      <c r="X61" s="40">
        <f t="shared" si="16"/>
        <v>28.447868220168743</v>
      </c>
      <c r="Y61" s="40">
        <f t="shared" si="17"/>
        <v>0.030928522328967457</v>
      </c>
      <c r="Z61" s="40"/>
    </row>
    <row r="62" spans="2:26" ht="24.75" customHeight="1">
      <c r="B62">
        <v>12</v>
      </c>
      <c r="C62" s="54" t="s">
        <v>10</v>
      </c>
      <c r="D62" s="27">
        <v>20</v>
      </c>
      <c r="E62" s="25">
        <v>266</v>
      </c>
      <c r="F62" s="25">
        <v>293</v>
      </c>
      <c r="G62" s="25" t="s">
        <v>40</v>
      </c>
      <c r="H62" s="25">
        <f t="shared" si="9"/>
        <v>16.404199475065617</v>
      </c>
      <c r="I62" s="149">
        <v>5</v>
      </c>
      <c r="J62" s="37">
        <v>14560.548</v>
      </c>
      <c r="K62" s="249">
        <f t="shared" si="10"/>
        <v>0.030297991700000002</v>
      </c>
      <c r="L62" s="148">
        <v>0.052435</v>
      </c>
      <c r="M62" s="158" t="s">
        <v>5</v>
      </c>
      <c r="N62" s="156">
        <f t="shared" si="11"/>
        <v>54514691.712</v>
      </c>
      <c r="O62" s="23">
        <f t="shared" si="12"/>
        <v>2984.6532555160143</v>
      </c>
      <c r="P62" s="165">
        <f t="shared" si="13"/>
        <v>355.840024229765</v>
      </c>
      <c r="Q62" s="156"/>
      <c r="R62" s="24">
        <f t="shared" si="14"/>
        <v>199.2704135686684</v>
      </c>
      <c r="S62" s="61">
        <f t="shared" si="15"/>
        <v>50.78260031641368</v>
      </c>
      <c r="W62" s="131">
        <v>1167.1</v>
      </c>
      <c r="X62" s="40">
        <f t="shared" si="16"/>
        <v>12.475835832405108</v>
      </c>
      <c r="Y62" s="40">
        <f t="shared" si="17"/>
        <v>0.013563728716990834</v>
      </c>
      <c r="Z62" s="40"/>
    </row>
    <row r="63" spans="2:26" ht="24.75" customHeight="1">
      <c r="B63">
        <v>13</v>
      </c>
      <c r="C63" s="54" t="s">
        <v>12</v>
      </c>
      <c r="D63" s="27">
        <v>20</v>
      </c>
      <c r="E63" s="25">
        <v>266</v>
      </c>
      <c r="F63" s="145">
        <v>226.9</v>
      </c>
      <c r="G63" s="25" t="s">
        <v>41</v>
      </c>
      <c r="H63" s="25">
        <f t="shared" si="9"/>
        <v>6.561679790026246</v>
      </c>
      <c r="I63" s="149">
        <v>2</v>
      </c>
      <c r="J63" s="37">
        <v>6949.865</v>
      </c>
      <c r="K63" s="249">
        <f t="shared" si="10"/>
        <v>0.028098230959999998</v>
      </c>
      <c r="L63" s="148">
        <v>0.048628</v>
      </c>
      <c r="M63" s="158" t="s">
        <v>29</v>
      </c>
      <c r="N63" s="156">
        <f t="shared" si="11"/>
        <v>26020294.560000002</v>
      </c>
      <c r="O63" s="23">
        <f t="shared" si="12"/>
        <v>1424.5986619217083</v>
      </c>
      <c r="P63" s="165">
        <f t="shared" si="13"/>
        <v>169.84526475195824</v>
      </c>
      <c r="Q63" s="156"/>
      <c r="R63" s="24">
        <f t="shared" si="14"/>
        <v>95.11334826109662</v>
      </c>
      <c r="S63" s="61">
        <f t="shared" si="15"/>
        <v>24.23893774794962</v>
      </c>
      <c r="W63" s="131">
        <v>1167.1</v>
      </c>
      <c r="X63" s="40">
        <f t="shared" si="16"/>
        <v>5.954815354296976</v>
      </c>
      <c r="Y63" s="40">
        <f t="shared" si="17"/>
        <v>0.006474075253191672</v>
      </c>
      <c r="Z63" s="40"/>
    </row>
    <row r="64" spans="2:26" ht="24.75" customHeight="1">
      <c r="B64">
        <v>14</v>
      </c>
      <c r="C64" s="162" t="s">
        <v>16</v>
      </c>
      <c r="D64" s="27">
        <v>20</v>
      </c>
      <c r="E64" s="25">
        <v>266</v>
      </c>
      <c r="F64" s="145">
        <v>223.8</v>
      </c>
      <c r="G64" s="25" t="s">
        <v>44</v>
      </c>
      <c r="H64" s="25">
        <f t="shared" si="9"/>
        <v>4.921259842519685</v>
      </c>
      <c r="I64" s="150">
        <v>1.5</v>
      </c>
      <c r="J64" s="37">
        <v>23412.112</v>
      </c>
      <c r="K64" s="249">
        <f t="shared" si="10"/>
        <v>0.026661770440000003</v>
      </c>
      <c r="L64" s="148">
        <v>0.046142</v>
      </c>
      <c r="M64" s="158" t="s">
        <v>91</v>
      </c>
      <c r="N64" s="156">
        <f t="shared" si="11"/>
        <v>87654947.32800001</v>
      </c>
      <c r="O64" s="23">
        <f t="shared" si="12"/>
        <v>4799.066374377225</v>
      </c>
      <c r="P64" s="165">
        <f t="shared" si="13"/>
        <v>572.1602306005223</v>
      </c>
      <c r="Q64" s="156"/>
      <c r="R64" s="24">
        <f t="shared" si="14"/>
        <v>320.40972913629247</v>
      </c>
      <c r="S64" s="61">
        <f t="shared" si="15"/>
        <v>81.65406454888323</v>
      </c>
      <c r="W64" s="131">
        <v>1167.1</v>
      </c>
      <c r="X64" s="40">
        <f t="shared" si="16"/>
        <v>20.06007368691629</v>
      </c>
      <c r="Y64" s="40">
        <f t="shared" si="17"/>
        <v>0.02180931211241539</v>
      </c>
      <c r="Z64" s="40"/>
    </row>
    <row r="65" spans="2:26" ht="24.75" customHeight="1">
      <c r="B65">
        <v>15</v>
      </c>
      <c r="C65" s="54" t="s">
        <v>20</v>
      </c>
      <c r="D65" s="27">
        <v>20</v>
      </c>
      <c r="E65" s="25">
        <v>266</v>
      </c>
      <c r="F65" s="145">
        <v>235.94</v>
      </c>
      <c r="G65" s="25" t="s">
        <v>50</v>
      </c>
      <c r="H65" s="25">
        <f t="shared" si="9"/>
        <v>164.04199475065616</v>
      </c>
      <c r="I65" s="149">
        <v>50</v>
      </c>
      <c r="J65" s="37">
        <v>532567.935</v>
      </c>
      <c r="K65" s="249">
        <f t="shared" si="10"/>
        <v>0.028394074800000002</v>
      </c>
      <c r="L65" s="148">
        <v>0.04914</v>
      </c>
      <c r="M65" s="158" t="s">
        <v>91</v>
      </c>
      <c r="N65" s="156">
        <f t="shared" si="11"/>
        <v>1993934348.64</v>
      </c>
      <c r="O65" s="23">
        <f t="shared" si="12"/>
        <v>109166.9503772242</v>
      </c>
      <c r="P65" s="165">
        <f t="shared" si="13"/>
        <v>13015.237262663186</v>
      </c>
      <c r="Q65" s="156"/>
      <c r="R65" s="24">
        <f t="shared" si="14"/>
        <v>7288.532867091385</v>
      </c>
      <c r="S65" s="61">
        <f t="shared" si="15"/>
        <v>1857.4290325091322</v>
      </c>
      <c r="W65" s="131">
        <v>1167.1</v>
      </c>
      <c r="X65" s="40">
        <f t="shared" si="16"/>
        <v>456.31731214120475</v>
      </c>
      <c r="Y65" s="40">
        <f t="shared" si="17"/>
        <v>0.4961081817599178</v>
      </c>
      <c r="Z65" s="40"/>
    </row>
    <row r="66" spans="2:26" ht="24.75" customHeight="1" thickBot="1">
      <c r="B66">
        <v>16</v>
      </c>
      <c r="C66" s="55" t="s">
        <v>24</v>
      </c>
      <c r="D66" s="56">
        <v>20</v>
      </c>
      <c r="E66" s="151">
        <v>266</v>
      </c>
      <c r="F66" s="160">
        <v>235.94</v>
      </c>
      <c r="G66" s="151" t="s">
        <v>35</v>
      </c>
      <c r="H66" s="151">
        <f t="shared" si="9"/>
        <v>32.808398950131235</v>
      </c>
      <c r="I66" s="152">
        <v>10</v>
      </c>
      <c r="J66" s="153">
        <v>64126.067</v>
      </c>
      <c r="K66" s="250">
        <f t="shared" si="10"/>
        <v>0.028394074800000002</v>
      </c>
      <c r="L66" s="154">
        <v>0.04914</v>
      </c>
      <c r="M66" s="161" t="s">
        <v>29</v>
      </c>
      <c r="N66" s="157">
        <f t="shared" si="11"/>
        <v>240087994.848</v>
      </c>
      <c r="O66" s="58">
        <f t="shared" si="12"/>
        <v>13144.702701779359</v>
      </c>
      <c r="P66" s="166">
        <f t="shared" si="13"/>
        <v>1567.1540133681463</v>
      </c>
      <c r="Q66" s="164"/>
      <c r="R66" s="24">
        <f t="shared" si="14"/>
        <v>877.606247486162</v>
      </c>
      <c r="S66" s="61">
        <f t="shared" si="15"/>
        <v>223.65150201246306</v>
      </c>
      <c r="W66" s="131">
        <v>1167.1</v>
      </c>
      <c r="X66" s="40">
        <f t="shared" si="16"/>
        <v>54.94479222003257</v>
      </c>
      <c r="Y66" s="40">
        <f t="shared" si="17"/>
        <v>0.05973597810161941</v>
      </c>
      <c r="Z66" s="40"/>
    </row>
    <row r="67" spans="16:24" ht="36" customHeight="1" thickBot="1">
      <c r="P67" s="133"/>
      <c r="Q67" s="133"/>
      <c r="R67" s="48">
        <f>SUM(R51:R66)</f>
        <v>20320.032588683032</v>
      </c>
      <c r="S67" s="44">
        <f>SUM(S51:S66)</f>
        <v>4946.761482755306</v>
      </c>
      <c r="X67" s="22">
        <f>SUM(X51:X66)</f>
        <v>1215.2781420484466</v>
      </c>
    </row>
    <row r="68" spans="16:17" ht="12.75">
      <c r="P68" s="22">
        <f>SUM(P51:P66)</f>
        <v>36285.77247979112</v>
      </c>
      <c r="Q68" s="22"/>
    </row>
  </sheetData>
  <printOptions horizontalCentered="1" verticalCentered="1"/>
  <pageMargins left="1.5748031496062993" right="1.5748031496062993" top="1.5748031496062993" bottom="0.9448818897637796" header="0" footer="0"/>
  <pageSetup horizontalDpi="600" verticalDpi="600" orientation="landscape" paperSize="9" scale="65" r:id="rId2"/>
  <headerFooter alignWithMargins="0">
    <oddFooter>&amp;LCompañía Azucarera Valdez&amp;R80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Valores y Administraciones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FERRETERA</dc:creator>
  <cp:keywords/>
  <dc:description/>
  <cp:lastModifiedBy>RICARDO ARIAS</cp:lastModifiedBy>
  <cp:lastPrinted>2003-06-11T19:53:16Z</cp:lastPrinted>
  <dcterms:created xsi:type="dcterms:W3CDTF">2002-06-07T17:29:35Z</dcterms:created>
  <dcterms:modified xsi:type="dcterms:W3CDTF">2003-06-18T20:40:33Z</dcterms:modified>
  <cp:category/>
  <cp:version/>
  <cp:contentType/>
  <cp:contentStatus/>
</cp:coreProperties>
</file>