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firstSheet="10" activeTab="10"/>
  </bookViews>
  <sheets>
    <sheet name="COSTOS FIJOS" sheetId="11" r:id="rId1"/>
    <sheet name="COSTOS VARIABLES" sheetId="13" r:id="rId2"/>
    <sheet name="GASTO ADMINIST" sheetId="12" r:id="rId3"/>
    <sheet name="DEMANDA" sheetId="14" r:id="rId4"/>
    <sheet name="ACTIVOS FIJOS" sheetId="15" r:id="rId5"/>
    <sheet name="DEPREC" sheetId="16" r:id="rId6"/>
    <sheet name="INVERSION TOTAL" sheetId="17" r:id="rId7"/>
    <sheet name="CAPITAL DE TRABAJO" sheetId="1" r:id="rId8"/>
    <sheet name="TABL. AMORTIZACION" sheetId="3" r:id="rId9"/>
    <sheet name="INVERSION INICIAL" sheetId="4" r:id="rId10"/>
    <sheet name="ESTADO DE RESULTADO" sheetId="2" r:id="rId11"/>
    <sheet name="FLUJO DE CAJA DEL INVERSIO" sheetId="18" r:id="rId12"/>
    <sheet name="flujo de caja proyecto puro" sheetId="5" r:id="rId13"/>
    <sheet name="PUNTO DE EQ." sheetId="20" r:id="rId14"/>
    <sheet name="CALCULO DE TMAR" sheetId="9" r:id="rId15"/>
    <sheet name="VAN CERO" sheetId="10" r:id="rId16"/>
    <sheet name="ANALISIS DE SENSIB" sheetId="19" r:id="rId17"/>
  </sheets>
  <externalReferences>
    <externalReference r:id="rId18"/>
  </externalReferences>
  <calcPr calcId="124519"/>
</workbook>
</file>

<file path=xl/calcChain.xml><?xml version="1.0" encoding="utf-8"?>
<calcChain xmlns="http://schemas.openxmlformats.org/spreadsheetml/2006/main">
  <c r="G50" i="18"/>
  <c r="F53"/>
  <c r="F52"/>
  <c r="F51"/>
  <c r="F50"/>
  <c r="G49"/>
  <c r="H49" s="1"/>
  <c r="E50" s="1"/>
  <c r="F49"/>
  <c r="E26"/>
  <c r="E21"/>
  <c r="E16"/>
  <c r="D40"/>
  <c r="I25"/>
  <c r="H25"/>
  <c r="G25"/>
  <c r="F25"/>
  <c r="E25"/>
  <c r="I21"/>
  <c r="H21"/>
  <c r="G21"/>
  <c r="F21"/>
  <c r="I16"/>
  <c r="H16"/>
  <c r="G16"/>
  <c r="F16"/>
  <c r="I8"/>
  <c r="I26" s="1"/>
  <c r="G8"/>
  <c r="G26" s="1"/>
  <c r="E8"/>
  <c r="H8"/>
  <c r="H26" s="1"/>
  <c r="F6"/>
  <c r="F8" s="1"/>
  <c r="F26" s="1"/>
  <c r="D17" i="17"/>
  <c r="D16"/>
  <c r="D10"/>
  <c r="E9"/>
  <c r="E8"/>
  <c r="E7"/>
  <c r="E6"/>
  <c r="E5"/>
  <c r="E10" s="1"/>
  <c r="E34" i="15"/>
  <c r="D34"/>
  <c r="F29"/>
  <c r="F30"/>
  <c r="F31"/>
  <c r="F32"/>
  <c r="F33"/>
  <c r="F28"/>
  <c r="F34" s="1"/>
  <c r="O20" i="1"/>
  <c r="O19"/>
  <c r="O16"/>
  <c r="O15"/>
  <c r="O14"/>
  <c r="O13"/>
  <c r="O12"/>
  <c r="O11"/>
  <c r="O9"/>
  <c r="O8"/>
  <c r="O7"/>
  <c r="L42" i="16"/>
  <c r="L41"/>
  <c r="L40"/>
  <c r="L39"/>
  <c r="L38"/>
  <c r="L37"/>
  <c r="D8"/>
  <c r="D9"/>
  <c r="D10"/>
  <c r="D11"/>
  <c r="D12"/>
  <c r="D13"/>
  <c r="D14"/>
  <c r="D15"/>
  <c r="D16"/>
  <c r="D7"/>
  <c r="F7" s="1"/>
  <c r="F8" s="1"/>
  <c r="F9" s="1"/>
  <c r="F10" s="1"/>
  <c r="F11" s="1"/>
  <c r="F12" s="1"/>
  <c r="F13" s="1"/>
  <c r="F14" s="1"/>
  <c r="F15" s="1"/>
  <c r="F16" s="1"/>
  <c r="E23" i="15"/>
  <c r="F22"/>
  <c r="F21"/>
  <c r="F20"/>
  <c r="F19"/>
  <c r="F18"/>
  <c r="F17"/>
  <c r="F16"/>
  <c r="F15"/>
  <c r="F14"/>
  <c r="F13"/>
  <c r="F12"/>
  <c r="F11"/>
  <c r="F10"/>
  <c r="F9"/>
  <c r="F8"/>
  <c r="F7"/>
  <c r="F6"/>
  <c r="F5"/>
  <c r="H50" i="18" l="1"/>
  <c r="E51" s="1"/>
  <c r="F27"/>
  <c r="F28"/>
  <c r="H27"/>
  <c r="H28"/>
  <c r="E27"/>
  <c r="E28" s="1"/>
  <c r="I27"/>
  <c r="I28" s="1"/>
  <c r="G27"/>
  <c r="G28" s="1"/>
  <c r="F23" i="15"/>
  <c r="E7" i="16"/>
  <c r="E8" s="1"/>
  <c r="E9" s="1"/>
  <c r="E10" s="1"/>
  <c r="E11" s="1"/>
  <c r="E12" s="1"/>
  <c r="E13" s="1"/>
  <c r="E14" s="1"/>
  <c r="E15" s="1"/>
  <c r="E16" s="1"/>
  <c r="G51" i="18" l="1"/>
  <c r="H51" s="1"/>
  <c r="E52" s="1"/>
  <c r="E29"/>
  <c r="E30" s="1"/>
  <c r="E34" s="1"/>
  <c r="E40" s="1"/>
  <c r="I29"/>
  <c r="I30" s="1"/>
  <c r="I34" s="1"/>
  <c r="I40" s="1"/>
  <c r="G29"/>
  <c r="G30" s="1"/>
  <c r="G34" s="1"/>
  <c r="G40" s="1"/>
  <c r="H29"/>
  <c r="H30" s="1"/>
  <c r="H34" s="1"/>
  <c r="H40" s="1"/>
  <c r="F29"/>
  <c r="F30"/>
  <c r="F34" s="1"/>
  <c r="F40" s="1"/>
  <c r="G52" l="1"/>
  <c r="H52" s="1"/>
  <c r="E53" s="1"/>
  <c r="D43"/>
  <c r="D42"/>
  <c r="G53" l="1"/>
  <c r="H53" s="1"/>
  <c r="O9" i="14"/>
  <c r="O7"/>
  <c r="N9"/>
  <c r="M9"/>
  <c r="L9"/>
  <c r="K9"/>
  <c r="J9"/>
  <c r="I9"/>
  <c r="H9"/>
  <c r="G9"/>
  <c r="F9"/>
  <c r="E9"/>
  <c r="D9"/>
  <c r="C9"/>
  <c r="D49" i="13"/>
  <c r="C49"/>
  <c r="I48"/>
  <c r="J48" s="1"/>
  <c r="K48" s="1"/>
  <c r="F48"/>
  <c r="G48" s="1"/>
  <c r="I47"/>
  <c r="J47" s="1"/>
  <c r="K47" s="1"/>
  <c r="F47"/>
  <c r="G47" s="1"/>
  <c r="I46"/>
  <c r="J46" s="1"/>
  <c r="K46" s="1"/>
  <c r="F46"/>
  <c r="G46" s="1"/>
  <c r="E45"/>
  <c r="F45" s="1"/>
  <c r="G45" s="1"/>
  <c r="H45" s="1"/>
  <c r="I45" s="1"/>
  <c r="J45" s="1"/>
  <c r="K45" s="1"/>
  <c r="E44"/>
  <c r="F44" s="1"/>
  <c r="G44" s="1"/>
  <c r="H44" s="1"/>
  <c r="I44" s="1"/>
  <c r="J44" s="1"/>
  <c r="K44" s="1"/>
  <c r="F43"/>
  <c r="G43" s="1"/>
  <c r="H43" s="1"/>
  <c r="I43" s="1"/>
  <c r="J43" s="1"/>
  <c r="K43" s="1"/>
  <c r="E43"/>
  <c r="E42"/>
  <c r="F42" s="1"/>
  <c r="G42" s="1"/>
  <c r="H42" s="1"/>
  <c r="I42" s="1"/>
  <c r="J41"/>
  <c r="E41"/>
  <c r="F41" s="1"/>
  <c r="G41" s="1"/>
  <c r="H41" s="1"/>
  <c r="K40"/>
  <c r="E40"/>
  <c r="E49" s="1"/>
  <c r="F34"/>
  <c r="G34" s="1"/>
  <c r="H34" s="1"/>
  <c r="K33"/>
  <c r="L33" s="1"/>
  <c r="F33"/>
  <c r="G33" s="1"/>
  <c r="H33" s="1"/>
  <c r="I33" s="1"/>
  <c r="K32"/>
  <c r="L32" s="1"/>
  <c r="F32"/>
  <c r="G32" s="1"/>
  <c r="H32" s="1"/>
  <c r="F31"/>
  <c r="G31" s="1"/>
  <c r="H31" s="1"/>
  <c r="I31" s="1"/>
  <c r="J31" s="1"/>
  <c r="L30"/>
  <c r="F30"/>
  <c r="G30" s="1"/>
  <c r="H30" s="1"/>
  <c r="I30" s="1"/>
  <c r="I35" s="1"/>
  <c r="F29"/>
  <c r="I20"/>
  <c r="I21"/>
  <c r="I19"/>
  <c r="J22"/>
  <c r="F22"/>
  <c r="D22"/>
  <c r="H21"/>
  <c r="G21"/>
  <c r="E21"/>
  <c r="K21" s="1"/>
  <c r="L21" s="1"/>
  <c r="H20"/>
  <c r="G20"/>
  <c r="E20"/>
  <c r="K20" s="1"/>
  <c r="L20" s="1"/>
  <c r="I22"/>
  <c r="H19"/>
  <c r="G19"/>
  <c r="E19"/>
  <c r="I11"/>
  <c r="I12"/>
  <c r="I9"/>
  <c r="J13"/>
  <c r="C13"/>
  <c r="C22" s="1"/>
  <c r="H12"/>
  <c r="G12"/>
  <c r="F12"/>
  <c r="E12"/>
  <c r="H11"/>
  <c r="G11"/>
  <c r="F11"/>
  <c r="K11" s="1"/>
  <c r="L11" s="1"/>
  <c r="E11"/>
  <c r="D10"/>
  <c r="I10" s="1"/>
  <c r="H9"/>
  <c r="G9"/>
  <c r="F9"/>
  <c r="E9"/>
  <c r="E54" i="12"/>
  <c r="F54" s="1"/>
  <c r="G54" s="1"/>
  <c r="H54" s="1"/>
  <c r="E52"/>
  <c r="F52" s="1"/>
  <c r="G52" s="1"/>
  <c r="H52" s="1"/>
  <c r="C55"/>
  <c r="D53"/>
  <c r="D55" s="1"/>
  <c r="E55" s="1"/>
  <c r="F55" s="1"/>
  <c r="G55" s="1"/>
  <c r="H55" s="1"/>
  <c r="D52"/>
  <c r="I9"/>
  <c r="I10"/>
  <c r="I8"/>
  <c r="I7"/>
  <c r="J12"/>
  <c r="F12"/>
  <c r="C12"/>
  <c r="H11"/>
  <c r="D11"/>
  <c r="D12" s="1"/>
  <c r="H10"/>
  <c r="G10"/>
  <c r="E10"/>
  <c r="K10" s="1"/>
  <c r="L10" s="1"/>
  <c r="H9"/>
  <c r="G9"/>
  <c r="E9"/>
  <c r="K9" s="1"/>
  <c r="L9" s="1"/>
  <c r="H8"/>
  <c r="G8"/>
  <c r="E8"/>
  <c r="K8" s="1"/>
  <c r="L8" s="1"/>
  <c r="H7"/>
  <c r="H12" s="1"/>
  <c r="G7"/>
  <c r="E7"/>
  <c r="K7" s="1"/>
  <c r="I11" l="1"/>
  <c r="E11"/>
  <c r="E12" s="1"/>
  <c r="E13" i="13"/>
  <c r="E10"/>
  <c r="K12"/>
  <c r="L12" s="1"/>
  <c r="E22"/>
  <c r="H22"/>
  <c r="F35"/>
  <c r="G10"/>
  <c r="G22" s="1"/>
  <c r="D13"/>
  <c r="G13"/>
  <c r="I13"/>
  <c r="H49"/>
  <c r="I49"/>
  <c r="J42"/>
  <c r="K42" s="1"/>
  <c r="J49"/>
  <c r="F40"/>
  <c r="K41"/>
  <c r="K49" s="1"/>
  <c r="J35"/>
  <c r="K31"/>
  <c r="G29"/>
  <c r="K19"/>
  <c r="K9"/>
  <c r="F10"/>
  <c r="F13" s="1"/>
  <c r="H10"/>
  <c r="H13" s="1"/>
  <c r="E53" i="12"/>
  <c r="F53" s="1"/>
  <c r="G53" s="1"/>
  <c r="H53" s="1"/>
  <c r="L7"/>
  <c r="I12"/>
  <c r="G11"/>
  <c r="G12" s="1"/>
  <c r="K11" l="1"/>
  <c r="L11" s="1"/>
  <c r="L12"/>
  <c r="F49" i="13"/>
  <c r="G40"/>
  <c r="G49" s="1"/>
  <c r="G35"/>
  <c r="H29"/>
  <c r="H35" s="1"/>
  <c r="K35"/>
  <c r="L31"/>
  <c r="L35" s="1"/>
  <c r="K22"/>
  <c r="L19"/>
  <c r="L22" s="1"/>
  <c r="L9"/>
  <c r="K10"/>
  <c r="L10" s="1"/>
  <c r="K12" i="12"/>
  <c r="L13" i="13" l="1"/>
  <c r="K13"/>
  <c r="O38" i="12" l="1"/>
  <c r="O23"/>
  <c r="O27" s="1"/>
  <c r="E40"/>
  <c r="F40" s="1"/>
  <c r="G40" s="1"/>
  <c r="H40" s="1"/>
  <c r="I40" s="1"/>
  <c r="J40" s="1"/>
  <c r="E41"/>
  <c r="F41" s="1"/>
  <c r="G41" s="1"/>
  <c r="H41" s="1"/>
  <c r="I41" s="1"/>
  <c r="J41" s="1"/>
  <c r="E42"/>
  <c r="F42" s="1"/>
  <c r="G42" s="1"/>
  <c r="H42" s="1"/>
  <c r="I42" s="1"/>
  <c r="J42" s="1"/>
  <c r="E43"/>
  <c r="F43" s="1"/>
  <c r="G43" s="1"/>
  <c r="H43" s="1"/>
  <c r="I43" s="1"/>
  <c r="J43" s="1"/>
  <c r="E44"/>
  <c r="F44" s="1"/>
  <c r="G44" s="1"/>
  <c r="H44" s="1"/>
  <c r="I44" s="1"/>
  <c r="J44" s="1"/>
  <c r="E45"/>
  <c r="F45" s="1"/>
  <c r="G45" s="1"/>
  <c r="H45" s="1"/>
  <c r="I45" s="1"/>
  <c r="J45" s="1"/>
  <c r="E46"/>
  <c r="F46" s="1"/>
  <c r="G46" s="1"/>
  <c r="H46" s="1"/>
  <c r="I46" s="1"/>
  <c r="J46" s="1"/>
  <c r="E39"/>
  <c r="F39" s="1"/>
  <c r="G39" s="1"/>
  <c r="H39" s="1"/>
  <c r="I39" s="1"/>
  <c r="J39" s="1"/>
  <c r="D47"/>
  <c r="C33"/>
  <c r="C34" s="1"/>
  <c r="D34" i="11"/>
  <c r="D35" s="1"/>
  <c r="E28"/>
  <c r="F28"/>
  <c r="G28" s="1"/>
  <c r="H28" s="1"/>
  <c r="C28"/>
  <c r="C29" s="1"/>
  <c r="D27"/>
  <c r="E27" s="1"/>
  <c r="F27" s="1"/>
  <c r="G27" s="1"/>
  <c r="H27" s="1"/>
  <c r="D26"/>
  <c r="D32" i="12"/>
  <c r="D34" s="1"/>
  <c r="E15" i="11"/>
  <c r="F15"/>
  <c r="G15"/>
  <c r="H15"/>
  <c r="C15"/>
  <c r="E27" i="12"/>
  <c r="F27"/>
  <c r="C27"/>
  <c r="G26"/>
  <c r="H26" s="1"/>
  <c r="H27" s="1"/>
  <c r="D26"/>
  <c r="D27" s="1"/>
  <c r="D29" i="11" l="1"/>
  <c r="E29" s="1"/>
  <c r="F29" s="1"/>
  <c r="G29" s="1"/>
  <c r="H29" s="1"/>
  <c r="E26"/>
  <c r="F26" s="1"/>
  <c r="G26" s="1"/>
  <c r="H26" s="1"/>
  <c r="G27" i="12"/>
  <c r="E32"/>
  <c r="E34" s="1"/>
  <c r="F32" l="1"/>
  <c r="F34" s="1"/>
  <c r="G32"/>
  <c r="G34" s="1"/>
  <c r="H32" l="1"/>
  <c r="H34" s="1"/>
  <c r="H22" l="1"/>
  <c r="G22"/>
  <c r="F22"/>
  <c r="C22"/>
  <c r="D21"/>
  <c r="D20"/>
  <c r="D19"/>
  <c r="E18"/>
  <c r="D18"/>
  <c r="D21" i="11" l="1"/>
  <c r="E20"/>
  <c r="E21" s="1"/>
  <c r="D14"/>
  <c r="D15" s="1"/>
  <c r="C9"/>
  <c r="D8"/>
  <c r="D7"/>
  <c r="D6"/>
  <c r="E6" s="1"/>
  <c r="F70" i="2"/>
  <c r="C70"/>
  <c r="O23" i="1"/>
  <c r="F20" i="11" l="1"/>
  <c r="F21" s="1"/>
  <c r="E9"/>
  <c r="F6"/>
  <c r="D9"/>
  <c r="G20"/>
  <c r="G6" l="1"/>
  <c r="F9"/>
  <c r="G21"/>
  <c r="H20"/>
  <c r="H21" s="1"/>
  <c r="D7" i="3"/>
  <c r="G9" i="11" l="1"/>
  <c r="H6"/>
  <c r="H9" s="1"/>
  <c r="E75" i="1"/>
  <c r="F6" i="2"/>
  <c r="G6"/>
  <c r="H6"/>
  <c r="E38" i="10" l="1"/>
  <c r="J30"/>
  <c r="I30"/>
  <c r="H30"/>
  <c r="G30"/>
  <c r="F30"/>
  <c r="J23"/>
  <c r="I23"/>
  <c r="H23"/>
  <c r="G23"/>
  <c r="F23"/>
  <c r="J19"/>
  <c r="I19"/>
  <c r="H19"/>
  <c r="G19"/>
  <c r="F19"/>
  <c r="J14"/>
  <c r="I14"/>
  <c r="H14"/>
  <c r="G14"/>
  <c r="F14"/>
  <c r="J6"/>
  <c r="J24" s="1"/>
  <c r="J25" s="1"/>
  <c r="H6"/>
  <c r="F6"/>
  <c r="F24" s="1"/>
  <c r="F25" s="1"/>
  <c r="I6"/>
  <c r="G4"/>
  <c r="G6" s="1"/>
  <c r="G24" s="1"/>
  <c r="G25" s="1"/>
  <c r="I24" l="1"/>
  <c r="I25" s="1"/>
  <c r="I26" s="1"/>
  <c r="I27" s="1"/>
  <c r="H24"/>
  <c r="H25" s="1"/>
  <c r="G26"/>
  <c r="G27" s="1"/>
  <c r="F26"/>
  <c r="F27" s="1"/>
  <c r="J26"/>
  <c r="J27" s="1"/>
  <c r="H26"/>
  <c r="H27" s="1"/>
  <c r="D40" i="9"/>
  <c r="D39"/>
  <c r="D38" s="1"/>
  <c r="D41" s="1"/>
  <c r="D20"/>
  <c r="D9"/>
  <c r="D10" s="1"/>
  <c r="E6" i="2"/>
  <c r="D13" i="9" l="1"/>
  <c r="F10"/>
  <c r="H28" i="10"/>
  <c r="H32" s="1"/>
  <c r="H38" s="1"/>
  <c r="G28"/>
  <c r="G32" s="1"/>
  <c r="G38" s="1"/>
  <c r="I28"/>
  <c r="I32" s="1"/>
  <c r="I38" s="1"/>
  <c r="J28"/>
  <c r="J32" s="1"/>
  <c r="J38" s="1"/>
  <c r="F28"/>
  <c r="F32" s="1"/>
  <c r="F38" s="1"/>
  <c r="D35" i="5"/>
  <c r="E64" i="2" s="1"/>
  <c r="E21" i="5"/>
  <c r="I29"/>
  <c r="H29"/>
  <c r="G29"/>
  <c r="F29"/>
  <c r="E29"/>
  <c r="I21"/>
  <c r="H21"/>
  <c r="G21"/>
  <c r="F21"/>
  <c r="I16"/>
  <c r="H16"/>
  <c r="G16"/>
  <c r="F16"/>
  <c r="E16"/>
  <c r="I8"/>
  <c r="G8"/>
  <c r="E8"/>
  <c r="H8"/>
  <c r="F8"/>
  <c r="L26" i="1"/>
  <c r="O4"/>
  <c r="O5" s="1"/>
  <c r="M26" s="1"/>
  <c r="C9"/>
  <c r="C17"/>
  <c r="C3"/>
  <c r="D3"/>
  <c r="D25" i="2"/>
  <c r="D21" i="9" l="1"/>
  <c r="D22" s="1"/>
  <c r="G22" s="1"/>
  <c r="H13"/>
  <c r="E40" i="10"/>
  <c r="E41"/>
  <c r="E23" i="5"/>
  <c r="E24" s="1"/>
  <c r="E25" s="1"/>
  <c r="F23"/>
  <c r="F24" s="1"/>
  <c r="F25" s="1"/>
  <c r="I23"/>
  <c r="I24" s="1"/>
  <c r="I25" s="1"/>
  <c r="H23"/>
  <c r="H24" s="1"/>
  <c r="H25" s="1"/>
  <c r="G23"/>
  <c r="G24" s="1"/>
  <c r="G25" s="1"/>
  <c r="I26" l="1"/>
  <c r="I27" s="1"/>
  <c r="E26"/>
  <c r="E27" s="1"/>
  <c r="G26"/>
  <c r="G27" s="1"/>
  <c r="H26"/>
  <c r="H27" s="1"/>
  <c r="F26"/>
  <c r="F27" s="1"/>
  <c r="B64" i="2"/>
  <c r="H20" i="4"/>
  <c r="H15"/>
  <c r="E59" i="1"/>
  <c r="D66"/>
  <c r="D68"/>
  <c r="D70"/>
  <c r="D72"/>
  <c r="D63"/>
  <c r="D62"/>
  <c r="D64" s="1"/>
  <c r="D73" l="1"/>
  <c r="D71"/>
  <c r="D69"/>
  <c r="D67"/>
  <c r="D75" s="1"/>
  <c r="D65"/>
  <c r="D74"/>
  <c r="H30" i="5"/>
  <c r="H35" s="1"/>
  <c r="E68" i="2" s="1"/>
  <c r="F30" i="5"/>
  <c r="F35" s="1"/>
  <c r="E66" i="2" s="1"/>
  <c r="G30" i="5"/>
  <c r="G35" s="1"/>
  <c r="I30"/>
  <c r="I35" s="1"/>
  <c r="E69" i="2" s="1"/>
  <c r="E30" i="5"/>
  <c r="E35" s="1"/>
  <c r="E65" i="2" s="1"/>
  <c r="D37" i="5" l="1"/>
  <c r="F71" i="2" s="1"/>
  <c r="E67"/>
  <c r="D38" i="5"/>
  <c r="F72" i="2" l="1"/>
  <c r="E3" i="1" l="1"/>
  <c r="F3"/>
  <c r="G3"/>
  <c r="H3"/>
  <c r="I3"/>
  <c r="J3"/>
  <c r="K3"/>
  <c r="L3"/>
  <c r="M3"/>
  <c r="N3"/>
  <c r="O3" l="1"/>
  <c r="D16" i="2" l="1"/>
  <c r="D20" i="4" l="1"/>
  <c r="H24"/>
  <c r="D21" i="2"/>
  <c r="F48" i="1"/>
  <c r="D8" i="2" l="1"/>
  <c r="D26" s="1"/>
  <c r="E25"/>
  <c r="F25"/>
  <c r="G25"/>
  <c r="H25"/>
  <c r="D11" i="4"/>
  <c r="D24" s="1"/>
  <c r="D6" i="3"/>
  <c r="J4" s="1"/>
  <c r="F19"/>
  <c r="P15" i="1"/>
  <c r="H21" i="2"/>
  <c r="G21"/>
  <c r="F21"/>
  <c r="E21"/>
  <c r="E16"/>
  <c r="F16"/>
  <c r="G16"/>
  <c r="D27" l="1"/>
  <c r="D28" s="1"/>
  <c r="D29" s="1"/>
  <c r="J6" i="3"/>
  <c r="J7"/>
  <c r="D8"/>
  <c r="F8" i="2"/>
  <c r="E22" i="3"/>
  <c r="E24"/>
  <c r="D20"/>
  <c r="E21"/>
  <c r="E23"/>
  <c r="E20"/>
  <c r="F16"/>
  <c r="H16" i="2"/>
  <c r="J8" i="3" l="1"/>
  <c r="C20"/>
  <c r="F20" s="1"/>
  <c r="D21" s="1"/>
  <c r="C21" s="1"/>
  <c r="F21" s="1"/>
  <c r="E8" i="2"/>
  <c r="E26" s="1"/>
  <c r="E27" l="1"/>
  <c r="E28" s="1"/>
  <c r="D30"/>
  <c r="D22" i="3"/>
  <c r="C22" s="1"/>
  <c r="F22" s="1"/>
  <c r="F26" i="2"/>
  <c r="E29" l="1"/>
  <c r="E30" s="1"/>
  <c r="B66" s="1"/>
  <c r="D23" i="3"/>
  <c r="C23" s="1"/>
  <c r="F23" s="1"/>
  <c r="F27" i="2"/>
  <c r="F28" s="1"/>
  <c r="F29" s="1"/>
  <c r="H8"/>
  <c r="H26" s="1"/>
  <c r="G8"/>
  <c r="G26" s="1"/>
  <c r="G27" s="1"/>
  <c r="G28" s="1"/>
  <c r="B65" l="1"/>
  <c r="G29"/>
  <c r="G30" s="1"/>
  <c r="D24" i="3"/>
  <c r="C24" s="1"/>
  <c r="F24" s="1"/>
  <c r="F30" i="2"/>
  <c r="H27"/>
  <c r="H28" s="1"/>
  <c r="H29" s="1"/>
  <c r="B67" l="1"/>
  <c r="H30"/>
  <c r="B68" l="1"/>
  <c r="D49" i="1"/>
  <c r="D51"/>
  <c r="D53"/>
  <c r="D55"/>
  <c r="D57"/>
  <c r="D47"/>
  <c r="D48"/>
  <c r="D21"/>
  <c r="E21"/>
  <c r="F21"/>
  <c r="G21"/>
  <c r="H21"/>
  <c r="I21"/>
  <c r="J21"/>
  <c r="K21"/>
  <c r="L21"/>
  <c r="M21"/>
  <c r="N21"/>
  <c r="C21"/>
  <c r="D17"/>
  <c r="E17"/>
  <c r="F17"/>
  <c r="G17"/>
  <c r="H17"/>
  <c r="I17"/>
  <c r="J17"/>
  <c r="K17"/>
  <c r="L17"/>
  <c r="M17"/>
  <c r="N17"/>
  <c r="B69" i="2" l="1"/>
  <c r="D58" i="1"/>
  <c r="D56"/>
  <c r="D54"/>
  <c r="D52"/>
  <c r="D50"/>
  <c r="C72" i="2" l="1"/>
  <c r="C71"/>
  <c r="D59" i="1"/>
  <c r="D9"/>
  <c r="E9"/>
  <c r="E22" s="1"/>
  <c r="E23" s="1"/>
  <c r="F9"/>
  <c r="F22" s="1"/>
  <c r="F23" s="1"/>
  <c r="G9"/>
  <c r="H9"/>
  <c r="H22" s="1"/>
  <c r="H23" s="1"/>
  <c r="I9"/>
  <c r="I22" s="1"/>
  <c r="I23" s="1"/>
  <c r="J9"/>
  <c r="J22" s="1"/>
  <c r="J23" s="1"/>
  <c r="K9"/>
  <c r="K22" s="1"/>
  <c r="K23" s="1"/>
  <c r="L9"/>
  <c r="L22" s="1"/>
  <c r="L23" s="1"/>
  <c r="M9"/>
  <c r="M22" s="1"/>
  <c r="M23" s="1"/>
  <c r="N9"/>
  <c r="N22" s="1"/>
  <c r="N23" s="1"/>
  <c r="C22"/>
  <c r="C23" s="1"/>
  <c r="C24" s="1"/>
  <c r="D22" l="1"/>
  <c r="D23" s="1"/>
  <c r="D24" s="1"/>
  <c r="E24" s="1"/>
  <c r="F24" s="1"/>
  <c r="G22"/>
  <c r="G23" s="1"/>
  <c r="G24" l="1"/>
  <c r="H24" s="1"/>
  <c r="I24" s="1"/>
  <c r="J24" s="1"/>
  <c r="K24" s="1"/>
  <c r="L24" s="1"/>
  <c r="M24" s="1"/>
  <c r="N24" s="1"/>
</calcChain>
</file>

<file path=xl/sharedStrings.xml><?xml version="1.0" encoding="utf-8"?>
<sst xmlns="http://schemas.openxmlformats.org/spreadsheetml/2006/main" count="733" uniqueCount="367">
  <si>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</si>
  <si>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</si>
  <si>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</si>
  <si>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</si>
  <si>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</si>
  <si>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</si>
  <si>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</si>
  <si>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</si>
  <si>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</si>
  <si>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</si>
  <si>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</si>
  <si>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</si>
  <si>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</si>
  <si>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COSTOS DE PRODUCCION</t>
  </si>
  <si>
    <t>COSTOS FIJOS</t>
  </si>
  <si>
    <t>COSTOS VARIABLES</t>
  </si>
  <si>
    <t>TOTAL COSTOS DE PRODUCCION</t>
  </si>
  <si>
    <t>COSTOS ADMINISTRATIVOS</t>
  </si>
  <si>
    <t>SUELDOS Y SALARIOS DE PERSONAL</t>
  </si>
  <si>
    <t>GASTOS DE ALQUILER</t>
  </si>
  <si>
    <t>GASTOS DE DEPRECIACION</t>
  </si>
  <si>
    <t>GASTOS DE SUMINISTROS</t>
  </si>
  <si>
    <t>GASTOS DE ORGANIZACIÓN Y CONSTITUCION</t>
  </si>
  <si>
    <t>GASTOS VARIOS</t>
  </si>
  <si>
    <t>TOTAL GASTOS ADMINISTRATIVOS</t>
  </si>
  <si>
    <t>GASTO DE VENTAS</t>
  </si>
  <si>
    <t>GASTOS DE PUBLICIDAD</t>
  </si>
  <si>
    <t>SALARIO VENDEDOR</t>
  </si>
  <si>
    <t>TOTAL DE GASTO DE VENTA</t>
  </si>
  <si>
    <t>TOTAL DE COSTOS</t>
  </si>
  <si>
    <t>SALDO</t>
  </si>
  <si>
    <t>SALDO 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</si>
  <si>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</si>
  <si>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</si>
  <si>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</si>
  <si>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</si>
  <si>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</si>
  <si>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</si>
  <si>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</si>
  <si>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</si>
  <si>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</si>
  <si>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</si>
  <si>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</si>
  <si>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</si>
  <si>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</si>
  <si>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</si>
  <si>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Año 1</t>
  </si>
  <si>
    <t>Año 2</t>
  </si>
  <si>
    <t>Año 3</t>
  </si>
  <si>
    <t>Año 4</t>
  </si>
  <si>
    <t>Año 5</t>
  </si>
  <si>
    <t>GASTOS DE ORGANIZACIÓN E INSTALACION</t>
  </si>
  <si>
    <t>SALARIO PERSONAL DE VENTAS</t>
  </si>
  <si>
    <t>GASTOS FINANCIEROS</t>
  </si>
  <si>
    <t>GASTO POR INTERESES</t>
  </si>
  <si>
    <t>Utilidades antes de particip. E impto</t>
  </si>
  <si>
    <t>15% Participacion de trabajadores</t>
  </si>
  <si>
    <t>utilidad antes de impto. A la renta</t>
  </si>
  <si>
    <t>Utilidad Neta</t>
  </si>
  <si>
    <t>ACTIVOS</t>
  </si>
  <si>
    <t>PASIVOS</t>
  </si>
  <si>
    <t>Corriente</t>
  </si>
  <si>
    <t>Efectivo</t>
  </si>
  <si>
    <t>-</t>
  </si>
  <si>
    <t>TOTAL</t>
  </si>
  <si>
    <t>No corriente</t>
  </si>
  <si>
    <t xml:space="preserve"> ACTIVO TANGIBLE</t>
  </si>
  <si>
    <t>Deuda a largo plazo</t>
  </si>
  <si>
    <t>MAQUINARIA Y EQUIPO</t>
  </si>
  <si>
    <t>EQUIPO DE OFICINA</t>
  </si>
  <si>
    <t>EQUIPO DE COMPUTACION</t>
  </si>
  <si>
    <t>MUEBLES DE OFICINA</t>
  </si>
  <si>
    <t>CAPITAL</t>
  </si>
  <si>
    <t>VEHICULO</t>
  </si>
  <si>
    <t>Acciones comunes</t>
  </si>
  <si>
    <t>TOTAL DE ACTIVOS</t>
  </si>
  <si>
    <t>TOTAL PASIVO + PATRIMONIO</t>
  </si>
  <si>
    <t>FINANCIAMIENTO</t>
  </si>
  <si>
    <t>%</t>
  </si>
  <si>
    <t>VALOR</t>
  </si>
  <si>
    <t>CAPITAL PROPIO</t>
  </si>
  <si>
    <t>PRESTAMO</t>
  </si>
  <si>
    <t>INVERSION TOTAL</t>
  </si>
  <si>
    <t>TABLA DE AMORTIZACIÓN DE DEUDA</t>
  </si>
  <si>
    <t>Coorporación Financiera Nacional.</t>
  </si>
  <si>
    <t>Pago:</t>
  </si>
  <si>
    <t>Años:</t>
  </si>
  <si>
    <t>Tasa de interés:</t>
  </si>
  <si>
    <t>Capital:</t>
  </si>
  <si>
    <t>Moneda:</t>
  </si>
  <si>
    <t>Dólares</t>
  </si>
  <si>
    <t>Capital</t>
  </si>
  <si>
    <t>Intereses</t>
  </si>
  <si>
    <t>Pago</t>
  </si>
  <si>
    <t>Saldo</t>
  </si>
  <si>
    <t>Pago de capital</t>
  </si>
  <si>
    <t>(-) Inversion inicial</t>
  </si>
  <si>
    <t>(-) Capital de trabajo</t>
  </si>
  <si>
    <t>(+) Prestamo</t>
  </si>
  <si>
    <t>Valor de Desecho</t>
  </si>
  <si>
    <t>TOTAL DE ACTIVO TANGIBLE</t>
  </si>
  <si>
    <t>MARGEN BRUTO</t>
  </si>
  <si>
    <t xml:space="preserve">TOTAL GASTOS DE VENTAS </t>
  </si>
  <si>
    <t>TOTAL GASTOS POR INTERESES</t>
  </si>
  <si>
    <t>(-) Inversion de reemplazo</t>
  </si>
  <si>
    <t>FLUJO TOTAL</t>
  </si>
  <si>
    <t>TMAR</t>
  </si>
  <si>
    <t>TIR</t>
  </si>
  <si>
    <t>VAN</t>
  </si>
  <si>
    <t>DETALLE INGRESOS / EGRESOS</t>
  </si>
  <si>
    <t>Años</t>
  </si>
  <si>
    <t>COSTO DE PRODUCCION Y VENTA</t>
  </si>
  <si>
    <t>CANTIDAD DEMANDADA EN 5 AÑOS</t>
  </si>
  <si>
    <t>INCREMENTO ANUAL</t>
  </si>
  <si>
    <t xml:space="preserve">ENERGIZANTE </t>
  </si>
  <si>
    <t>CANTIDAD A PRODUCIR (AÑO 1)</t>
  </si>
  <si>
    <t>CANTIDAD A PRODUCIR (AÑO 2)</t>
  </si>
  <si>
    <t>CANTIDAD A PRODUCIR (AÑO 3)</t>
  </si>
  <si>
    <t>CANTIDAD A PRODUCIR (AÑO 4)</t>
  </si>
  <si>
    <t>CANTIDAD A PRODUCIR (AÑO 5)</t>
  </si>
  <si>
    <t>BEBIDA NATURAL</t>
  </si>
  <si>
    <t>PAYBACK</t>
  </si>
  <si>
    <t>PERIODO</t>
  </si>
  <si>
    <t>SALDO DE INVERSION</t>
  </si>
  <si>
    <t>FLUJO DE CAJA</t>
  </si>
  <si>
    <t>RENTABILIDAD EXIGIDA</t>
  </si>
  <si>
    <t>RECUPERACION DE INVERSION</t>
  </si>
  <si>
    <t>DEP</t>
  </si>
  <si>
    <t>DETALLE</t>
  </si>
  <si>
    <t>NATURACTIVE S.A</t>
  </si>
  <si>
    <t>Gerente General Administrativo</t>
  </si>
  <si>
    <t>Contador Publico</t>
  </si>
  <si>
    <t>Ing. Adelaida Sanchez R.</t>
  </si>
  <si>
    <t>Ing. Fabian Cuenca</t>
  </si>
  <si>
    <t>ESTADO DE SITUACION FINANCIERA INICIAL</t>
  </si>
  <si>
    <t>NATURACTIVE S.A.</t>
  </si>
  <si>
    <t>Precio</t>
  </si>
  <si>
    <t>Demanda (Q)</t>
  </si>
  <si>
    <t>Depreciacion y Amortizacion</t>
  </si>
  <si>
    <t>Flujo del accionista</t>
  </si>
  <si>
    <t>AL 1 DE ENERO DEL 2013</t>
  </si>
  <si>
    <t>APORTE DE ACCIONISTAS</t>
  </si>
  <si>
    <t>FABIAN CUENCA</t>
  </si>
  <si>
    <t>MELISSA SANCHEZ</t>
  </si>
  <si>
    <t>TOTAL CAPITAL PROPIO</t>
  </si>
  <si>
    <t>GASTOS DE SERVICIOS BASICOS</t>
  </si>
  <si>
    <t>DESCRIPCION</t>
  </si>
  <si>
    <t>COSTO MENSUAL</t>
  </si>
  <si>
    <t>AGUA</t>
  </si>
  <si>
    <t>LUZ</t>
  </si>
  <si>
    <t>TELEFONO</t>
  </si>
  <si>
    <t>AÑO 2</t>
  </si>
  <si>
    <t>AÑO 3</t>
  </si>
  <si>
    <t>AÑO 4</t>
  </si>
  <si>
    <t>AÑO 5</t>
  </si>
  <si>
    <t>AÑO 1</t>
  </si>
  <si>
    <t>RADIO</t>
  </si>
  <si>
    <t>REVISTA</t>
  </si>
  <si>
    <t xml:space="preserve">VOLANTES </t>
  </si>
  <si>
    <t>AFICHES</t>
  </si>
  <si>
    <t xml:space="preserve">AÑO 1 </t>
  </si>
  <si>
    <t>ALQUILER DE OFICINA</t>
  </si>
  <si>
    <t>ALQUILER DE PLANTA</t>
  </si>
  <si>
    <t>GASTO DE MANTENIMIENTO</t>
  </si>
  <si>
    <t>MANTENIMIENTO DE MAQUINARIA</t>
  </si>
  <si>
    <t>INTERNET</t>
  </si>
  <si>
    <t>22% impuesto a la renta</t>
  </si>
  <si>
    <t>ESTADO DE RESULTADOS &amp; FLUJO DE CAJA DEL INVERSIONISTA</t>
  </si>
  <si>
    <t>ESTADO DE RESULTADOS &amp; FLUJO DE CAJA DEL PROYECTO PURO</t>
  </si>
  <si>
    <t>Ke</t>
  </si>
  <si>
    <t>L</t>
  </si>
  <si>
    <t>B</t>
  </si>
  <si>
    <t>T</t>
  </si>
  <si>
    <t>FLUJO NETO DEL INVERSIONISTA</t>
  </si>
  <si>
    <t>FLUJO NETO DEL PROYECTO PURO</t>
  </si>
  <si>
    <t>RF</t>
  </si>
  <si>
    <t>RM</t>
  </si>
  <si>
    <t>(RM-RF)</t>
  </si>
  <si>
    <t>Ke= Re + Rpecu</t>
  </si>
  <si>
    <t>Re</t>
  </si>
  <si>
    <t>Rd</t>
  </si>
  <si>
    <t>(1-L)</t>
  </si>
  <si>
    <t>Wacc</t>
  </si>
  <si>
    <t>Ko</t>
  </si>
  <si>
    <t>Proyecto puro</t>
  </si>
  <si>
    <t>Inversionistas</t>
  </si>
  <si>
    <t>Calculo del beta</t>
  </si>
  <si>
    <t>Bv</t>
  </si>
  <si>
    <t>(1-TL)</t>
  </si>
  <si>
    <t>T*L</t>
  </si>
  <si>
    <t>BETA</t>
  </si>
  <si>
    <t>Rpecu=</t>
  </si>
  <si>
    <t>CARGO</t>
  </si>
  <si>
    <t>Numero de empleados</t>
  </si>
  <si>
    <t>Salario /mes</t>
  </si>
  <si>
    <t>BENEFICIOS</t>
  </si>
  <si>
    <t xml:space="preserve">aporte al I.E.E.S </t>
  </si>
  <si>
    <t>Fondo de reserva</t>
  </si>
  <si>
    <t>Salario Liquido Anual</t>
  </si>
  <si>
    <t>Salario anual + Fondo de reserva</t>
  </si>
  <si>
    <t>Decimo tercer</t>
  </si>
  <si>
    <t>Decimo cuarto</t>
  </si>
  <si>
    <t>fondo de reserva</t>
  </si>
  <si>
    <t>Vacaciones</t>
  </si>
  <si>
    <t>Operador de lavado y despulpado</t>
  </si>
  <si>
    <t>Operador de lavado, llenado, tapado y enfriado</t>
  </si>
  <si>
    <t>Operador de etiquetado y Codificado</t>
  </si>
  <si>
    <t>Operador de empaquetado y almacenado</t>
  </si>
  <si>
    <t>MANO DE OBRA DIRECTA</t>
  </si>
  <si>
    <t>BODEGUERO</t>
  </si>
  <si>
    <t>CONSERJE</t>
  </si>
  <si>
    <t>SUPERVISOR</t>
  </si>
  <si>
    <t>TOTAL SUELDOS</t>
  </si>
  <si>
    <t>MANO DE OBRA INDIRECTA</t>
  </si>
  <si>
    <t>MENSUAL</t>
  </si>
  <si>
    <t>ANUAL</t>
  </si>
  <si>
    <t>HERRAMIENTAS DE FABRICACION</t>
  </si>
  <si>
    <t>GASTOS DE INSTALACION</t>
  </si>
  <si>
    <t>COSTO ANUAL</t>
  </si>
  <si>
    <t>ADECUACION LOCAL</t>
  </si>
  <si>
    <t>CREACION PAG WEB</t>
  </si>
  <si>
    <t>LAPICES</t>
  </si>
  <si>
    <t>BORRADOR</t>
  </si>
  <si>
    <t>HOJAS RESMAS</t>
  </si>
  <si>
    <t>PLUMAS</t>
  </si>
  <si>
    <t>GRAPADORA</t>
  </si>
  <si>
    <t>SACAGRAPA</t>
  </si>
  <si>
    <t>PERFORADORA</t>
  </si>
  <si>
    <t>CARPETAS</t>
  </si>
  <si>
    <t>DETALLES</t>
  </si>
  <si>
    <t>CANTIDAD</t>
  </si>
  <si>
    <t>COSTO UNITARIO</t>
  </si>
  <si>
    <t>GASTOS DE FUNCIONAMIENTO</t>
  </si>
  <si>
    <t>Procesos</t>
  </si>
  <si>
    <t>Descripción</t>
  </si>
  <si>
    <t>Costo</t>
  </si>
  <si>
    <t xml:space="preserve">Permisos Municipales </t>
  </si>
  <si>
    <t>Registro de marca</t>
  </si>
  <si>
    <t>1.3</t>
  </si>
  <si>
    <t>Tasa de habilitacion de establecimiento</t>
  </si>
  <si>
    <t>Permisos  de Registro Sanitario</t>
  </si>
  <si>
    <t>2.1</t>
  </si>
  <si>
    <t>Permiso de Funcionamiento Anual</t>
  </si>
  <si>
    <t xml:space="preserve">2.2 </t>
  </si>
  <si>
    <t>Certificado Sanitario de los empleados del local</t>
  </si>
  <si>
    <t>Pago Anual del Benemérito Cuerpo de Bomberos</t>
  </si>
  <si>
    <t>Pago anual al Ministerio de Gobierno y Policia</t>
  </si>
  <si>
    <t>GASTOS DE CONSTITUCION</t>
  </si>
  <si>
    <t>ETAPAS</t>
  </si>
  <si>
    <t>COSTO APRÓXIMADO</t>
  </si>
  <si>
    <t>Inscripción Superintendencia de Cías</t>
  </si>
  <si>
    <t>Afiliación Cámara Pequeña Industria</t>
  </si>
  <si>
    <t>Inscripción al Registro Mercantil</t>
  </si>
  <si>
    <t>Número Patronal IESS</t>
  </si>
  <si>
    <t>Honorarios de Abogado</t>
  </si>
  <si>
    <t>Impuestos</t>
  </si>
  <si>
    <t>GASTOS ADMINISTRATIVOS</t>
  </si>
  <si>
    <t>GERENTE GENERAL Y ADMINISTRATIVO</t>
  </si>
  <si>
    <t>JEFE DE CONTABILIDAD</t>
  </si>
  <si>
    <t>JEFE DE PRODUCCIÓN</t>
  </si>
  <si>
    <t>JEFE DE MERCADOTECNIA Y VENTAS</t>
  </si>
  <si>
    <t>VENDEDORES</t>
  </si>
  <si>
    <t>MATERIA PRIMA E INSUMOS REQUERIDOS PARA LA ELABORACION DE 1 envase en lata de 300ml</t>
  </si>
  <si>
    <t>COSTOS OPERACIONALES</t>
  </si>
  <si>
    <t>Producto</t>
  </si>
  <si>
    <t xml:space="preserve">Descripción </t>
  </si>
  <si>
    <t>Cantidad</t>
  </si>
  <si>
    <t>Total</t>
  </si>
  <si>
    <t>Mensual</t>
  </si>
  <si>
    <t>Anual</t>
  </si>
  <si>
    <t>KIWI</t>
  </si>
  <si>
    <t>Gramos</t>
  </si>
  <si>
    <t>Ázucar</t>
  </si>
  <si>
    <t>Litros</t>
  </si>
  <si>
    <t>PRESERVANTES</t>
  </si>
  <si>
    <t>Miligramos</t>
  </si>
  <si>
    <t>ENVASE</t>
  </si>
  <si>
    <t>Unidad</t>
  </si>
  <si>
    <t>ETIQUETAS</t>
  </si>
  <si>
    <t>MATERIALES INDIRECTOS</t>
  </si>
  <si>
    <t xml:space="preserve">CANTIDAD </t>
  </si>
  <si>
    <t>PRECIO</t>
  </si>
  <si>
    <t>PRECIO TOTAL</t>
  </si>
  <si>
    <t xml:space="preserve">Año 2 </t>
  </si>
  <si>
    <t>MASCARILLLAS (CAJA)</t>
  </si>
  <si>
    <t>GUANTES (CAJA)</t>
  </si>
  <si>
    <t>GORROS (CAJA)</t>
  </si>
  <si>
    <t>MANDIL</t>
  </si>
  <si>
    <t>BOTIQUIN PRIMERO AUXILIOS</t>
  </si>
  <si>
    <t>EXTINTORES</t>
  </si>
  <si>
    <t>SUMINISTROS  DE LIMPIEZA</t>
  </si>
  <si>
    <t>MOVILIZACION/COMBUSTIBLE</t>
  </si>
  <si>
    <t>1 GALON</t>
  </si>
  <si>
    <t>DEMANDA ANUAL</t>
  </si>
  <si>
    <t>TOTAL ANUAL</t>
  </si>
  <si>
    <t>EQUIPO TRATAMIENTO DE AGUA</t>
  </si>
  <si>
    <t>BALANZA INDUSTRIAL</t>
  </si>
  <si>
    <t>DESPULPADOR</t>
  </si>
  <si>
    <t>MARMITA CON AGITADOR</t>
  </si>
  <si>
    <t>FILTRO</t>
  </si>
  <si>
    <t>LLENADORA</t>
  </si>
  <si>
    <t>PASTEURIZADOR</t>
  </si>
  <si>
    <t>ETIQUETADORA MANUAL</t>
  </si>
  <si>
    <t>CODIFICADORA</t>
  </si>
  <si>
    <t>BANDA TRANSPORTADORA DE CADENA</t>
  </si>
  <si>
    <t>MESAS DE TRABAJO ACERO INOXIDABLE</t>
  </si>
  <si>
    <t>PH METRO</t>
  </si>
  <si>
    <t>REFRACTOMETRO</t>
  </si>
  <si>
    <t>FORMADOR DE PAQETES</t>
  </si>
  <si>
    <t>TUNEL TERMO ENCOGIBLE</t>
  </si>
  <si>
    <t>MESA ROTATIVA</t>
  </si>
  <si>
    <t>COOLER</t>
  </si>
  <si>
    <t>VENTILADOR PARA TUNEL</t>
  </si>
  <si>
    <t xml:space="preserve">DEP. ANUAL </t>
  </si>
  <si>
    <t>DEP. ACUM</t>
  </si>
  <si>
    <t>VALOR. EN LIBROS</t>
  </si>
  <si>
    <t>DEPRECIACION DE LOS ACTIVOS FIJOS</t>
  </si>
  <si>
    <t>VIDA UTIL</t>
  </si>
  <si>
    <t>VALOR CONTABLE</t>
  </si>
  <si>
    <t>DEPRECIACION ANUAL</t>
  </si>
  <si>
    <t>MAQUINARIA &amp; EQUIPO</t>
  </si>
  <si>
    <t>EQUIPOS DE COMPUTACIÓN</t>
  </si>
  <si>
    <t>EQUIPOS DE OFICINA</t>
  </si>
  <si>
    <t>HERRAMIENTAS DE FAB.</t>
  </si>
  <si>
    <t>BALDES PLASTICOS DE 10 LITROS</t>
  </si>
  <si>
    <t>CAJA PLASTICA</t>
  </si>
  <si>
    <t>BALDES PLASTICOS 8 LITROS</t>
  </si>
  <si>
    <t>TACHOS PARA BASURA</t>
  </si>
  <si>
    <t>CUCHILLO</t>
  </si>
  <si>
    <t>MANGUERA DE ALIMENTOS</t>
  </si>
  <si>
    <t>COSTO TOTAL</t>
  </si>
  <si>
    <t>INVERSION INICIAL</t>
  </si>
  <si>
    <t>INVERSION EN ACTIVO TANGIBLE</t>
  </si>
  <si>
    <t>EQUIPOS DE COMPUTACION</t>
  </si>
  <si>
    <t>TOTAL INVERSION</t>
  </si>
  <si>
    <t>CAPITAL DE TRABAJO</t>
  </si>
  <si>
    <t>INVERSION ACTIVOS FIJOS</t>
  </si>
  <si>
    <t>B - C</t>
  </si>
  <si>
    <t>(B-C)/TMAR</t>
  </si>
  <si>
    <t>ANALISIS DE SENSIBLIDAD RESPECTO A INGRESOS</t>
  </si>
  <si>
    <t>VARIACION</t>
  </si>
  <si>
    <t>RESULTADO</t>
  </si>
  <si>
    <t>NO FACTIBLE</t>
  </si>
  <si>
    <t>FACTIBLE</t>
  </si>
  <si>
    <t>ANALISIS DE SENSIBLIDAD RESPECTO A COSTOS</t>
  </si>
  <si>
    <t>TASA DE CRECIMIENTO POBLACIONAL</t>
  </si>
  <si>
    <t xml:space="preserve">INCREMENTO DE LA DEMANDA </t>
  </si>
  <si>
    <t>AÑOS</t>
  </si>
  <si>
    <t>DEMANDA DEL PRODUCTO</t>
  </si>
  <si>
    <t>POBLACION GUAYAQUIL</t>
  </si>
  <si>
    <t>MERCADO OBJETIVO (15-35)</t>
  </si>
  <si>
    <t>Hombre y Mujeres (15-35)</t>
  </si>
  <si>
    <t>MERCADO OBJETIVO(clase media,media-alta</t>
  </si>
  <si>
    <t>CAPTACION DE MERCADO 5%</t>
  </si>
  <si>
    <t>ESTIMADO DEL GASTO EN CONSUMO DE BEBIDAS ENERGIZANTES</t>
  </si>
  <si>
    <t>INGRESO ANUAL</t>
  </si>
  <si>
    <t>INGRESOS POR VENTAS= PRECIO DE VENTA * LA DEMANDA</t>
  </si>
  <si>
    <t>DEMANDA</t>
  </si>
  <si>
    <t>PUNTO DE EQUILIBRIO</t>
  </si>
  <si>
    <t>COSTO FIJO</t>
  </si>
  <si>
    <t>COSTO VARIABLE UNITARIO</t>
  </si>
  <si>
    <t>PVP-CVU</t>
  </si>
  <si>
    <t>Q</t>
  </si>
  <si>
    <t>Comprobacion</t>
  </si>
  <si>
    <t>VENTAS</t>
  </si>
  <si>
    <t>COSTOS Y GASTOS VARIABLES</t>
  </si>
  <si>
    <t>MARGEN</t>
  </si>
</sst>
</file>

<file path=xl/styles.xml><?xml version="1.0" encoding="utf-8"?>
<styleSheet xmlns="http://schemas.openxmlformats.org/spreadsheetml/2006/main">
  <numFmts count="9"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[$$-300A]\ #,##0.00"/>
    <numFmt numFmtId="167" formatCode="[$$-300A]\ #,##0.00_);[Red]\([$$-300A]\ #,##0.00\)"/>
    <numFmt numFmtId="168" formatCode="_([$$-300A]\ * #,##0.00_);_([$$-300A]\ * \(#,##0.00\);_([$$-300A]\ * &quot;-&quot;??_);_(@_)"/>
    <numFmt numFmtId="169" formatCode="_-[$$-300A]\ * #,##0.00_ ;_-[$$-300A]\ * \-#,##0.00\ ;_-[$$-300A]\ * &quot;-&quot;??_ ;_-@_ "/>
    <numFmt numFmtId="170" formatCode="_-[$$-240A]\ * #,##0.00_ ;_-[$$-240A]\ * \-#,##0.00\ ;_-[$$-240A]\ * &quot;-&quot;??_ ;_-@_ "/>
    <numFmt numFmtId="171" formatCode="[$$-300A]\ #,##0.0000"/>
    <numFmt numFmtId="172" formatCode="0.0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Unicode MS"/>
      <family val="2"/>
    </font>
    <font>
      <b/>
      <sz val="14"/>
      <color theme="1"/>
      <name val="Arial"/>
      <family val="2"/>
    </font>
    <font>
      <b/>
      <sz val="11"/>
      <color theme="0"/>
      <name val="Arial Unicode MS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b/>
      <sz val="11"/>
      <color theme="1"/>
      <name val="Arial Unicode MS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rgb="FFFFFFFF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538ED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733">
    <xf numFmtId="0" fontId="0" fillId="0" borderId="0" xfId="0"/>
    <xf numFmtId="2" fontId="0" fillId="0" borderId="0" xfId="0" applyNumberFormat="1"/>
    <xf numFmtId="0" fontId="2" fillId="0" borderId="0" xfId="0" applyFont="1" applyFill="1" applyBorder="1"/>
    <xf numFmtId="10" fontId="0" fillId="0" borderId="0" xfId="0" applyNumberFormat="1"/>
    <xf numFmtId="10" fontId="0" fillId="0" borderId="0" xfId="2" applyNumberFormat="1" applyFont="1"/>
    <xf numFmtId="9" fontId="0" fillId="0" borderId="0" xfId="0" applyNumberFormat="1"/>
    <xf numFmtId="1" fontId="0" fillId="0" borderId="0" xfId="0" applyNumberFormat="1"/>
    <xf numFmtId="166" fontId="0" fillId="0" borderId="0" xfId="0" applyNumberFormat="1"/>
    <xf numFmtId="166" fontId="3" fillId="0" borderId="0" xfId="0" applyNumberFormat="1" applyFont="1"/>
    <xf numFmtId="168" fontId="0" fillId="0" borderId="0" xfId="0" applyNumberFormat="1"/>
    <xf numFmtId="0" fontId="3" fillId="0" borderId="5" xfId="0" applyFont="1" applyBorder="1"/>
    <xf numFmtId="0" fontId="0" fillId="0" borderId="0" xfId="0" applyBorder="1"/>
    <xf numFmtId="0" fontId="3" fillId="0" borderId="0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6" fillId="6" borderId="5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166" fontId="3" fillId="0" borderId="1" xfId="0" applyNumberFormat="1" applyFont="1" applyBorder="1"/>
    <xf numFmtId="166" fontId="3" fillId="0" borderId="14" xfId="0" applyNumberFormat="1" applyFont="1" applyBorder="1"/>
    <xf numFmtId="0" fontId="6" fillId="6" borderId="2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3" fillId="0" borderId="24" xfId="0" applyFont="1" applyBorder="1"/>
    <xf numFmtId="0" fontId="3" fillId="0" borderId="21" xfId="0" applyFont="1" applyBorder="1"/>
    <xf numFmtId="0" fontId="3" fillId="0" borderId="25" xfId="0" applyFont="1" applyBorder="1"/>
    <xf numFmtId="166" fontId="3" fillId="0" borderId="0" xfId="0" applyNumberFormat="1" applyFont="1" applyBorder="1"/>
    <xf numFmtId="0" fontId="3" fillId="0" borderId="0" xfId="0" applyFont="1" applyFill="1" applyBorder="1"/>
    <xf numFmtId="166" fontId="3" fillId="0" borderId="0" xfId="0" applyNumberFormat="1" applyFont="1" applyFill="1" applyBorder="1"/>
    <xf numFmtId="167" fontId="3" fillId="0" borderId="0" xfId="0" applyNumberFormat="1" applyFont="1" applyBorder="1"/>
    <xf numFmtId="0" fontId="10" fillId="7" borderId="10" xfId="0" applyFont="1" applyFill="1" applyBorder="1" applyAlignment="1">
      <alignment horizontal="center" wrapText="1"/>
    </xf>
    <xf numFmtId="168" fontId="3" fillId="0" borderId="0" xfId="0" applyNumberFormat="1" applyFont="1" applyFill="1" applyBorder="1"/>
    <xf numFmtId="169" fontId="0" fillId="0" borderId="0" xfId="0" applyNumberFormat="1"/>
    <xf numFmtId="166" fontId="3" fillId="0" borderId="6" xfId="0" applyNumberFormat="1" applyFont="1" applyBorder="1"/>
    <xf numFmtId="0" fontId="3" fillId="0" borderId="6" xfId="0" applyFont="1" applyBorder="1"/>
    <xf numFmtId="167" fontId="3" fillId="0" borderId="6" xfId="0" applyNumberFormat="1" applyFont="1" applyBorder="1"/>
    <xf numFmtId="167" fontId="3" fillId="0" borderId="8" xfId="0" applyNumberFormat="1" applyFont="1" applyBorder="1"/>
    <xf numFmtId="167" fontId="3" fillId="3" borderId="8" xfId="0" applyNumberFormat="1" applyFont="1" applyFill="1" applyBorder="1"/>
    <xf numFmtId="167" fontId="3" fillId="0" borderId="9" xfId="0" applyNumberFormat="1" applyFont="1" applyBorder="1"/>
    <xf numFmtId="0" fontId="12" fillId="0" borderId="0" xfId="0" applyFont="1" applyFill="1" applyBorder="1"/>
    <xf numFmtId="165" fontId="6" fillId="0" borderId="0" xfId="0" applyNumberFormat="1" applyFont="1" applyFill="1" applyBorder="1" applyAlignment="1">
      <alignment horizontal="right" vertical="top"/>
    </xf>
    <xf numFmtId="9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2" fontId="0" fillId="0" borderId="21" xfId="0" applyNumberFormat="1" applyFill="1" applyBorder="1"/>
    <xf numFmtId="0" fontId="5" fillId="4" borderId="27" xfId="0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19" xfId="0" applyFont="1" applyBorder="1"/>
    <xf numFmtId="0" fontId="17" fillId="0" borderId="20" xfId="0" applyFont="1" applyBorder="1"/>
    <xf numFmtId="9" fontId="6" fillId="0" borderId="34" xfId="0" applyNumberFormat="1" applyFont="1" applyBorder="1"/>
    <xf numFmtId="9" fontId="6" fillId="0" borderId="22" xfId="0" applyNumberFormat="1" applyFont="1" applyBorder="1"/>
    <xf numFmtId="0" fontId="6" fillId="0" borderId="23" xfId="0" applyFont="1" applyBorder="1"/>
    <xf numFmtId="0" fontId="17" fillId="6" borderId="19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6" fillId="0" borderId="5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6" xfId="0" applyFont="1" applyBorder="1"/>
    <xf numFmtId="0" fontId="7" fillId="0" borderId="5" xfId="0" applyFont="1" applyBorder="1"/>
    <xf numFmtId="0" fontId="6" fillId="0" borderId="5" xfId="0" applyFont="1" applyFill="1" applyBorder="1"/>
    <xf numFmtId="166" fontId="6" fillId="0" borderId="0" xfId="0" applyNumberFormat="1" applyFont="1" applyBorder="1"/>
    <xf numFmtId="0" fontId="6" fillId="5" borderId="5" xfId="0" applyFont="1" applyFill="1" applyBorder="1"/>
    <xf numFmtId="0" fontId="6" fillId="5" borderId="0" xfId="0" applyFont="1" applyFill="1" applyBorder="1"/>
    <xf numFmtId="0" fontId="6" fillId="0" borderId="6" xfId="0" applyFont="1" applyBorder="1"/>
    <xf numFmtId="2" fontId="6" fillId="0" borderId="0" xfId="0" applyNumberFormat="1" applyFont="1" applyBorder="1"/>
    <xf numFmtId="0" fontId="20" fillId="0" borderId="0" xfId="3" applyAlignment="1" applyProtection="1"/>
    <xf numFmtId="0" fontId="2" fillId="4" borderId="41" xfId="0" applyFont="1" applyFill="1" applyBorder="1"/>
    <xf numFmtId="0" fontId="2" fillId="4" borderId="42" xfId="0" applyFont="1" applyFill="1" applyBorder="1"/>
    <xf numFmtId="166" fontId="3" fillId="0" borderId="3" xfId="0" applyNumberFormat="1" applyFont="1" applyBorder="1"/>
    <xf numFmtId="0" fontId="22" fillId="0" borderId="37" xfId="0" applyFont="1" applyBorder="1"/>
    <xf numFmtId="0" fontId="22" fillId="0" borderId="5" xfId="0" applyFont="1" applyBorder="1"/>
    <xf numFmtId="0" fontId="22" fillId="0" borderId="0" xfId="0" applyFont="1" applyBorder="1"/>
    <xf numFmtId="0" fontId="22" fillId="0" borderId="6" xfId="0" applyFont="1" applyBorder="1"/>
    <xf numFmtId="167" fontId="22" fillId="0" borderId="0" xfId="0" applyNumberFormat="1" applyFont="1" applyBorder="1"/>
    <xf numFmtId="0" fontId="9" fillId="4" borderId="2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3" fillId="8" borderId="5" xfId="0" applyFont="1" applyFill="1" applyBorder="1"/>
    <xf numFmtId="0" fontId="3" fillId="8" borderId="0" xfId="0" applyFont="1" applyFill="1" applyBorder="1"/>
    <xf numFmtId="0" fontId="3" fillId="4" borderId="7" xfId="0" applyFont="1" applyFill="1" applyBorder="1"/>
    <xf numFmtId="0" fontId="3" fillId="5" borderId="5" xfId="0" applyFont="1" applyFill="1" applyBorder="1"/>
    <xf numFmtId="0" fontId="24" fillId="0" borderId="0" xfId="0" applyFont="1" applyBorder="1"/>
    <xf numFmtId="0" fontId="24" fillId="0" borderId="6" xfId="0" applyFont="1" applyBorder="1"/>
    <xf numFmtId="0" fontId="24" fillId="0" borderId="8" xfId="0" applyFont="1" applyBorder="1"/>
    <xf numFmtId="0" fontId="24" fillId="0" borderId="9" xfId="0" applyFont="1" applyBorder="1"/>
    <xf numFmtId="168" fontId="22" fillId="0" borderId="5" xfId="0" applyNumberFormat="1" applyFont="1" applyBorder="1"/>
    <xf numFmtId="168" fontId="22" fillId="0" borderId="37" xfId="0" applyNumberFormat="1" applyFont="1" applyBorder="1"/>
    <xf numFmtId="168" fontId="22" fillId="0" borderId="0" xfId="0" applyNumberFormat="1" applyFont="1" applyBorder="1"/>
    <xf numFmtId="168" fontId="22" fillId="0" borderId="6" xfId="0" applyNumberFormat="1" applyFont="1" applyBorder="1"/>
    <xf numFmtId="168" fontId="22" fillId="0" borderId="7" xfId="0" applyNumberFormat="1" applyFont="1" applyBorder="1"/>
    <xf numFmtId="168" fontId="22" fillId="0" borderId="38" xfId="0" applyNumberFormat="1" applyFont="1" applyBorder="1"/>
    <xf numFmtId="168" fontId="22" fillId="0" borderId="8" xfId="0" applyNumberFormat="1" applyFont="1" applyBorder="1"/>
    <xf numFmtId="168" fontId="22" fillId="0" borderId="9" xfId="0" applyNumberFormat="1" applyFont="1" applyBorder="1"/>
    <xf numFmtId="168" fontId="22" fillId="8" borderId="5" xfId="0" applyNumberFormat="1" applyFont="1" applyFill="1" applyBorder="1"/>
    <xf numFmtId="168" fontId="22" fillId="8" borderId="37" xfId="0" applyNumberFormat="1" applyFont="1" applyFill="1" applyBorder="1"/>
    <xf numFmtId="168" fontId="22" fillId="8" borderId="0" xfId="0" applyNumberFormat="1" applyFont="1" applyFill="1" applyBorder="1"/>
    <xf numFmtId="168" fontId="22" fillId="8" borderId="6" xfId="0" applyNumberFormat="1" applyFont="1" applyFill="1" applyBorder="1"/>
    <xf numFmtId="168" fontId="22" fillId="8" borderId="26" xfId="0" applyNumberFormat="1" applyFont="1" applyFill="1" applyBorder="1"/>
    <xf numFmtId="168" fontId="22" fillId="8" borderId="39" xfId="0" applyNumberFormat="1" applyFont="1" applyFill="1" applyBorder="1"/>
    <xf numFmtId="168" fontId="22" fillId="8" borderId="1" xfId="0" applyNumberFormat="1" applyFont="1" applyFill="1" applyBorder="1"/>
    <xf numFmtId="168" fontId="22" fillId="8" borderId="14" xfId="0" applyNumberFormat="1" applyFont="1" applyFill="1" applyBorder="1"/>
    <xf numFmtId="169" fontId="22" fillId="0" borderId="37" xfId="0" applyNumberFormat="1" applyFont="1" applyBorder="1"/>
    <xf numFmtId="168" fontId="22" fillId="8" borderId="38" xfId="0" applyNumberFormat="1" applyFont="1" applyFill="1" applyBorder="1"/>
    <xf numFmtId="168" fontId="22" fillId="8" borderId="8" xfId="0" applyNumberFormat="1" applyFont="1" applyFill="1" applyBorder="1"/>
    <xf numFmtId="168" fontId="22" fillId="8" borderId="9" xfId="0" applyNumberFormat="1" applyFont="1" applyFill="1" applyBorder="1"/>
    <xf numFmtId="0" fontId="25" fillId="0" borderId="3" xfId="0" applyFont="1" applyBorder="1"/>
    <xf numFmtId="0" fontId="25" fillId="0" borderId="4" xfId="0" applyFont="1" applyBorder="1"/>
    <xf numFmtId="164" fontId="22" fillId="0" borderId="0" xfId="0" applyNumberFormat="1" applyFont="1" applyBorder="1"/>
    <xf numFmtId="10" fontId="22" fillId="0" borderId="0" xfId="0" applyNumberFormat="1" applyFont="1" applyBorder="1"/>
    <xf numFmtId="10" fontId="22" fillId="5" borderId="0" xfId="0" applyNumberFormat="1" applyFont="1" applyFill="1" applyBorder="1"/>
    <xf numFmtId="164" fontId="22" fillId="4" borderId="8" xfId="0" applyNumberFormat="1" applyFont="1" applyFill="1" applyBorder="1"/>
    <xf numFmtId="0" fontId="5" fillId="4" borderId="28" xfId="0" applyFont="1" applyFill="1" applyBorder="1" applyAlignment="1">
      <alignment horizontal="center"/>
    </xf>
    <xf numFmtId="165" fontId="21" fillId="0" borderId="6" xfId="0" applyNumberFormat="1" applyFont="1" applyBorder="1"/>
    <xf numFmtId="0" fontId="8" fillId="0" borderId="0" xfId="0" applyFont="1" applyBorder="1"/>
    <xf numFmtId="166" fontId="17" fillId="0" borderId="6" xfId="0" applyNumberFormat="1" applyFont="1" applyBorder="1"/>
    <xf numFmtId="165" fontId="22" fillId="0" borderId="0" xfId="0" applyNumberFormat="1" applyFont="1" applyBorder="1"/>
    <xf numFmtId="165" fontId="22" fillId="0" borderId="12" xfId="0" applyNumberFormat="1" applyFont="1" applyBorder="1"/>
    <xf numFmtId="165" fontId="22" fillId="0" borderId="46" xfId="0" applyNumberFormat="1" applyFont="1" applyBorder="1"/>
    <xf numFmtId="165" fontId="22" fillId="0" borderId="13" xfId="0" applyNumberFormat="1" applyFont="1" applyBorder="1"/>
    <xf numFmtId="165" fontId="22" fillId="0" borderId="6" xfId="0" applyNumberFormat="1" applyFont="1" applyBorder="1"/>
    <xf numFmtId="165" fontId="22" fillId="0" borderId="35" xfId="0" applyNumberFormat="1" applyFont="1" applyBorder="1"/>
    <xf numFmtId="166" fontId="3" fillId="0" borderId="11" xfId="0" applyNumberFormat="1" applyFont="1" applyBorder="1"/>
    <xf numFmtId="0" fontId="3" fillId="0" borderId="19" xfId="0" applyFont="1" applyBorder="1"/>
    <xf numFmtId="0" fontId="3" fillId="0" borderId="20" xfId="0" applyFont="1" applyFill="1" applyBorder="1"/>
    <xf numFmtId="0" fontId="3" fillId="0" borderId="20" xfId="0" applyFont="1" applyBorder="1"/>
    <xf numFmtId="9" fontId="21" fillId="0" borderId="47" xfId="0" applyNumberFormat="1" applyFont="1" applyBorder="1"/>
    <xf numFmtId="9" fontId="21" fillId="0" borderId="19" xfId="0" applyNumberFormat="1" applyFont="1" applyBorder="1"/>
    <xf numFmtId="165" fontId="21" fillId="0" borderId="34" xfId="0" applyNumberFormat="1" applyFont="1" applyBorder="1"/>
    <xf numFmtId="165" fontId="21" fillId="0" borderId="38" xfId="0" applyNumberFormat="1" applyFont="1" applyBorder="1"/>
    <xf numFmtId="10" fontId="17" fillId="6" borderId="0" xfId="2" applyNumberFormat="1" applyFont="1" applyFill="1" applyBorder="1" applyAlignment="1">
      <alignment horizontal="right" vertical="center"/>
    </xf>
    <xf numFmtId="0" fontId="6" fillId="6" borderId="8" xfId="0" applyFont="1" applyFill="1" applyBorder="1" applyAlignment="1">
      <alignment horizontal="right" vertical="center"/>
    </xf>
    <xf numFmtId="0" fontId="17" fillId="6" borderId="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2" fillId="4" borderId="27" xfId="0" applyFont="1" applyFill="1" applyBorder="1"/>
    <xf numFmtId="0" fontId="6" fillId="0" borderId="11" xfId="0" applyFont="1" applyBorder="1"/>
    <xf numFmtId="0" fontId="6" fillId="0" borderId="19" xfId="0" applyFont="1" applyBorder="1"/>
    <xf numFmtId="0" fontId="6" fillId="0" borderId="20" xfId="0" applyFont="1" applyBorder="1"/>
    <xf numFmtId="0" fontId="2" fillId="4" borderId="7" xfId="0" applyFont="1" applyFill="1" applyBorder="1"/>
    <xf numFmtId="0" fontId="2" fillId="4" borderId="9" xfId="0" applyFont="1" applyFill="1" applyBorder="1"/>
    <xf numFmtId="0" fontId="6" fillId="0" borderId="19" xfId="0" applyFont="1" applyFill="1" applyBorder="1"/>
    <xf numFmtId="0" fontId="27" fillId="4" borderId="27" xfId="0" applyFont="1" applyFill="1" applyBorder="1"/>
    <xf numFmtId="0" fontId="27" fillId="4" borderId="28" xfId="0" applyFont="1" applyFill="1" applyBorder="1"/>
    <xf numFmtId="0" fontId="6" fillId="0" borderId="34" xfId="0" applyFont="1" applyBorder="1"/>
    <xf numFmtId="0" fontId="26" fillId="4" borderId="9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27" fillId="4" borderId="30" xfId="0" applyFont="1" applyFill="1" applyBorder="1"/>
    <xf numFmtId="0" fontId="3" fillId="0" borderId="48" xfId="0" applyFont="1" applyBorder="1"/>
    <xf numFmtId="0" fontId="6" fillId="0" borderId="20" xfId="0" applyFont="1" applyFill="1" applyBorder="1"/>
    <xf numFmtId="0" fontId="27" fillId="4" borderId="7" xfId="0" applyFont="1" applyFill="1" applyBorder="1"/>
    <xf numFmtId="1" fontId="3" fillId="0" borderId="0" xfId="0" applyNumberFormat="1" applyFont="1" applyBorder="1"/>
    <xf numFmtId="0" fontId="0" fillId="0" borderId="0" xfId="0" applyFill="1" applyBorder="1"/>
    <xf numFmtId="165" fontId="8" fillId="0" borderId="0" xfId="0" applyNumberFormat="1" applyFont="1"/>
    <xf numFmtId="0" fontId="2" fillId="4" borderId="27" xfId="0" applyFont="1" applyFill="1" applyBorder="1" applyAlignment="1">
      <alignment horizontal="center"/>
    </xf>
    <xf numFmtId="168" fontId="28" fillId="8" borderId="7" xfId="0" applyNumberFormat="1" applyFont="1" applyFill="1" applyBorder="1"/>
    <xf numFmtId="9" fontId="0" fillId="0" borderId="0" xfId="2" applyFont="1"/>
    <xf numFmtId="168" fontId="28" fillId="0" borderId="5" xfId="0" applyNumberFormat="1" applyFont="1" applyBorder="1"/>
    <xf numFmtId="169" fontId="28" fillId="0" borderId="5" xfId="0" applyNumberFormat="1" applyFont="1" applyBorder="1"/>
    <xf numFmtId="164" fontId="0" fillId="0" borderId="0" xfId="0" applyNumberFormat="1"/>
    <xf numFmtId="168" fontId="28" fillId="0" borderId="37" xfId="0" applyNumberFormat="1" applyFont="1" applyBorder="1"/>
    <xf numFmtId="169" fontId="28" fillId="0" borderId="37" xfId="0" applyNumberFormat="1" applyFont="1" applyBorder="1"/>
    <xf numFmtId="168" fontId="28" fillId="8" borderId="38" xfId="0" applyNumberFormat="1" applyFont="1" applyFill="1" applyBorder="1"/>
    <xf numFmtId="0" fontId="25" fillId="0" borderId="36" xfId="0" applyFont="1" applyBorder="1"/>
    <xf numFmtId="169" fontId="22" fillId="0" borderId="0" xfId="0" applyNumberFormat="1" applyFont="1" applyBorder="1"/>
    <xf numFmtId="168" fontId="28" fillId="0" borderId="39" xfId="0" applyNumberFormat="1" applyFont="1" applyBorder="1"/>
    <xf numFmtId="168" fontId="22" fillId="0" borderId="1" xfId="0" applyNumberFormat="1" applyFont="1" applyBorder="1"/>
    <xf numFmtId="168" fontId="22" fillId="0" borderId="39" xfId="0" applyNumberFormat="1" applyFont="1" applyBorder="1"/>
    <xf numFmtId="0" fontId="0" fillId="0" borderId="0" xfId="0" applyAlignment="1"/>
    <xf numFmtId="10" fontId="0" fillId="0" borderId="0" xfId="2" applyNumberFormat="1" applyFont="1" applyAlignment="1"/>
    <xf numFmtId="164" fontId="0" fillId="0" borderId="49" xfId="1" applyNumberFormat="1" applyFont="1" applyFill="1" applyBorder="1"/>
    <xf numFmtId="164" fontId="0" fillId="0" borderId="49" xfId="1" applyNumberFormat="1" applyFont="1" applyFill="1" applyBorder="1" applyAlignment="1"/>
    <xf numFmtId="10" fontId="22" fillId="0" borderId="52" xfId="2" applyNumberFormat="1" applyFont="1" applyBorder="1" applyAlignment="1"/>
    <xf numFmtId="164" fontId="22" fillId="0" borderId="53" xfId="1" applyNumberFormat="1" applyFont="1" applyFill="1" applyBorder="1"/>
    <xf numFmtId="0" fontId="22" fillId="0" borderId="51" xfId="0" applyFont="1" applyBorder="1"/>
    <xf numFmtId="0" fontId="22" fillId="0" borderId="22" xfId="0" applyFont="1" applyBorder="1"/>
    <xf numFmtId="0" fontId="22" fillId="0" borderId="23" xfId="0" applyFont="1" applyBorder="1"/>
    <xf numFmtId="10" fontId="22" fillId="0" borderId="52" xfId="2" applyNumberFormat="1" applyFont="1" applyBorder="1"/>
    <xf numFmtId="0" fontId="9" fillId="4" borderId="28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0" fillId="0" borderId="10" xfId="0" applyBorder="1"/>
    <xf numFmtId="10" fontId="0" fillId="0" borderId="10" xfId="0" applyNumberFormat="1" applyBorder="1"/>
    <xf numFmtId="0" fontId="3" fillId="0" borderId="10" xfId="0" applyFont="1" applyBorder="1"/>
    <xf numFmtId="0" fontId="3" fillId="0" borderId="0" xfId="0" applyFont="1"/>
    <xf numFmtId="9" fontId="0" fillId="0" borderId="10" xfId="0" applyNumberFormat="1" applyBorder="1"/>
    <xf numFmtId="0" fontId="2" fillId="4" borderId="2" xfId="0" applyFont="1" applyFill="1" applyBorder="1"/>
    <xf numFmtId="0" fontId="3" fillId="2" borderId="5" xfId="0" applyFont="1" applyFill="1" applyBorder="1"/>
    <xf numFmtId="0" fontId="3" fillId="0" borderId="7" xfId="0" applyFont="1" applyBorder="1"/>
    <xf numFmtId="0" fontId="2" fillId="4" borderId="40" xfId="0" applyFont="1" applyFill="1" applyBorder="1"/>
    <xf numFmtId="166" fontId="3" fillId="0" borderId="2" xfId="0" applyNumberFormat="1" applyFont="1" applyBorder="1"/>
    <xf numFmtId="166" fontId="3" fillId="0" borderId="4" xfId="0" applyNumberFormat="1" applyFont="1" applyBorder="1"/>
    <xf numFmtId="1" fontId="3" fillId="0" borderId="5" xfId="0" applyNumberFormat="1" applyFont="1" applyBorder="1"/>
    <xf numFmtId="1" fontId="3" fillId="0" borderId="6" xfId="0" applyNumberFormat="1" applyFont="1" applyBorder="1"/>
    <xf numFmtId="166" fontId="3" fillId="0" borderId="5" xfId="0" applyNumberFormat="1" applyFont="1" applyBorder="1"/>
    <xf numFmtId="166" fontId="3" fillId="0" borderId="26" xfId="0" applyNumberFormat="1" applyFont="1" applyBorder="1"/>
    <xf numFmtId="167" fontId="3" fillId="0" borderId="5" xfId="0" applyNumberFormat="1" applyFont="1" applyBorder="1"/>
    <xf numFmtId="167" fontId="3" fillId="0" borderId="7" xfId="0" applyNumberFormat="1" applyFont="1" applyBorder="1"/>
    <xf numFmtId="166" fontId="21" fillId="0" borderId="12" xfId="0" applyNumberFormat="1" applyFont="1" applyBorder="1"/>
    <xf numFmtId="166" fontId="21" fillId="0" borderId="34" xfId="0" applyNumberFormat="1" applyFont="1" applyBorder="1"/>
    <xf numFmtId="166" fontId="21" fillId="0" borderId="50" xfId="0" applyNumberFormat="1" applyFont="1" applyBorder="1"/>
    <xf numFmtId="166" fontId="21" fillId="0" borderId="23" xfId="0" applyNumberFormat="1" applyFont="1" applyBorder="1"/>
    <xf numFmtId="1" fontId="3" fillId="3" borderId="45" xfId="0" applyNumberFormat="1" applyFont="1" applyFill="1" applyBorder="1"/>
    <xf numFmtId="2" fontId="32" fillId="4" borderId="31" xfId="0" applyNumberFormat="1" applyFont="1" applyFill="1" applyBorder="1" applyAlignment="1">
      <alignment horizontal="center" vertical="center" wrapText="1"/>
    </xf>
    <xf numFmtId="2" fontId="32" fillId="4" borderId="43" xfId="0" applyNumberFormat="1" applyFont="1" applyFill="1" applyBorder="1" applyAlignment="1">
      <alignment horizontal="center" vertical="center" wrapText="1"/>
    </xf>
    <xf numFmtId="2" fontId="32" fillId="4" borderId="32" xfId="0" applyNumberFormat="1" applyFont="1" applyFill="1" applyBorder="1" applyAlignment="1">
      <alignment horizontal="center" vertical="center" wrapText="1"/>
    </xf>
    <xf numFmtId="1" fontId="3" fillId="0" borderId="44" xfId="0" applyNumberFormat="1" applyFont="1" applyFill="1" applyBorder="1"/>
    <xf numFmtId="168" fontId="3" fillId="0" borderId="10" xfId="1" applyNumberFormat="1" applyFont="1" applyFill="1" applyBorder="1"/>
    <xf numFmtId="168" fontId="3" fillId="3" borderId="10" xfId="1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/>
    <xf numFmtId="9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10" fontId="15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0" fontId="2" fillId="4" borderId="28" xfId="0" applyFont="1" applyFill="1" applyBorder="1"/>
    <xf numFmtId="0" fontId="3" fillId="0" borderId="11" xfId="0" applyFont="1" applyBorder="1"/>
    <xf numFmtId="166" fontId="22" fillId="0" borderId="34" xfId="0" applyNumberFormat="1" applyFont="1" applyBorder="1"/>
    <xf numFmtId="166" fontId="22" fillId="0" borderId="12" xfId="0" applyNumberFormat="1" applyFont="1" applyBorder="1"/>
    <xf numFmtId="166" fontId="22" fillId="0" borderId="22" xfId="0" applyNumberFormat="1" applyFont="1" applyBorder="1"/>
    <xf numFmtId="166" fontId="22" fillId="0" borderId="49" xfId="0" applyNumberFormat="1" applyFont="1" applyBorder="1"/>
    <xf numFmtId="166" fontId="21" fillId="0" borderId="38" xfId="0" applyNumberFormat="1" applyFont="1" applyBorder="1"/>
    <xf numFmtId="2" fontId="21" fillId="0" borderId="21" xfId="0" applyNumberFormat="1" applyFont="1" applyFill="1" applyBorder="1"/>
    <xf numFmtId="166" fontId="21" fillId="0" borderId="51" xfId="0" applyNumberFormat="1" applyFont="1" applyBorder="1"/>
    <xf numFmtId="2" fontId="21" fillId="0" borderId="22" xfId="0" applyNumberFormat="1" applyFont="1" applyFill="1" applyBorder="1"/>
    <xf numFmtId="2" fontId="21" fillId="0" borderId="49" xfId="0" applyNumberFormat="1" applyFont="1" applyFill="1" applyBorder="1"/>
    <xf numFmtId="0" fontId="5" fillId="4" borderId="29" xfId="0" applyFont="1" applyFill="1" applyBorder="1" applyAlignment="1">
      <alignment horizontal="center" vertical="center"/>
    </xf>
    <xf numFmtId="165" fontId="21" fillId="0" borderId="12" xfId="0" applyNumberFormat="1" applyFont="1" applyBorder="1"/>
    <xf numFmtId="166" fontId="21" fillId="0" borderId="8" xfId="0" applyNumberFormat="1" applyFont="1" applyBorder="1"/>
    <xf numFmtId="2" fontId="22" fillId="0" borderId="22" xfId="0" applyNumberFormat="1" applyFont="1" applyFill="1" applyBorder="1"/>
    <xf numFmtId="166" fontId="22" fillId="0" borderId="38" xfId="0" applyNumberFormat="1" applyFont="1" applyBorder="1"/>
    <xf numFmtId="10" fontId="22" fillId="0" borderId="0" xfId="2" applyNumberFormat="1" applyFont="1"/>
    <xf numFmtId="10" fontId="22" fillId="0" borderId="0" xfId="0" applyNumberFormat="1" applyFont="1"/>
    <xf numFmtId="167" fontId="3" fillId="0" borderId="0" xfId="0" applyNumberFormat="1" applyFont="1" applyFill="1" applyBorder="1"/>
    <xf numFmtId="166" fontId="22" fillId="0" borderId="51" xfId="0" applyNumberFormat="1" applyFont="1" applyBorder="1"/>
    <xf numFmtId="0" fontId="9" fillId="4" borderId="28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7" fillId="9" borderId="27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36" xfId="0" applyFont="1" applyFill="1" applyBorder="1" applyAlignment="1">
      <alignment horizontal="center" vertical="center" wrapText="1"/>
    </xf>
    <xf numFmtId="0" fontId="27" fillId="9" borderId="28" xfId="0" applyFont="1" applyFill="1" applyBorder="1" applyAlignment="1">
      <alignment horizontal="center" vertical="center" wrapText="1"/>
    </xf>
    <xf numFmtId="10" fontId="27" fillId="9" borderId="27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justify" vertical="center"/>
    </xf>
    <xf numFmtId="2" fontId="22" fillId="0" borderId="49" xfId="0" applyNumberFormat="1" applyFont="1" applyFill="1" applyBorder="1"/>
    <xf numFmtId="2" fontId="22" fillId="0" borderId="21" xfId="0" applyNumberFormat="1" applyFont="1" applyFill="1" applyBorder="1"/>
    <xf numFmtId="0" fontId="21" fillId="0" borderId="27" xfId="0" applyFont="1" applyBorder="1" applyAlignment="1">
      <alignment horizontal="justify" vertical="center"/>
    </xf>
    <xf numFmtId="0" fontId="10" fillId="0" borderId="38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center" vertical="center" wrapText="1"/>
    </xf>
    <xf numFmtId="0" fontId="26" fillId="9" borderId="29" xfId="0" applyFont="1" applyFill="1" applyBorder="1" applyAlignment="1">
      <alignment horizontal="center" vertical="center" wrapText="1"/>
    </xf>
    <xf numFmtId="10" fontId="26" fillId="9" borderId="27" xfId="0" applyNumberFormat="1" applyFont="1" applyFill="1" applyBorder="1" applyAlignment="1">
      <alignment horizontal="center" vertical="center" wrapText="1"/>
    </xf>
    <xf numFmtId="0" fontId="37" fillId="0" borderId="38" xfId="0" applyFont="1" applyBorder="1" applyAlignment="1">
      <alignment horizontal="justify" vertical="center"/>
    </xf>
    <xf numFmtId="0" fontId="35" fillId="0" borderId="22" xfId="0" applyFont="1" applyBorder="1" applyAlignment="1">
      <alignment horizontal="center"/>
    </xf>
    <xf numFmtId="166" fontId="22" fillId="0" borderId="52" xfId="0" applyNumberFormat="1" applyFont="1" applyBorder="1"/>
    <xf numFmtId="0" fontId="37" fillId="0" borderId="27" xfId="0" applyFont="1" applyBorder="1" applyAlignment="1">
      <alignment horizontal="justify" vertical="center"/>
    </xf>
    <xf numFmtId="0" fontId="2" fillId="4" borderId="23" xfId="0" applyFont="1" applyFill="1" applyBorder="1"/>
    <xf numFmtId="0" fontId="35" fillId="4" borderId="23" xfId="0" applyFont="1" applyFill="1" applyBorder="1" applyAlignment="1">
      <alignment horizontal="center"/>
    </xf>
    <xf numFmtId="166" fontId="22" fillId="4" borderId="23" xfId="0" applyNumberFormat="1" applyFont="1" applyFill="1" applyBorder="1"/>
    <xf numFmtId="166" fontId="22" fillId="4" borderId="50" xfId="0" applyNumberFormat="1" applyFont="1" applyFill="1" applyBorder="1"/>
    <xf numFmtId="166" fontId="22" fillId="4" borderId="53" xfId="0" applyNumberFormat="1" applyFont="1" applyFill="1" applyBorder="1"/>
    <xf numFmtId="2" fontId="22" fillId="0" borderId="0" xfId="0" applyNumberFormat="1" applyFont="1" applyFill="1" applyBorder="1"/>
    <xf numFmtId="166" fontId="22" fillId="0" borderId="0" xfId="0" applyNumberFormat="1" applyFont="1" applyFill="1" applyBorder="1"/>
    <xf numFmtId="0" fontId="39" fillId="0" borderId="20" xfId="0" applyFont="1" applyBorder="1"/>
    <xf numFmtId="0" fontId="0" fillId="0" borderId="23" xfId="0" applyBorder="1"/>
    <xf numFmtId="0" fontId="0" fillId="0" borderId="53" xfId="0" applyBorder="1"/>
    <xf numFmtId="166" fontId="3" fillId="0" borderId="23" xfId="0" applyNumberFormat="1" applyFont="1" applyBorder="1"/>
    <xf numFmtId="0" fontId="26" fillId="4" borderId="28" xfId="0" applyFont="1" applyFill="1" applyBorder="1" applyAlignment="1"/>
    <xf numFmtId="0" fontId="26" fillId="4" borderId="30" xfId="0" applyFont="1" applyFill="1" applyBorder="1" applyAlignment="1"/>
    <xf numFmtId="0" fontId="26" fillId="4" borderId="27" xfId="0" applyFont="1" applyFill="1" applyBorder="1"/>
    <xf numFmtId="0" fontId="0" fillId="0" borderId="37" xfId="0" applyBorder="1"/>
    <xf numFmtId="0" fontId="26" fillId="4" borderId="2" xfId="0" applyFont="1" applyFill="1" applyBorder="1"/>
    <xf numFmtId="0" fontId="26" fillId="4" borderId="36" xfId="0" applyFont="1" applyFill="1" applyBorder="1"/>
    <xf numFmtId="0" fontId="26" fillId="4" borderId="3" xfId="0" applyFont="1" applyFill="1" applyBorder="1"/>
    <xf numFmtId="166" fontId="3" fillId="0" borderId="51" xfId="0" applyNumberFormat="1" applyFont="1" applyBorder="1"/>
    <xf numFmtId="166" fontId="3" fillId="0" borderId="22" xfId="0" applyNumberFormat="1" applyFont="1" applyBorder="1"/>
    <xf numFmtId="166" fontId="21" fillId="0" borderId="47" xfId="0" applyNumberFormat="1" applyFont="1" applyBorder="1"/>
    <xf numFmtId="166" fontId="21" fillId="0" borderId="61" xfId="0" applyNumberFormat="1" applyFont="1" applyBorder="1"/>
    <xf numFmtId="166" fontId="21" fillId="0" borderId="60" xfId="0" applyNumberFormat="1" applyFont="1" applyBorder="1"/>
    <xf numFmtId="166" fontId="21" fillId="0" borderId="19" xfId="0" applyNumberFormat="1" applyFont="1" applyBorder="1"/>
    <xf numFmtId="166" fontId="21" fillId="0" borderId="22" xfId="0" applyNumberFormat="1" applyFont="1" applyBorder="1"/>
    <xf numFmtId="166" fontId="21" fillId="0" borderId="21" xfId="0" applyNumberFormat="1" applyFont="1" applyBorder="1"/>
    <xf numFmtId="166" fontId="21" fillId="0" borderId="33" xfId="0" applyNumberFormat="1" applyFont="1" applyBorder="1"/>
    <xf numFmtId="166" fontId="21" fillId="0" borderId="7" xfId="0" applyNumberFormat="1" applyFont="1" applyBorder="1"/>
    <xf numFmtId="166" fontId="6" fillId="0" borderId="34" xfId="0" applyNumberFormat="1" applyFont="1" applyBorder="1"/>
    <xf numFmtId="166" fontId="6" fillId="0" borderId="22" xfId="0" applyNumberFormat="1" applyFont="1" applyBorder="1"/>
    <xf numFmtId="166" fontId="6" fillId="0" borderId="23" xfId="0" applyNumberFormat="1" applyFont="1" applyBorder="1"/>
    <xf numFmtId="0" fontId="26" fillId="4" borderId="7" xfId="0" applyFont="1" applyFill="1" applyBorder="1"/>
    <xf numFmtId="166" fontId="21" fillId="0" borderId="0" xfId="0" applyNumberFormat="1" applyFont="1" applyBorder="1"/>
    <xf numFmtId="166" fontId="41" fillId="4" borderId="30" xfId="0" applyNumberFormat="1" applyFont="1" applyFill="1" applyBorder="1"/>
    <xf numFmtId="166" fontId="6" fillId="0" borderId="13" xfId="0" applyNumberFormat="1" applyFont="1" applyBorder="1"/>
    <xf numFmtId="166" fontId="6" fillId="0" borderId="53" xfId="0" applyNumberFormat="1" applyFont="1" applyBorder="1"/>
    <xf numFmtId="165" fontId="21" fillId="0" borderId="13" xfId="0" applyNumberFormat="1" applyFont="1" applyBorder="1"/>
    <xf numFmtId="165" fontId="21" fillId="0" borderId="9" xfId="0" applyNumberFormat="1" applyFont="1" applyBorder="1"/>
    <xf numFmtId="165" fontId="21" fillId="0" borderId="22" xfId="0" applyNumberFormat="1" applyFont="1" applyBorder="1"/>
    <xf numFmtId="4" fontId="3" fillId="0" borderId="10" xfId="0" applyNumberFormat="1" applyFont="1" applyBorder="1"/>
    <xf numFmtId="0" fontId="3" fillId="0" borderId="47" xfId="0" applyFont="1" applyBorder="1"/>
    <xf numFmtId="0" fontId="3" fillId="0" borderId="51" xfId="0" applyFont="1" applyBorder="1"/>
    <xf numFmtId="4" fontId="3" fillId="0" borderId="22" xfId="0" applyNumberFormat="1" applyFont="1" applyBorder="1"/>
    <xf numFmtId="165" fontId="21" fillId="0" borderId="49" xfId="0" applyNumberFormat="1" applyFont="1" applyBorder="1"/>
    <xf numFmtId="4" fontId="3" fillId="0" borderId="49" xfId="0" applyNumberFormat="1" applyFont="1" applyBorder="1"/>
    <xf numFmtId="165" fontId="21" fillId="0" borderId="8" xfId="0" applyNumberFormat="1" applyFont="1" applyBorder="1"/>
    <xf numFmtId="0" fontId="3" fillId="0" borderId="34" xfId="0" applyFont="1" applyBorder="1"/>
    <xf numFmtId="0" fontId="6" fillId="0" borderId="22" xfId="0" applyFont="1" applyFill="1" applyBorder="1"/>
    <xf numFmtId="0" fontId="41" fillId="4" borderId="51" xfId="0" applyFont="1" applyFill="1" applyBorder="1"/>
    <xf numFmtId="0" fontId="40" fillId="4" borderId="11" xfId="0" applyFont="1" applyFill="1" applyBorder="1"/>
    <xf numFmtId="0" fontId="40" fillId="4" borderId="34" xfId="0" applyFont="1" applyFill="1" applyBorder="1"/>
    <xf numFmtId="0" fontId="42" fillId="4" borderId="12" xfId="0" applyFont="1" applyFill="1" applyBorder="1"/>
    <xf numFmtId="0" fontId="42" fillId="4" borderId="34" xfId="0" applyFont="1" applyFill="1" applyBorder="1"/>
    <xf numFmtId="0" fontId="3" fillId="0" borderId="19" xfId="0" applyFont="1" applyBorder="1" applyAlignment="1">
      <alignment horizontal="center"/>
    </xf>
    <xf numFmtId="0" fontId="26" fillId="4" borderId="27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52" xfId="0" applyFont="1" applyBorder="1"/>
    <xf numFmtId="170" fontId="7" fillId="0" borderId="52" xfId="1" applyNumberFormat="1" applyFont="1" applyBorder="1"/>
    <xf numFmtId="0" fontId="7" fillId="0" borderId="52" xfId="0" applyFont="1" applyBorder="1"/>
    <xf numFmtId="0" fontId="7" fillId="0" borderId="52" xfId="0" applyFont="1" applyBorder="1" applyAlignment="1">
      <alignment vertical="center" wrapText="1"/>
    </xf>
    <xf numFmtId="0" fontId="6" fillId="0" borderId="5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6" fillId="0" borderId="53" xfId="0" applyFont="1" applyBorder="1" applyAlignment="1">
      <alignment vertical="center" wrapText="1"/>
    </xf>
    <xf numFmtId="165" fontId="21" fillId="4" borderId="34" xfId="0" applyNumberFormat="1" applyFont="1" applyFill="1" applyBorder="1"/>
    <xf numFmtId="0" fontId="27" fillId="4" borderId="28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26" fillId="4" borderId="7" xfId="0" applyFont="1" applyFill="1" applyBorder="1" applyAlignment="1">
      <alignment horizontal="left"/>
    </xf>
    <xf numFmtId="165" fontId="21" fillId="4" borderId="38" xfId="0" applyNumberFormat="1" applyFont="1" applyFill="1" applyBorder="1"/>
    <xf numFmtId="0" fontId="44" fillId="0" borderId="27" xfId="0" applyFont="1" applyBorder="1" applyAlignment="1">
      <alignment horizontal="justify" vertical="center"/>
    </xf>
    <xf numFmtId="0" fontId="44" fillId="0" borderId="38" xfId="0" applyFont="1" applyBorder="1" applyAlignment="1">
      <alignment horizontal="justify" vertical="center"/>
    </xf>
    <xf numFmtId="0" fontId="44" fillId="0" borderId="38" xfId="0" applyFont="1" applyFill="1" applyBorder="1" applyAlignment="1">
      <alignment horizontal="justify" vertical="center"/>
    </xf>
    <xf numFmtId="166" fontId="21" fillId="0" borderId="55" xfId="0" applyNumberFormat="1" applyFont="1" applyBorder="1"/>
    <xf numFmtId="2" fontId="21" fillId="0" borderId="19" xfId="0" applyNumberFormat="1" applyFont="1" applyFill="1" applyBorder="1"/>
    <xf numFmtId="0" fontId="6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6" fontId="21" fillId="0" borderId="37" xfId="0" applyNumberFormat="1" applyFont="1" applyBorder="1"/>
    <xf numFmtId="166" fontId="21" fillId="0" borderId="6" xfId="0" applyNumberFormat="1" applyFont="1" applyBorder="1"/>
    <xf numFmtId="0" fontId="0" fillId="0" borderId="34" xfId="0" applyBorder="1"/>
    <xf numFmtId="0" fontId="0" fillId="0" borderId="22" xfId="0" applyBorder="1"/>
    <xf numFmtId="0" fontId="0" fillId="0" borderId="23" xfId="0" applyFill="1" applyBorder="1"/>
    <xf numFmtId="0" fontId="2" fillId="4" borderId="29" xfId="0" applyFont="1" applyFill="1" applyBorder="1"/>
    <xf numFmtId="4" fontId="21" fillId="0" borderId="22" xfId="0" applyNumberFormat="1" applyFont="1" applyBorder="1"/>
    <xf numFmtId="165" fontId="21" fillId="0" borderId="23" xfId="0" applyNumberFormat="1" applyFont="1" applyBorder="1"/>
    <xf numFmtId="0" fontId="17" fillId="0" borderId="19" xfId="0" applyFont="1" applyBorder="1" applyAlignment="1">
      <alignment horizontal="center"/>
    </xf>
    <xf numFmtId="166" fontId="21" fillId="0" borderId="49" xfId="0" applyNumberFormat="1" applyFont="1" applyBorder="1"/>
    <xf numFmtId="0" fontId="21" fillId="0" borderId="8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26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justify" vertical="center"/>
    </xf>
    <xf numFmtId="0" fontId="46" fillId="0" borderId="0" xfId="0" applyFont="1"/>
    <xf numFmtId="0" fontId="36" fillId="4" borderId="28" xfId="0" applyFont="1" applyFill="1" applyBorder="1" applyAlignment="1">
      <alignment horizontal="center" vertical="center"/>
    </xf>
    <xf numFmtId="0" fontId="36" fillId="4" borderId="27" xfId="0" applyFont="1" applyFill="1" applyBorder="1" applyAlignment="1">
      <alignment horizontal="center" vertical="center"/>
    </xf>
    <xf numFmtId="0" fontId="36" fillId="4" borderId="29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/>
    </xf>
    <xf numFmtId="0" fontId="17" fillId="0" borderId="34" xfId="0" applyFont="1" applyFill="1" applyBorder="1" applyAlignment="1">
      <alignment horizontal="left"/>
    </xf>
    <xf numFmtId="171" fontId="21" fillId="0" borderId="22" xfId="0" applyNumberFormat="1" applyFont="1" applyBorder="1"/>
    <xf numFmtId="0" fontId="17" fillId="0" borderId="34" xfId="0" applyFont="1" applyFill="1" applyBorder="1" applyAlignment="1">
      <alignment horizontal="center"/>
    </xf>
    <xf numFmtId="171" fontId="17" fillId="0" borderId="12" xfId="4" applyNumberFormat="1" applyFont="1" applyFill="1" applyBorder="1"/>
    <xf numFmtId="0" fontId="50" fillId="0" borderId="19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172" fontId="21" fillId="0" borderId="22" xfId="0" applyNumberFormat="1" applyFont="1" applyFill="1" applyBorder="1"/>
    <xf numFmtId="0" fontId="17" fillId="0" borderId="22" xfId="0" applyFont="1" applyFill="1" applyBorder="1" applyAlignment="1">
      <alignment horizontal="center"/>
    </xf>
    <xf numFmtId="171" fontId="17" fillId="0" borderId="49" xfId="4" applyNumberFormat="1" applyFont="1" applyFill="1" applyBorder="1"/>
    <xf numFmtId="0" fontId="50" fillId="0" borderId="26" xfId="0" applyFont="1" applyFill="1" applyBorder="1" applyAlignment="1">
      <alignment horizontal="left"/>
    </xf>
    <xf numFmtId="0" fontId="17" fillId="0" borderId="22" xfId="0" applyFont="1" applyFill="1" applyBorder="1"/>
    <xf numFmtId="171" fontId="17" fillId="0" borderId="49" xfId="0" applyNumberFormat="1" applyFont="1" applyFill="1" applyBorder="1"/>
    <xf numFmtId="0" fontId="17" fillId="0" borderId="23" xfId="0" applyFont="1" applyFill="1" applyBorder="1"/>
    <xf numFmtId="2" fontId="21" fillId="0" borderId="23" xfId="0" applyNumberFormat="1" applyFont="1" applyFill="1" applyBorder="1"/>
    <xf numFmtId="0" fontId="17" fillId="0" borderId="23" xfId="0" applyFont="1" applyFill="1" applyBorder="1" applyAlignment="1">
      <alignment horizontal="center"/>
    </xf>
    <xf numFmtId="0" fontId="50" fillId="0" borderId="28" xfId="0" applyFont="1" applyFill="1" applyBorder="1" applyAlignment="1">
      <alignment horizontal="left"/>
    </xf>
    <xf numFmtId="0" fontId="21" fillId="0" borderId="29" xfId="0" applyFont="1" applyBorder="1"/>
    <xf numFmtId="0" fontId="21" fillId="0" borderId="30" xfId="0" applyFont="1" applyBorder="1"/>
    <xf numFmtId="0" fontId="51" fillId="4" borderId="27" xfId="0" applyFont="1" applyFill="1" applyBorder="1" applyAlignment="1">
      <alignment horizontal="center"/>
    </xf>
    <xf numFmtId="0" fontId="51" fillId="4" borderId="29" xfId="0" applyFont="1" applyFill="1" applyBorder="1" applyAlignment="1">
      <alignment horizontal="center"/>
    </xf>
    <xf numFmtId="0" fontId="51" fillId="4" borderId="30" xfId="0" applyFont="1" applyFill="1" applyBorder="1" applyAlignment="1">
      <alignment horizontal="center"/>
    </xf>
    <xf numFmtId="0" fontId="44" fillId="0" borderId="34" xfId="0" applyFont="1" applyFill="1" applyBorder="1" applyAlignment="1"/>
    <xf numFmtId="0" fontId="38" fillId="0" borderId="12" xfId="0" applyFont="1" applyBorder="1" applyAlignment="1">
      <alignment horizontal="center" vertical="top" wrapText="1"/>
    </xf>
    <xf numFmtId="166" fontId="3" fillId="0" borderId="34" xfId="0" applyNumberFormat="1" applyFont="1" applyBorder="1"/>
    <xf numFmtId="166" fontId="3" fillId="0" borderId="12" xfId="0" applyNumberFormat="1" applyFont="1" applyBorder="1"/>
    <xf numFmtId="166" fontId="3" fillId="0" borderId="13" xfId="0" applyNumberFormat="1" applyFont="1" applyBorder="1"/>
    <xf numFmtId="0" fontId="38" fillId="0" borderId="22" xfId="0" applyFont="1" applyFill="1" applyBorder="1" applyAlignment="1">
      <alignment horizontal="left" wrapText="1"/>
    </xf>
    <xf numFmtId="0" fontId="38" fillId="0" borderId="49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/>
    <xf numFmtId="2" fontId="3" fillId="0" borderId="49" xfId="0" applyNumberFormat="1" applyFont="1" applyFill="1" applyBorder="1"/>
    <xf numFmtId="2" fontId="3" fillId="0" borderId="52" xfId="0" applyNumberFormat="1" applyFont="1" applyFill="1" applyBorder="1"/>
    <xf numFmtId="0" fontId="38" fillId="0" borderId="23" xfId="0" applyFont="1" applyBorder="1" applyAlignment="1">
      <alignment horizontal="left" wrapText="1"/>
    </xf>
    <xf numFmtId="0" fontId="38" fillId="0" borderId="50" xfId="0" applyFont="1" applyBorder="1" applyAlignment="1">
      <alignment horizontal="center" vertical="top" wrapText="1"/>
    </xf>
    <xf numFmtId="166" fontId="3" fillId="0" borderId="50" xfId="0" applyNumberFormat="1" applyFont="1" applyBorder="1"/>
    <xf numFmtId="166" fontId="3" fillId="0" borderId="53" xfId="0" applyNumberFormat="1" applyFont="1" applyBorder="1"/>
    <xf numFmtId="0" fontId="0" fillId="0" borderId="27" xfId="0" applyBorder="1"/>
    <xf numFmtId="0" fontId="2" fillId="4" borderId="36" xfId="0" applyFont="1" applyFill="1" applyBorder="1"/>
    <xf numFmtId="0" fontId="3" fillId="0" borderId="22" xfId="0" applyFont="1" applyBorder="1"/>
    <xf numFmtId="0" fontId="3" fillId="0" borderId="23" xfId="0" applyFont="1" applyBorder="1"/>
    <xf numFmtId="0" fontId="2" fillId="4" borderId="3" xfId="0" applyFont="1" applyFill="1" applyBorder="1"/>
    <xf numFmtId="166" fontId="3" fillId="0" borderId="49" xfId="0" applyNumberFormat="1" applyFont="1" applyBorder="1"/>
    <xf numFmtId="0" fontId="2" fillId="4" borderId="4" xfId="0" applyFont="1" applyFill="1" applyBorder="1"/>
    <xf numFmtId="166" fontId="3" fillId="0" borderId="52" xfId="0" applyNumberFormat="1" applyFont="1" applyBorder="1"/>
    <xf numFmtId="166" fontId="0" fillId="0" borderId="27" xfId="0" applyNumberFormat="1" applyBorder="1"/>
    <xf numFmtId="0" fontId="42" fillId="10" borderId="27" xfId="0" applyFont="1" applyFill="1" applyBorder="1"/>
    <xf numFmtId="0" fontId="10" fillId="7" borderId="51" xfId="0" applyFont="1" applyFill="1" applyBorder="1" applyAlignment="1">
      <alignment horizontal="center" wrapText="1"/>
    </xf>
    <xf numFmtId="3" fontId="3" fillId="0" borderId="23" xfId="0" applyNumberFormat="1" applyFont="1" applyFill="1" applyBorder="1" applyAlignment="1"/>
    <xf numFmtId="0" fontId="10" fillId="0" borderId="47" xfId="0" applyFont="1" applyFill="1" applyBorder="1"/>
    <xf numFmtId="3" fontId="3" fillId="0" borderId="50" xfId="0" applyNumberFormat="1" applyFont="1" applyFill="1" applyBorder="1" applyAlignment="1"/>
    <xf numFmtId="0" fontId="42" fillId="4" borderId="27" xfId="0" applyFont="1" applyFill="1" applyBorder="1"/>
    <xf numFmtId="10" fontId="42" fillId="4" borderId="2" xfId="0" applyNumberFormat="1" applyFont="1" applyFill="1" applyBorder="1"/>
    <xf numFmtId="0" fontId="10" fillId="7" borderId="12" xfId="0" applyFont="1" applyFill="1" applyBorder="1" applyAlignment="1">
      <alignment horizontal="center" wrapText="1"/>
    </xf>
    <xf numFmtId="0" fontId="10" fillId="7" borderId="34" xfId="0" applyFont="1" applyFill="1" applyBorder="1" applyAlignment="1">
      <alignment horizontal="center" wrapText="1"/>
    </xf>
    <xf numFmtId="0" fontId="42" fillId="4" borderId="28" xfId="0" applyFont="1" applyFill="1" applyBorder="1"/>
    <xf numFmtId="0" fontId="42" fillId="4" borderId="29" xfId="0" applyFont="1" applyFill="1" applyBorder="1"/>
    <xf numFmtId="0" fontId="47" fillId="4" borderId="29" xfId="0" applyFont="1" applyFill="1" applyBorder="1"/>
    <xf numFmtId="0" fontId="47" fillId="4" borderId="30" xfId="0" applyFont="1" applyFill="1" applyBorder="1"/>
    <xf numFmtId="3" fontId="3" fillId="0" borderId="49" xfId="0" applyNumberFormat="1" applyFont="1" applyBorder="1"/>
    <xf numFmtId="3" fontId="3" fillId="0" borderId="22" xfId="0" applyNumberFormat="1" applyFont="1" applyBorder="1"/>
    <xf numFmtId="3" fontId="3" fillId="0" borderId="52" xfId="0" applyNumberFormat="1" applyFont="1" applyBorder="1"/>
    <xf numFmtId="3" fontId="0" fillId="0" borderId="27" xfId="0" applyNumberFormat="1" applyBorder="1"/>
    <xf numFmtId="0" fontId="10" fillId="0" borderId="20" xfId="0" applyFont="1" applyFill="1" applyBorder="1"/>
    <xf numFmtId="0" fontId="0" fillId="0" borderId="51" xfId="0" applyBorder="1"/>
    <xf numFmtId="166" fontId="21" fillId="0" borderId="13" xfId="0" applyNumberFormat="1" applyFont="1" applyBorder="1"/>
    <xf numFmtId="2" fontId="21" fillId="0" borderId="52" xfId="0" applyNumberFormat="1" applyFont="1" applyFill="1" applyBorder="1"/>
    <xf numFmtId="166" fontId="21" fillId="0" borderId="9" xfId="0" applyNumberFormat="1" applyFont="1" applyBorder="1"/>
    <xf numFmtId="0" fontId="2" fillId="4" borderId="27" xfId="0" applyFont="1" applyFill="1" applyBorder="1" applyAlignment="1">
      <alignment horizontal="left"/>
    </xf>
    <xf numFmtId="0" fontId="9" fillId="4" borderId="15" xfId="0" applyFont="1" applyFill="1" applyBorder="1"/>
    <xf numFmtId="166" fontId="3" fillId="0" borderId="20" xfId="0" applyNumberFormat="1" applyFont="1" applyBorder="1"/>
    <xf numFmtId="0" fontId="2" fillId="4" borderId="30" xfId="0" applyFont="1" applyFill="1" applyBorder="1"/>
    <xf numFmtId="0" fontId="3" fillId="0" borderId="52" xfId="0" applyFont="1" applyBorder="1"/>
    <xf numFmtId="0" fontId="9" fillId="4" borderId="28" xfId="0" applyFont="1" applyFill="1" applyBorder="1"/>
    <xf numFmtId="0" fontId="9" fillId="4" borderId="27" xfId="0" applyFont="1" applyFill="1" applyBorder="1"/>
    <xf numFmtId="0" fontId="9" fillId="4" borderId="29" xfId="0" applyFont="1" applyFill="1" applyBorder="1"/>
    <xf numFmtId="0" fontId="0" fillId="0" borderId="12" xfId="0" applyBorder="1"/>
    <xf numFmtId="166" fontId="3" fillId="0" borderId="36" xfId="0" applyNumberFormat="1" applyFont="1" applyBorder="1"/>
    <xf numFmtId="2" fontId="3" fillId="0" borderId="19" xfId="0" applyNumberFormat="1" applyFont="1" applyBorder="1"/>
    <xf numFmtId="2" fontId="3" fillId="0" borderId="22" xfId="0" applyNumberFormat="1" applyFont="1" applyBorder="1"/>
    <xf numFmtId="0" fontId="9" fillId="4" borderId="30" xfId="0" applyFont="1" applyFill="1" applyBorder="1"/>
    <xf numFmtId="0" fontId="0" fillId="0" borderId="52" xfId="0" applyBorder="1"/>
    <xf numFmtId="0" fontId="3" fillId="0" borderId="12" xfId="0" applyFont="1" applyBorder="1"/>
    <xf numFmtId="0" fontId="3" fillId="0" borderId="49" xfId="0" applyFont="1" applyBorder="1"/>
    <xf numFmtId="0" fontId="3" fillId="0" borderId="55" xfId="0" applyFont="1" applyBorder="1"/>
    <xf numFmtId="2" fontId="3" fillId="0" borderId="49" xfId="0" applyNumberFormat="1" applyFont="1" applyBorder="1"/>
    <xf numFmtId="0" fontId="53" fillId="0" borderId="34" xfId="0" applyFont="1" applyFill="1" applyBorder="1"/>
    <xf numFmtId="0" fontId="44" fillId="0" borderId="12" xfId="0" applyNumberFormat="1" applyFont="1" applyFill="1" applyBorder="1"/>
    <xf numFmtId="0" fontId="53" fillId="0" borderId="22" xfId="0" applyFont="1" applyBorder="1"/>
    <xf numFmtId="0" fontId="44" fillId="0" borderId="49" xfId="0" applyNumberFormat="1" applyFont="1" applyBorder="1"/>
    <xf numFmtId="2" fontId="3" fillId="0" borderId="21" xfId="0" applyNumberFormat="1" applyFont="1" applyFill="1" applyBorder="1"/>
    <xf numFmtId="0" fontId="53" fillId="0" borderId="22" xfId="0" applyFont="1" applyFill="1" applyBorder="1"/>
    <xf numFmtId="0" fontId="44" fillId="0" borderId="49" xfId="0" applyNumberFormat="1" applyFont="1" applyFill="1" applyBorder="1"/>
    <xf numFmtId="0" fontId="44" fillId="0" borderId="21" xfId="0" applyNumberFormat="1" applyFont="1" applyFill="1" applyBorder="1"/>
    <xf numFmtId="0" fontId="53" fillId="0" borderId="38" xfId="0" applyFont="1" applyFill="1" applyBorder="1"/>
    <xf numFmtId="0" fontId="44" fillId="0" borderId="8" xfId="0" applyNumberFormat="1" applyFont="1" applyFill="1" applyBorder="1"/>
    <xf numFmtId="0" fontId="2" fillId="4" borderId="36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36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2" fillId="4" borderId="3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47" xfId="0" applyFont="1" applyFill="1" applyBorder="1"/>
    <xf numFmtId="0" fontId="3" fillId="0" borderId="19" xfId="0" applyFont="1" applyFill="1" applyBorder="1"/>
    <xf numFmtId="0" fontId="21" fillId="0" borderId="51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54" fillId="11" borderId="28" xfId="0" applyFont="1" applyFill="1" applyBorder="1" applyAlignment="1"/>
    <xf numFmtId="0" fontId="54" fillId="11" borderId="36" xfId="0" applyFont="1" applyFill="1" applyBorder="1"/>
    <xf numFmtId="0" fontId="54" fillId="11" borderId="30" xfId="0" applyFont="1" applyFill="1" applyBorder="1" applyAlignment="1">
      <alignment horizontal="center"/>
    </xf>
    <xf numFmtId="0" fontId="12" fillId="0" borderId="11" xfId="0" applyFont="1" applyBorder="1"/>
    <xf numFmtId="165" fontId="3" fillId="0" borderId="10" xfId="0" applyNumberFormat="1" applyFont="1" applyBorder="1"/>
    <xf numFmtId="9" fontId="3" fillId="0" borderId="32" xfId="2" applyFont="1" applyBorder="1"/>
    <xf numFmtId="0" fontId="12" fillId="0" borderId="19" xfId="0" applyFont="1" applyBorder="1" applyAlignment="1"/>
    <xf numFmtId="9" fontId="3" fillId="0" borderId="33" xfId="2" applyFont="1" applyBorder="1"/>
    <xf numFmtId="0" fontId="12" fillId="0" borderId="26" xfId="0" applyFont="1" applyBorder="1" applyAlignment="1"/>
    <xf numFmtId="0" fontId="12" fillId="0" borderId="19" xfId="0" applyFont="1" applyBorder="1"/>
    <xf numFmtId="0" fontId="12" fillId="0" borderId="20" xfId="0" applyFont="1" applyBorder="1" applyAlignment="1"/>
    <xf numFmtId="165" fontId="3" fillId="0" borderId="56" xfId="0" applyNumberFormat="1" applyFont="1" applyBorder="1"/>
    <xf numFmtId="9" fontId="3" fillId="0" borderId="57" xfId="0" applyNumberFormat="1" applyFont="1" applyBorder="1"/>
    <xf numFmtId="165" fontId="3" fillId="0" borderId="51" xfId="0" applyNumberFormat="1" applyFont="1" applyBorder="1"/>
    <xf numFmtId="165" fontId="3" fillId="0" borderId="22" xfId="0" applyNumberFormat="1" applyFont="1" applyBorder="1"/>
    <xf numFmtId="0" fontId="3" fillId="0" borderId="26" xfId="0" applyFont="1" applyBorder="1"/>
    <xf numFmtId="165" fontId="3" fillId="0" borderId="23" xfId="0" applyNumberFormat="1" applyFont="1" applyBorder="1"/>
    <xf numFmtId="167" fontId="21" fillId="0" borderId="0" xfId="0" applyNumberFormat="1" applyFont="1" applyFill="1" applyBorder="1"/>
    <xf numFmtId="0" fontId="25" fillId="0" borderId="0" xfId="0" applyFont="1" applyFill="1" applyBorder="1"/>
    <xf numFmtId="167" fontId="22" fillId="0" borderId="0" xfId="0" applyNumberFormat="1" applyFont="1" applyFill="1" applyBorder="1"/>
    <xf numFmtId="168" fontId="22" fillId="0" borderId="0" xfId="0" applyNumberFormat="1" applyFont="1" applyFill="1" applyBorder="1"/>
    <xf numFmtId="0" fontId="29" fillId="0" borderId="0" xfId="0" applyFont="1" applyFill="1" applyBorder="1"/>
    <xf numFmtId="1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30" fillId="0" borderId="0" xfId="0" applyFont="1" applyFill="1" applyBorder="1"/>
    <xf numFmtId="10" fontId="2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31" fillId="0" borderId="0" xfId="0" applyFont="1" applyFill="1" applyBorder="1"/>
    <xf numFmtId="0" fontId="0" fillId="0" borderId="0" xfId="0" applyFill="1" applyBorder="1" applyAlignment="1">
      <alignment horizontal="center"/>
    </xf>
    <xf numFmtId="0" fontId="10" fillId="5" borderId="44" xfId="0" applyFont="1" applyFill="1" applyBorder="1"/>
    <xf numFmtId="0" fontId="10" fillId="7" borderId="33" xfId="0" applyFont="1" applyFill="1" applyBorder="1" applyAlignment="1">
      <alignment horizontal="center" wrapText="1"/>
    </xf>
    <xf numFmtId="3" fontId="3" fillId="0" borderId="56" xfId="0" applyNumberFormat="1" applyFont="1" applyFill="1" applyBorder="1" applyAlignment="1"/>
    <xf numFmtId="3" fontId="3" fillId="0" borderId="57" xfId="0" applyNumberFormat="1" applyFont="1" applyFill="1" applyBorder="1" applyAlignment="1"/>
    <xf numFmtId="0" fontId="9" fillId="4" borderId="63" xfId="0" applyFont="1" applyFill="1" applyBorder="1"/>
    <xf numFmtId="10" fontId="9" fillId="4" borderId="18" xfId="0" applyNumberFormat="1" applyFont="1" applyFill="1" applyBorder="1"/>
    <xf numFmtId="0" fontId="9" fillId="4" borderId="0" xfId="0" applyFont="1" applyFill="1" applyBorder="1"/>
    <xf numFmtId="0" fontId="55" fillId="4" borderId="0" xfId="0" applyFont="1" applyFill="1" applyBorder="1"/>
    <xf numFmtId="0" fontId="55" fillId="4" borderId="6" xfId="0" applyFont="1" applyFill="1" applyBorder="1"/>
    <xf numFmtId="0" fontId="10" fillId="7" borderId="45" xfId="0" applyFont="1" applyFill="1" applyBorder="1"/>
    <xf numFmtId="164" fontId="22" fillId="0" borderId="0" xfId="0" applyNumberFormat="1" applyFont="1" applyFill="1" applyBorder="1"/>
    <xf numFmtId="10" fontId="22" fillId="0" borderId="0" xfId="0" applyNumberFormat="1" applyFont="1" applyFill="1" applyBorder="1"/>
    <xf numFmtId="0" fontId="24" fillId="0" borderId="0" xfId="0" applyFont="1" applyFill="1" applyBorder="1"/>
    <xf numFmtId="168" fontId="22" fillId="0" borderId="2" xfId="0" applyNumberFormat="1" applyFont="1" applyBorder="1"/>
    <xf numFmtId="168" fontId="22" fillId="0" borderId="36" xfId="0" applyNumberFormat="1" applyFont="1" applyBorder="1"/>
    <xf numFmtId="0" fontId="33" fillId="10" borderId="47" xfId="0" applyFont="1" applyFill="1" applyBorder="1"/>
    <xf numFmtId="0" fontId="33" fillId="10" borderId="19" xfId="0" applyFont="1" applyFill="1" applyBorder="1"/>
    <xf numFmtId="0" fontId="33" fillId="10" borderId="20" xfId="0" applyFont="1" applyFill="1" applyBorder="1"/>
    <xf numFmtId="2" fontId="0" fillId="0" borderId="5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0" fontId="33" fillId="0" borderId="0" xfId="0" applyFont="1" applyFill="1" applyBorder="1"/>
    <xf numFmtId="168" fontId="33" fillId="0" borderId="0" xfId="0" applyNumberFormat="1" applyFont="1" applyFill="1" applyBorder="1"/>
    <xf numFmtId="169" fontId="0" fillId="0" borderId="0" xfId="0" applyNumberFormat="1" applyFill="1" applyBorder="1"/>
    <xf numFmtId="0" fontId="26" fillId="4" borderId="40" xfId="0" applyFont="1" applyFill="1" applyBorder="1"/>
    <xf numFmtId="0" fontId="26" fillId="4" borderId="59" xfId="0" applyFont="1" applyFill="1" applyBorder="1"/>
    <xf numFmtId="0" fontId="26" fillId="4" borderId="60" xfId="0" applyFont="1" applyFill="1" applyBorder="1" applyAlignment="1">
      <alignment horizontal="center"/>
    </xf>
    <xf numFmtId="9" fontId="38" fillId="0" borderId="44" xfId="2" applyFont="1" applyBorder="1"/>
    <xf numFmtId="166" fontId="38" fillId="0" borderId="10" xfId="0" applyNumberFormat="1" applyFont="1" applyBorder="1"/>
    <xf numFmtId="10" fontId="38" fillId="0" borderId="10" xfId="2" applyNumberFormat="1" applyFont="1" applyBorder="1"/>
    <xf numFmtId="0" fontId="38" fillId="0" borderId="33" xfId="0" applyFont="1" applyBorder="1" applyAlignment="1">
      <alignment horizontal="center"/>
    </xf>
    <xf numFmtId="9" fontId="38" fillId="0" borderId="45" xfId="2" applyFont="1" applyBorder="1"/>
    <xf numFmtId="166" fontId="38" fillId="0" borderId="56" xfId="0" applyNumberFormat="1" applyFont="1" applyBorder="1"/>
    <xf numFmtId="10" fontId="38" fillId="0" borderId="56" xfId="2" applyNumberFormat="1" applyFont="1" applyBorder="1"/>
    <xf numFmtId="0" fontId="38" fillId="0" borderId="57" xfId="0" applyFont="1" applyBorder="1" applyAlignment="1">
      <alignment horizontal="center"/>
    </xf>
    <xf numFmtId="0" fontId="26" fillId="4" borderId="58" xfId="0" applyFont="1" applyFill="1" applyBorder="1"/>
    <xf numFmtId="0" fontId="26" fillId="4" borderId="59" xfId="0" applyFont="1" applyFill="1" applyBorder="1" applyAlignment="1">
      <alignment horizontal="center"/>
    </xf>
    <xf numFmtId="9" fontId="38" fillId="0" borderId="44" xfId="2" applyFont="1" applyBorder="1" applyAlignment="1">
      <alignment horizontal="center"/>
    </xf>
    <xf numFmtId="166" fontId="38" fillId="0" borderId="10" xfId="0" applyNumberFormat="1" applyFont="1" applyBorder="1" applyAlignment="1">
      <alignment horizontal="center"/>
    </xf>
    <xf numFmtId="9" fontId="38" fillId="0" borderId="10" xfId="2" applyFont="1" applyBorder="1" applyAlignment="1">
      <alignment horizontal="center"/>
    </xf>
    <xf numFmtId="9" fontId="38" fillId="0" borderId="45" xfId="2" applyFont="1" applyBorder="1" applyAlignment="1">
      <alignment horizontal="center"/>
    </xf>
    <xf numFmtId="166" fontId="38" fillId="0" borderId="56" xfId="0" applyNumberFormat="1" applyFont="1" applyBorder="1" applyAlignment="1">
      <alignment horizontal="center"/>
    </xf>
    <xf numFmtId="9" fontId="38" fillId="0" borderId="56" xfId="2" applyFont="1" applyBorder="1" applyAlignment="1">
      <alignment horizontal="center"/>
    </xf>
    <xf numFmtId="3" fontId="3" fillId="0" borderId="39" xfId="0" applyNumberFormat="1" applyFont="1" applyFill="1" applyBorder="1" applyAlignment="1"/>
    <xf numFmtId="3" fontId="3" fillId="0" borderId="27" xfId="0" applyNumberFormat="1" applyFont="1" applyFill="1" applyBorder="1" applyAlignment="1"/>
    <xf numFmtId="3" fontId="3" fillId="0" borderId="29" xfId="0" applyNumberFormat="1" applyFont="1" applyFill="1" applyBorder="1" applyAlignment="1"/>
    <xf numFmtId="3" fontId="3" fillId="0" borderId="1" xfId="0" applyNumberFormat="1" applyFont="1" applyFill="1" applyBorder="1" applyAlignment="1"/>
    <xf numFmtId="0" fontId="0" fillId="0" borderId="62" xfId="0" applyBorder="1"/>
    <xf numFmtId="0" fontId="0" fillId="0" borderId="14" xfId="0" applyBorder="1"/>
    <xf numFmtId="0" fontId="9" fillId="4" borderId="51" xfId="0" applyFont="1" applyFill="1" applyBorder="1"/>
    <xf numFmtId="0" fontId="40" fillId="4" borderId="28" xfId="0" applyFont="1" applyFill="1" applyBorder="1" applyAlignment="1">
      <alignment horizontal="center"/>
    </xf>
    <xf numFmtId="0" fontId="40" fillId="4" borderId="29" xfId="0" applyFont="1" applyFill="1" applyBorder="1" applyAlignment="1">
      <alignment horizontal="center"/>
    </xf>
    <xf numFmtId="0" fontId="40" fillId="4" borderId="30" xfId="0" applyFont="1" applyFill="1" applyBorder="1" applyAlignment="1">
      <alignment horizontal="center"/>
    </xf>
    <xf numFmtId="0" fontId="45" fillId="10" borderId="28" xfId="0" applyFont="1" applyFill="1" applyBorder="1" applyAlignment="1">
      <alignment horizontal="center"/>
    </xf>
    <xf numFmtId="0" fontId="45" fillId="10" borderId="29" xfId="0" applyFont="1" applyFill="1" applyBorder="1" applyAlignment="1">
      <alignment horizontal="center"/>
    </xf>
    <xf numFmtId="0" fontId="45" fillId="10" borderId="3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 wrapText="1"/>
    </xf>
    <xf numFmtId="0" fontId="42" fillId="4" borderId="28" xfId="0" applyFont="1" applyFill="1" applyBorder="1" applyAlignment="1">
      <alignment horizontal="center"/>
    </xf>
    <xf numFmtId="0" fontId="42" fillId="4" borderId="29" xfId="0" applyFont="1" applyFill="1" applyBorder="1" applyAlignment="1">
      <alignment horizontal="center"/>
    </xf>
    <xf numFmtId="0" fontId="42" fillId="4" borderId="30" xfId="0" applyFont="1" applyFill="1" applyBorder="1" applyAlignment="1">
      <alignment horizontal="center"/>
    </xf>
    <xf numFmtId="0" fontId="48" fillId="4" borderId="28" xfId="0" applyFont="1" applyFill="1" applyBorder="1" applyAlignment="1">
      <alignment horizontal="center"/>
    </xf>
    <xf numFmtId="0" fontId="48" fillId="4" borderId="29" xfId="0" applyFont="1" applyFill="1" applyBorder="1" applyAlignment="1">
      <alignment horizontal="center"/>
    </xf>
    <xf numFmtId="0" fontId="48" fillId="4" borderId="30" xfId="0" applyFont="1" applyFill="1" applyBorder="1" applyAlignment="1">
      <alignment horizontal="center"/>
    </xf>
    <xf numFmtId="0" fontId="49" fillId="10" borderId="28" xfId="0" applyFont="1" applyFill="1" applyBorder="1" applyAlignment="1">
      <alignment horizontal="center"/>
    </xf>
    <xf numFmtId="0" fontId="49" fillId="10" borderId="29" xfId="0" applyFont="1" applyFill="1" applyBorder="1" applyAlignment="1">
      <alignment horizontal="center"/>
    </xf>
    <xf numFmtId="0" fontId="49" fillId="10" borderId="30" xfId="0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 wrapText="1"/>
    </xf>
    <xf numFmtId="0" fontId="36" fillId="4" borderId="3" xfId="0" applyFont="1" applyFill="1" applyBorder="1" applyAlignment="1">
      <alignment horizontal="center" wrapText="1"/>
    </xf>
    <xf numFmtId="0" fontId="36" fillId="4" borderId="4" xfId="0" applyFont="1" applyFill="1" applyBorder="1" applyAlignment="1">
      <alignment horizontal="center" wrapText="1"/>
    </xf>
    <xf numFmtId="0" fontId="36" fillId="4" borderId="7" xfId="0" applyFont="1" applyFill="1" applyBorder="1" applyAlignment="1">
      <alignment horizontal="center" wrapText="1"/>
    </xf>
    <xf numFmtId="0" fontId="36" fillId="4" borderId="8" xfId="0" applyFont="1" applyFill="1" applyBorder="1" applyAlignment="1">
      <alignment horizontal="center" wrapText="1"/>
    </xf>
    <xf numFmtId="0" fontId="36" fillId="4" borderId="9" xfId="0" applyFont="1" applyFill="1" applyBorder="1" applyAlignment="1">
      <alignment horizontal="center" wrapText="1"/>
    </xf>
    <xf numFmtId="0" fontId="36" fillId="4" borderId="28" xfId="0" applyFont="1" applyFill="1" applyBorder="1" applyAlignment="1">
      <alignment horizontal="center" vertical="center"/>
    </xf>
    <xf numFmtId="0" fontId="36" fillId="4" borderId="29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36" fillId="4" borderId="38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9" borderId="36" xfId="0" applyFont="1" applyFill="1" applyBorder="1" applyAlignment="1">
      <alignment horizontal="center" vertical="center"/>
    </xf>
    <xf numFmtId="0" fontId="0" fillId="0" borderId="38" xfId="0" applyBorder="1"/>
    <xf numFmtId="0" fontId="5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26" fillId="9" borderId="8" xfId="0" applyFont="1" applyFill="1" applyBorder="1" applyAlignment="1">
      <alignment horizontal="center" vertical="center" wrapText="1"/>
    </xf>
    <xf numFmtId="0" fontId="26" fillId="9" borderId="36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 wrapText="1"/>
    </xf>
    <xf numFmtId="0" fontId="34" fillId="4" borderId="36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36" xfId="0" applyFont="1" applyFill="1" applyBorder="1" applyAlignment="1">
      <alignment horizontal="center" vertical="center"/>
    </xf>
    <xf numFmtId="0" fontId="11" fillId="0" borderId="38" xfId="0" applyFont="1" applyBorder="1"/>
    <xf numFmtId="0" fontId="27" fillId="9" borderId="29" xfId="0" applyFont="1" applyFill="1" applyBorder="1" applyAlignment="1">
      <alignment horizontal="center"/>
    </xf>
    <xf numFmtId="0" fontId="27" fillId="9" borderId="30" xfId="0" applyFont="1" applyFill="1" applyBorder="1" applyAlignment="1">
      <alignment horizontal="center"/>
    </xf>
    <xf numFmtId="0" fontId="27" fillId="9" borderId="8" xfId="0" applyFont="1" applyFill="1" applyBorder="1" applyAlignment="1">
      <alignment horizontal="center" vertical="center" wrapText="1"/>
    </xf>
    <xf numFmtId="0" fontId="27" fillId="9" borderId="36" xfId="0" applyFont="1" applyFill="1" applyBorder="1" applyAlignment="1">
      <alignment horizontal="center" vertical="center" wrapText="1"/>
    </xf>
    <xf numFmtId="0" fontId="27" fillId="9" borderId="38" xfId="0" applyFont="1" applyFill="1" applyBorder="1" applyAlignment="1">
      <alignment horizontal="center" vertical="center" wrapText="1"/>
    </xf>
    <xf numFmtId="0" fontId="27" fillId="4" borderId="36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41" fillId="4" borderId="28" xfId="0" applyFont="1" applyFill="1" applyBorder="1" applyAlignment="1">
      <alignment horizontal="center"/>
    </xf>
    <xf numFmtId="0" fontId="41" fillId="4" borderId="29" xfId="0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27" fillId="4" borderId="36" xfId="0" applyFont="1" applyFill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43" fillId="0" borderId="38" xfId="0" applyFont="1" applyBorder="1"/>
    <xf numFmtId="0" fontId="27" fillId="9" borderId="9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left" vertical="center" wrapText="1"/>
    </xf>
    <xf numFmtId="0" fontId="26" fillId="4" borderId="30" xfId="0" applyFont="1" applyFill="1" applyBorder="1" applyAlignment="1">
      <alignment horizontal="left" vertical="center" wrapText="1"/>
    </xf>
    <xf numFmtId="0" fontId="42" fillId="4" borderId="15" xfId="0" applyFont="1" applyFill="1" applyBorder="1" applyAlignment="1">
      <alignment horizontal="center"/>
    </xf>
    <xf numFmtId="0" fontId="42" fillId="4" borderId="16" xfId="0" applyFont="1" applyFill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0" fontId="54" fillId="11" borderId="28" xfId="0" applyFont="1" applyFill="1" applyBorder="1" applyAlignment="1">
      <alignment horizontal="center"/>
    </xf>
    <xf numFmtId="0" fontId="54" fillId="11" borderId="29" xfId="0" applyFont="1" applyFill="1" applyBorder="1" applyAlignment="1">
      <alignment horizontal="center"/>
    </xf>
    <xf numFmtId="0" fontId="54" fillId="11" borderId="3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8" fillId="4" borderId="0" xfId="0" applyFont="1" applyFill="1" applyBorder="1"/>
    <xf numFmtId="0" fontId="8" fillId="4" borderId="6" xfId="0" applyFont="1" applyFill="1" applyBorder="1"/>
    <xf numFmtId="2" fontId="32" fillId="4" borderId="15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2" fillId="4" borderId="17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8" borderId="6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9" fillId="4" borderId="47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4" borderId="62" xfId="0" applyFont="1" applyFill="1" applyBorder="1" applyAlignment="1">
      <alignment horizontal="center"/>
    </xf>
    <xf numFmtId="164" fontId="22" fillId="0" borderId="44" xfId="1" applyNumberFormat="1" applyFont="1" applyFill="1" applyBorder="1" applyAlignment="1">
      <alignment horizontal="right"/>
    </xf>
    <xf numFmtId="164" fontId="22" fillId="0" borderId="33" xfId="1" applyNumberFormat="1" applyFont="1" applyFill="1" applyBorder="1" applyAlignment="1">
      <alignment horizontal="right"/>
    </xf>
    <xf numFmtId="164" fontId="22" fillId="0" borderId="54" xfId="1" applyNumberFormat="1" applyFont="1" applyFill="1" applyBorder="1" applyAlignment="1">
      <alignment horizontal="right"/>
    </xf>
    <xf numFmtId="164" fontId="22" fillId="0" borderId="31" xfId="1" applyNumberFormat="1" applyFont="1" applyFill="1" applyBorder="1" applyAlignment="1">
      <alignment horizontal="right"/>
    </xf>
    <xf numFmtId="164" fontId="22" fillId="0" borderId="32" xfId="1" applyNumberFormat="1" applyFont="1" applyFill="1" applyBorder="1" applyAlignment="1">
      <alignment horizontal="right"/>
    </xf>
    <xf numFmtId="0" fontId="9" fillId="4" borderId="15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166" fontId="22" fillId="0" borderId="0" xfId="0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164" fontId="22" fillId="0" borderId="11" xfId="1" applyNumberFormat="1" applyFont="1" applyFill="1" applyBorder="1" applyAlignment="1">
      <alignment horizontal="right"/>
    </xf>
    <xf numFmtId="164" fontId="22" fillId="0" borderId="13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8" borderId="8" xfId="0" applyFont="1" applyFill="1" applyBorder="1" applyAlignment="1">
      <alignment horizontal="left"/>
    </xf>
    <xf numFmtId="0" fontId="19" fillId="4" borderId="28" xfId="0" applyFont="1" applyFill="1" applyBorder="1" applyAlignment="1">
      <alignment horizontal="center"/>
    </xf>
    <xf numFmtId="0" fontId="19" fillId="4" borderId="30" xfId="0" applyFont="1" applyFill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3" fillId="4" borderId="10" xfId="0" applyFont="1" applyFill="1" applyBorder="1"/>
    <xf numFmtId="10" fontId="3" fillId="4" borderId="10" xfId="2" applyNumberFormat="1" applyFont="1" applyFill="1" applyBorder="1"/>
    <xf numFmtId="10" fontId="3" fillId="4" borderId="10" xfId="0" applyNumberFormat="1" applyFont="1" applyFill="1" applyBorder="1"/>
    <xf numFmtId="0" fontId="22" fillId="3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9" fontId="22" fillId="0" borderId="10" xfId="0" applyNumberFormat="1" applyFont="1" applyBorder="1"/>
    <xf numFmtId="0" fontId="22" fillId="0" borderId="10" xfId="0" applyFont="1" applyBorder="1"/>
    <xf numFmtId="0" fontId="22" fillId="3" borderId="10" xfId="0" applyFont="1" applyFill="1" applyBorder="1" applyAlignment="1">
      <alignment horizontal="center"/>
    </xf>
    <xf numFmtId="2" fontId="22" fillId="3" borderId="10" xfId="0" applyNumberFormat="1" applyFont="1" applyFill="1" applyBorder="1"/>
    <xf numFmtId="1" fontId="3" fillId="0" borderId="0" xfId="0" applyNumberFormat="1" applyFont="1" applyFill="1" applyBorder="1"/>
    <xf numFmtId="168" fontId="3" fillId="0" borderId="0" xfId="1" applyNumberFormat="1" applyFont="1" applyFill="1" applyBorder="1"/>
    <xf numFmtId="2" fontId="32" fillId="0" borderId="0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oneda" xfId="1" builtinId="4"/>
    <cellStyle name="Moneda 2" xf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C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COSTOS DE PRODUCCION VS VAN</a:t>
            </a:r>
          </a:p>
        </c:rich>
      </c:tx>
      <c:layout>
        <c:manualLayout>
          <c:xMode val="edge"/>
          <c:yMode val="edge"/>
          <c:x val="0.15059711286089256"/>
          <c:y val="3.2407407407407426E-2"/>
        </c:manualLayout>
      </c:layout>
    </c:title>
    <c:plotArea>
      <c:layout/>
      <c:lineChart>
        <c:grouping val="stacked"/>
        <c:ser>
          <c:idx val="0"/>
          <c:order val="0"/>
          <c:tx>
            <c:strRef>
              <c:f>[1]Hoja1!$C$24</c:f>
              <c:strCache>
                <c:ptCount val="1"/>
                <c:pt idx="0">
                  <c:v>VAN</c:v>
                </c:pt>
              </c:strCache>
            </c:strRef>
          </c:tx>
          <c:cat>
            <c:numRef>
              <c:f>[1]Hoja1!$B$25:$B$29</c:f>
              <c:numCache>
                <c:formatCode>General</c:formatCode>
                <c:ptCount val="5"/>
                <c:pt idx="0">
                  <c:v>-0.06</c:v>
                </c:pt>
                <c:pt idx="1">
                  <c:v>-0.03</c:v>
                </c:pt>
                <c:pt idx="2">
                  <c:v>0</c:v>
                </c:pt>
                <c:pt idx="3">
                  <c:v>0.03</c:v>
                </c:pt>
                <c:pt idx="4">
                  <c:v>0.06</c:v>
                </c:pt>
              </c:numCache>
            </c:numRef>
          </c:cat>
          <c:val>
            <c:numRef>
              <c:f>[1]Hoja1!$C$25:$C$29</c:f>
              <c:numCache>
                <c:formatCode>General</c:formatCode>
                <c:ptCount val="5"/>
                <c:pt idx="0">
                  <c:v>30378.319465964552</c:v>
                </c:pt>
                <c:pt idx="1">
                  <c:v>20205.06423842418</c:v>
                </c:pt>
                <c:pt idx="2">
                  <c:v>10031.809010883801</c:v>
                </c:pt>
                <c:pt idx="3">
                  <c:v>-141.44621665657178</c:v>
                </c:pt>
                <c:pt idx="4">
                  <c:v>-10314.701444196944</c:v>
                </c:pt>
              </c:numCache>
            </c:numRef>
          </c:val>
        </c:ser>
        <c:marker val="1"/>
        <c:axId val="69006848"/>
        <c:axId val="69008384"/>
      </c:lineChart>
      <c:catAx>
        <c:axId val="690068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008384"/>
        <c:crosses val="autoZero"/>
        <c:auto val="1"/>
        <c:lblAlgn val="ctr"/>
        <c:lblOffset val="100"/>
      </c:catAx>
      <c:valAx>
        <c:axId val="690083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00684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accent1">
        <a:lumMod val="60000"/>
        <a:lumOff val="4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C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COSTOS DE PRODUCCION VS TIR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strRef>
              <c:f>[1]Hoja1!$D$24</c:f>
              <c:strCache>
                <c:ptCount val="1"/>
                <c:pt idx="0">
                  <c:v>TIR</c:v>
                </c:pt>
              </c:strCache>
            </c:strRef>
          </c:tx>
          <c:cat>
            <c:numRef>
              <c:f>[1]Hoja1!$B$25:$B$29</c:f>
              <c:numCache>
                <c:formatCode>General</c:formatCode>
                <c:ptCount val="5"/>
                <c:pt idx="0">
                  <c:v>-0.06</c:v>
                </c:pt>
                <c:pt idx="1">
                  <c:v>-0.03</c:v>
                </c:pt>
                <c:pt idx="2">
                  <c:v>0</c:v>
                </c:pt>
                <c:pt idx="3">
                  <c:v>0.03</c:v>
                </c:pt>
                <c:pt idx="4">
                  <c:v>0.06</c:v>
                </c:pt>
              </c:numCache>
            </c:numRef>
          </c:cat>
          <c:val>
            <c:numRef>
              <c:f>[1]Hoja1!$D$25:$D$29</c:f>
              <c:numCache>
                <c:formatCode>General</c:formatCode>
                <c:ptCount val="5"/>
                <c:pt idx="0">
                  <c:v>0.34431294883523289</c:v>
                </c:pt>
                <c:pt idx="1">
                  <c:v>0.28585741244766905</c:v>
                </c:pt>
                <c:pt idx="2">
                  <c:v>0.22768202367235352</c:v>
                </c:pt>
                <c:pt idx="3">
                  <c:v>0.16976333147336395</c:v>
                </c:pt>
                <c:pt idx="4">
                  <c:v>0.1120668892703371</c:v>
                </c:pt>
              </c:numCache>
            </c:numRef>
          </c:val>
        </c:ser>
        <c:marker val="1"/>
        <c:axId val="69381120"/>
        <c:axId val="69387008"/>
      </c:lineChart>
      <c:catAx>
        <c:axId val="693811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87008"/>
        <c:crosses val="autoZero"/>
        <c:auto val="1"/>
        <c:lblAlgn val="ctr"/>
        <c:lblOffset val="100"/>
      </c:catAx>
      <c:valAx>
        <c:axId val="693870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8112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accent1">
        <a:lumMod val="60000"/>
        <a:lumOff val="4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C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INGRESOS VS VAN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strRef>
              <c:f>[1]Hoja1!$C$15</c:f>
              <c:strCache>
                <c:ptCount val="1"/>
                <c:pt idx="0">
                  <c:v>VAN</c:v>
                </c:pt>
              </c:strCache>
            </c:strRef>
          </c:tx>
          <c:cat>
            <c:numRef>
              <c:f>[1]Hoja1!$B$16:$B$21</c:f>
              <c:numCache>
                <c:formatCode>General</c:formatCode>
                <c:ptCount val="6"/>
                <c:pt idx="0">
                  <c:v>-0.09</c:v>
                </c:pt>
                <c:pt idx="1">
                  <c:v>-0.06</c:v>
                </c:pt>
                <c:pt idx="2">
                  <c:v>-0.03</c:v>
                </c:pt>
                <c:pt idx="3">
                  <c:v>0</c:v>
                </c:pt>
                <c:pt idx="4">
                  <c:v>0.03</c:v>
                </c:pt>
                <c:pt idx="5">
                  <c:v>0.06</c:v>
                </c:pt>
              </c:numCache>
            </c:numRef>
          </c:cat>
          <c:val>
            <c:numRef>
              <c:f>[1]Hoja1!$C$16:$C$21</c:f>
              <c:numCache>
                <c:formatCode>General</c:formatCode>
                <c:ptCount val="6"/>
                <c:pt idx="0">
                  <c:v>-32173.761494614759</c:v>
                </c:pt>
                <c:pt idx="1">
                  <c:v>-18105.13516874388</c:v>
                </c:pt>
                <c:pt idx="2">
                  <c:v>-4036.5088428729068</c:v>
                </c:pt>
                <c:pt idx="3">
                  <c:v>10031.809010883801</c:v>
                </c:pt>
                <c:pt idx="4">
                  <c:v>24100.743808869011</c:v>
                </c:pt>
                <c:pt idx="5">
                  <c:v>38169.370134739976</c:v>
                </c:pt>
              </c:numCache>
            </c:numRef>
          </c:val>
        </c:ser>
        <c:marker val="1"/>
        <c:axId val="69300608"/>
        <c:axId val="69302144"/>
      </c:lineChart>
      <c:catAx>
        <c:axId val="693006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02144"/>
        <c:crosses val="autoZero"/>
        <c:auto val="1"/>
        <c:lblAlgn val="ctr"/>
        <c:lblOffset val="100"/>
      </c:catAx>
      <c:valAx>
        <c:axId val="6930214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0060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rgbClr val="C0504D">
        <a:lumMod val="60000"/>
        <a:lumOff val="4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INGRESOS VS </a:t>
            </a:r>
          </a:p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TIR</a:t>
            </a:r>
          </a:p>
        </c:rich>
      </c:tx>
      <c:layout>
        <c:manualLayout>
          <c:xMode val="edge"/>
          <c:yMode val="edge"/>
          <c:x val="0.32188888888888939"/>
          <c:y val="3.7037037037037056E-2"/>
        </c:manualLayout>
      </c:layout>
    </c:title>
    <c:plotArea>
      <c:layout/>
      <c:lineChart>
        <c:grouping val="stacked"/>
        <c:ser>
          <c:idx val="0"/>
          <c:order val="0"/>
          <c:tx>
            <c:strRef>
              <c:f>[1]Hoja1!$D$15</c:f>
              <c:strCache>
                <c:ptCount val="1"/>
                <c:pt idx="0">
                  <c:v>TIR</c:v>
                </c:pt>
              </c:strCache>
            </c:strRef>
          </c:tx>
          <c:cat>
            <c:numRef>
              <c:f>[1]Hoja1!$B$16:$B$21</c:f>
              <c:numCache>
                <c:formatCode>General</c:formatCode>
                <c:ptCount val="6"/>
                <c:pt idx="0">
                  <c:v>-0.09</c:v>
                </c:pt>
                <c:pt idx="1">
                  <c:v>-0.06</c:v>
                </c:pt>
                <c:pt idx="2">
                  <c:v>-0.03</c:v>
                </c:pt>
                <c:pt idx="3">
                  <c:v>0</c:v>
                </c:pt>
                <c:pt idx="4">
                  <c:v>0.03</c:v>
                </c:pt>
                <c:pt idx="5">
                  <c:v>0.06</c:v>
                </c:pt>
              </c:numCache>
            </c:numRef>
          </c:cat>
          <c:val>
            <c:numRef>
              <c:f>[1]Hoja1!$D$16:$D$21</c:f>
              <c:numCache>
                <c:formatCode>General</c:formatCode>
                <c:ptCount val="6"/>
                <c:pt idx="0">
                  <c:v>-1.3536535697764649E-2</c:v>
                </c:pt>
                <c:pt idx="1">
                  <c:v>6.7227380914609072E-2</c:v>
                </c:pt>
                <c:pt idx="2">
                  <c:v>0.14756492295508067</c:v>
                </c:pt>
                <c:pt idx="3">
                  <c:v>0.22768202367235352</c:v>
                </c:pt>
                <c:pt idx="4">
                  <c:v>0.3077387478669435</c:v>
                </c:pt>
                <c:pt idx="5">
                  <c:v>0.38784141077154027</c:v>
                </c:pt>
              </c:numCache>
            </c:numRef>
          </c:val>
        </c:ser>
        <c:marker val="1"/>
        <c:axId val="69322240"/>
        <c:axId val="69323776"/>
      </c:lineChart>
      <c:catAx>
        <c:axId val="693222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23776"/>
        <c:crosses val="autoZero"/>
        <c:auto val="1"/>
        <c:lblAlgn val="ctr"/>
        <c:lblOffset val="100"/>
      </c:catAx>
      <c:valAx>
        <c:axId val="693237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93222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C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chemeClr val="accent2">
        <a:lumMod val="60000"/>
        <a:lumOff val="4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24</xdr:row>
      <xdr:rowOff>127139</xdr:rowOff>
    </xdr:from>
    <xdr:to>
      <xdr:col>6</xdr:col>
      <xdr:colOff>85725</xdr:colOff>
      <xdr:row>28</xdr:row>
      <xdr:rowOff>66675</xdr:rowOff>
    </xdr:to>
    <xdr:pic>
      <xdr:nvPicPr>
        <xdr:cNvPr id="3074" name="Picture 2" descr="http://t1.gstatic.com/images?q=tbn:ANd9GcTCl-QiWzz0LMs2kojeFg8BvxMqo9A4Lkxt_O2XGgZRRJnUaex76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8900" y="4870589"/>
          <a:ext cx="981075" cy="72058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1362075</xdr:colOff>
      <xdr:row>25</xdr:row>
      <xdr:rowOff>16398</xdr:rowOff>
    </xdr:from>
    <xdr:to>
      <xdr:col>2</xdr:col>
      <xdr:colOff>66675</xdr:colOff>
      <xdr:row>27</xdr:row>
      <xdr:rowOff>180976</xdr:rowOff>
    </xdr:to>
    <xdr:pic>
      <xdr:nvPicPr>
        <xdr:cNvPr id="3075" name="Picture 3" descr="http://t1.gstatic.com/images?q=tbn:ANd9GcSetKpLGGN0_XILYmLGr9hN8QK7kd9Yc4ZMlNcVNK14D4Kc8jt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24075" y="4959873"/>
          <a:ext cx="962025" cy="54557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14</xdr:row>
      <xdr:rowOff>123825</xdr:rowOff>
    </xdr:from>
    <xdr:to>
      <xdr:col>12</xdr:col>
      <xdr:colOff>247650</xdr:colOff>
      <xdr:row>17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2790825"/>
          <a:ext cx="54006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25</xdr:row>
      <xdr:rowOff>145770</xdr:rowOff>
    </xdr:from>
    <xdr:to>
      <xdr:col>8</xdr:col>
      <xdr:colOff>514350</xdr:colOff>
      <xdr:row>32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4908270"/>
          <a:ext cx="2924175" cy="125440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</xdr:row>
      <xdr:rowOff>19050</xdr:rowOff>
    </xdr:from>
    <xdr:to>
      <xdr:col>12</xdr:col>
      <xdr:colOff>114300</xdr:colOff>
      <xdr:row>16</xdr:row>
      <xdr:rowOff>47625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2</xdr:row>
      <xdr:rowOff>19050</xdr:rowOff>
    </xdr:from>
    <xdr:to>
      <xdr:col>19</xdr:col>
      <xdr:colOff>9525</xdr:colOff>
      <xdr:row>16</xdr:row>
      <xdr:rowOff>47625</xdr:rowOff>
    </xdr:to>
    <xdr:graphicFrame macro="">
      <xdr:nvGraphicFramePr>
        <xdr:cNvPr id="3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18</xdr:row>
      <xdr:rowOff>28575</xdr:rowOff>
    </xdr:from>
    <xdr:to>
      <xdr:col>12</xdr:col>
      <xdr:colOff>66675</xdr:colOff>
      <xdr:row>32</xdr:row>
      <xdr:rowOff>95250</xdr:rowOff>
    </xdr:to>
    <xdr:graphicFrame macro="">
      <xdr:nvGraphicFramePr>
        <xdr:cNvPr id="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19</xdr:col>
      <xdr:colOff>0</xdr:colOff>
      <xdr:row>32</xdr:row>
      <xdr:rowOff>66675</xdr:rowOff>
    </xdr:to>
    <xdr:graphicFrame macro="">
      <xdr:nvGraphicFramePr>
        <xdr:cNvPr id="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ullCyber\Mis%20documentos\Downloads\10%20Analisis%20sensibilidad%20monofactor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15">
          <cell r="C15" t="str">
            <v>VAN</v>
          </cell>
          <cell r="D15" t="str">
            <v>TIR</v>
          </cell>
        </row>
        <row r="16">
          <cell r="B16">
            <v>-0.09</v>
          </cell>
          <cell r="C16">
            <v>-32173.761494614759</v>
          </cell>
          <cell r="D16">
            <v>-1.3536535697764649E-2</v>
          </cell>
        </row>
        <row r="17">
          <cell r="B17">
            <v>-0.06</v>
          </cell>
          <cell r="C17">
            <v>-18105.13516874388</v>
          </cell>
          <cell r="D17">
            <v>6.7227380914609072E-2</v>
          </cell>
        </row>
        <row r="18">
          <cell r="B18">
            <v>-0.03</v>
          </cell>
          <cell r="C18">
            <v>-4036.5088428729068</v>
          </cell>
          <cell r="D18">
            <v>0.14756492295508067</v>
          </cell>
        </row>
        <row r="19">
          <cell r="B19">
            <v>0</v>
          </cell>
          <cell r="C19">
            <v>10031.809010883801</v>
          </cell>
          <cell r="D19">
            <v>0.22768202367235352</v>
          </cell>
        </row>
        <row r="20">
          <cell r="B20">
            <v>0.03</v>
          </cell>
          <cell r="C20">
            <v>24100.743808869011</v>
          </cell>
          <cell r="D20">
            <v>0.3077387478669435</v>
          </cell>
        </row>
        <row r="21">
          <cell r="B21">
            <v>0.06</v>
          </cell>
          <cell r="C21">
            <v>38169.370134739976</v>
          </cell>
          <cell r="D21">
            <v>0.38784141077154027</v>
          </cell>
        </row>
        <row r="24">
          <cell r="C24" t="str">
            <v>VAN</v>
          </cell>
          <cell r="D24" t="str">
            <v>TIR</v>
          </cell>
        </row>
        <row r="25">
          <cell r="B25">
            <v>-0.06</v>
          </cell>
          <cell r="C25">
            <v>30378.319465964552</v>
          </cell>
          <cell r="D25">
            <v>0.34431294883523289</v>
          </cell>
        </row>
        <row r="26">
          <cell r="B26">
            <v>-0.03</v>
          </cell>
          <cell r="C26">
            <v>20205.06423842418</v>
          </cell>
          <cell r="D26">
            <v>0.28585741244766905</v>
          </cell>
        </row>
        <row r="27">
          <cell r="B27">
            <v>0</v>
          </cell>
          <cell r="C27">
            <v>10031.809010883801</v>
          </cell>
          <cell r="D27">
            <v>0.22768202367235352</v>
          </cell>
        </row>
        <row r="28">
          <cell r="B28">
            <v>0.03</v>
          </cell>
          <cell r="C28">
            <v>-141.44621665657178</v>
          </cell>
          <cell r="D28">
            <v>0.16976333147336395</v>
          </cell>
        </row>
        <row r="29">
          <cell r="B29">
            <v>0.06</v>
          </cell>
          <cell r="C29">
            <v>-10314.701444196944</v>
          </cell>
          <cell r="D29">
            <v>0.1120668892703371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opLeftCell="B13" workbookViewId="0">
      <selection activeCell="E38" sqref="E38"/>
    </sheetView>
  </sheetViews>
  <sheetFormatPr baseColWidth="10" defaultRowHeight="15"/>
  <cols>
    <col min="2" max="2" width="37.85546875" customWidth="1"/>
    <col min="3" max="3" width="16.85546875" customWidth="1"/>
    <col min="4" max="4" width="16.5703125" customWidth="1"/>
    <col min="5" max="5" width="14.7109375" bestFit="1" customWidth="1"/>
    <col min="6" max="8" width="13.28515625" bestFit="1" customWidth="1"/>
    <col min="10" max="10" width="13.140625" customWidth="1"/>
    <col min="11" max="11" width="14.42578125" customWidth="1"/>
    <col min="12" max="12" width="15.5703125" customWidth="1"/>
  </cols>
  <sheetData>
    <row r="1" spans="2:8" ht="15.75" thickBot="1"/>
    <row r="2" spans="2:8" ht="21.75" thickBot="1">
      <c r="B2" s="567" t="s">
        <v>14</v>
      </c>
      <c r="C2" s="568"/>
      <c r="D2" s="568"/>
      <c r="E2" s="568"/>
      <c r="F2" s="568"/>
      <c r="G2" s="568"/>
      <c r="H2" s="569"/>
    </row>
    <row r="3" spans="2:8" ht="15.75" thickBot="1"/>
    <row r="4" spans="2:8" ht="26.25" customHeight="1" thickBot="1">
      <c r="B4" s="576" t="s">
        <v>145</v>
      </c>
      <c r="C4" s="577"/>
      <c r="D4" s="577"/>
      <c r="E4" s="577"/>
      <c r="F4" s="577"/>
      <c r="G4" s="577"/>
      <c r="H4" s="578"/>
    </row>
    <row r="5" spans="2:8" ht="16.5" thickBot="1">
      <c r="B5" s="151" t="s">
        <v>146</v>
      </c>
      <c r="C5" s="147" t="s">
        <v>147</v>
      </c>
      <c r="D5" s="257" t="s">
        <v>155</v>
      </c>
      <c r="E5" s="86" t="s">
        <v>151</v>
      </c>
      <c r="F5" s="253" t="s">
        <v>152</v>
      </c>
      <c r="G5" s="86" t="s">
        <v>153</v>
      </c>
      <c r="H5" s="86" t="s">
        <v>154</v>
      </c>
    </row>
    <row r="6" spans="2:8" ht="15.75">
      <c r="B6" s="148" t="s">
        <v>148</v>
      </c>
      <c r="C6" s="212">
        <v>65</v>
      </c>
      <c r="D6" s="211">
        <f>C6*12</f>
        <v>780</v>
      </c>
      <c r="E6" s="212">
        <f>D6*(1+2.5%)</f>
        <v>799.49999999999989</v>
      </c>
      <c r="F6" s="211">
        <f t="shared" ref="F6:H6" si="0">E6*(1+2.5%)</f>
        <v>819.48749999999984</v>
      </c>
      <c r="G6" s="212">
        <f t="shared" si="0"/>
        <v>839.97468749999973</v>
      </c>
      <c r="H6" s="212">
        <f t="shared" si="0"/>
        <v>860.97405468749969</v>
      </c>
    </row>
    <row r="7" spans="2:8" ht="15.75">
      <c r="B7" s="149" t="s">
        <v>149</v>
      </c>
      <c r="C7" s="240">
        <v>100</v>
      </c>
      <c r="D7" s="241">
        <f>C7*12</f>
        <v>1200</v>
      </c>
      <c r="E7" s="240">
        <v>1200</v>
      </c>
      <c r="F7" s="241">
        <v>1200</v>
      </c>
      <c r="G7" s="240">
        <v>1200</v>
      </c>
      <c r="H7" s="240">
        <v>1200</v>
      </c>
    </row>
    <row r="8" spans="2:8" ht="15.75">
      <c r="B8" s="149" t="s">
        <v>150</v>
      </c>
      <c r="C8" s="240">
        <v>15.32</v>
      </c>
      <c r="D8" s="241">
        <f>C8*12</f>
        <v>183.84</v>
      </c>
      <c r="E8" s="240">
        <v>183.84</v>
      </c>
      <c r="F8" s="241">
        <v>183.84</v>
      </c>
      <c r="G8" s="240">
        <v>183.84</v>
      </c>
      <c r="H8" s="240">
        <v>183.84</v>
      </c>
    </row>
    <row r="9" spans="2:8" ht="16.5" thickBot="1">
      <c r="B9" s="150" t="s">
        <v>64</v>
      </c>
      <c r="C9" s="237">
        <f>SUM(C6:C8)</f>
        <v>180.32</v>
      </c>
      <c r="D9" s="244">
        <f>SUM(D6:D8)</f>
        <v>2163.84</v>
      </c>
      <c r="E9" s="214">
        <f>SUM(E6:E8)</f>
        <v>2183.34</v>
      </c>
      <c r="F9" s="213">
        <f t="shared" ref="F9:H9" si="1">SUM(F6:F8)</f>
        <v>2203.3274999999999</v>
      </c>
      <c r="G9" s="214">
        <f t="shared" si="1"/>
        <v>2223.8146874999998</v>
      </c>
      <c r="H9" s="214">
        <f t="shared" si="1"/>
        <v>2244.8140546874997</v>
      </c>
    </row>
    <row r="11" spans="2:8" ht="15.75" thickBot="1"/>
    <row r="12" spans="2:8" ht="15.75" thickBot="1">
      <c r="B12" s="579" t="s">
        <v>19</v>
      </c>
      <c r="C12" s="580"/>
      <c r="D12" s="580"/>
      <c r="E12" s="580"/>
      <c r="F12" s="580"/>
      <c r="G12" s="580"/>
      <c r="H12" s="581"/>
    </row>
    <row r="13" spans="2:8" ht="16.5" thickBot="1">
      <c r="B13" s="154" t="s">
        <v>146</v>
      </c>
      <c r="C13" s="160" t="s">
        <v>147</v>
      </c>
      <c r="D13" s="255" t="s">
        <v>160</v>
      </c>
      <c r="E13" s="86" t="s">
        <v>151</v>
      </c>
      <c r="F13" s="86" t="s">
        <v>152</v>
      </c>
      <c r="G13" s="86" t="s">
        <v>153</v>
      </c>
      <c r="H13" s="252" t="s">
        <v>154</v>
      </c>
    </row>
    <row r="14" spans="2:8" ht="18.75">
      <c r="B14" s="156" t="s">
        <v>162</v>
      </c>
      <c r="C14" s="245">
        <v>700</v>
      </c>
      <c r="D14" s="245">
        <f>C14*12</f>
        <v>8400</v>
      </c>
      <c r="E14" s="245">
        <v>8400</v>
      </c>
      <c r="F14" s="245">
        <v>5800</v>
      </c>
      <c r="G14" s="245">
        <v>5800</v>
      </c>
      <c r="H14" s="245">
        <v>5800</v>
      </c>
    </row>
    <row r="15" spans="2:8" ht="19.5" thickBot="1">
      <c r="B15" s="59" t="s">
        <v>64</v>
      </c>
      <c r="C15" s="246">
        <f>SUM(C14)</f>
        <v>700</v>
      </c>
      <c r="D15" s="246">
        <f t="shared" ref="D15:H15" si="2">SUM(D14)</f>
        <v>8400</v>
      </c>
      <c r="E15" s="246">
        <f t="shared" si="2"/>
        <v>8400</v>
      </c>
      <c r="F15" s="246">
        <f t="shared" si="2"/>
        <v>5800</v>
      </c>
      <c r="G15" s="246">
        <f t="shared" si="2"/>
        <v>5800</v>
      </c>
      <c r="H15" s="246">
        <f t="shared" si="2"/>
        <v>5800</v>
      </c>
    </row>
    <row r="17" spans="2:8" ht="15.75" thickBot="1"/>
    <row r="18" spans="2:8" ht="15.75" thickBot="1">
      <c r="B18" s="582" t="s">
        <v>163</v>
      </c>
      <c r="C18" s="583"/>
      <c r="D18" s="583"/>
      <c r="E18" s="583"/>
      <c r="F18" s="583"/>
      <c r="G18" s="583"/>
      <c r="H18" s="584"/>
    </row>
    <row r="19" spans="2:8" ht="16.5" thickBot="1">
      <c r="B19" s="151" t="s">
        <v>146</v>
      </c>
      <c r="C19" s="152"/>
      <c r="D19" s="157" t="s">
        <v>160</v>
      </c>
      <c r="E19" s="158" t="s">
        <v>151</v>
      </c>
      <c r="F19" s="158" t="s">
        <v>152</v>
      </c>
      <c r="G19" s="158" t="s">
        <v>153</v>
      </c>
      <c r="H19" s="159" t="s">
        <v>154</v>
      </c>
    </row>
    <row r="20" spans="2:8" ht="15.75">
      <c r="B20" s="32" t="s">
        <v>164</v>
      </c>
      <c r="C20" s="161"/>
      <c r="D20" s="139">
        <v>120</v>
      </c>
      <c r="E20" s="139">
        <f>D20</f>
        <v>120</v>
      </c>
      <c r="F20" s="139">
        <f t="shared" ref="F20:H20" si="3">E20</f>
        <v>120</v>
      </c>
      <c r="G20" s="139">
        <f t="shared" si="3"/>
        <v>120</v>
      </c>
      <c r="H20" s="139">
        <f t="shared" si="3"/>
        <v>120</v>
      </c>
    </row>
    <row r="21" spans="2:8" ht="15.75">
      <c r="B21" s="30" t="s">
        <v>64</v>
      </c>
      <c r="C21" s="31"/>
      <c r="D21" s="139">
        <f>D20</f>
        <v>120</v>
      </c>
      <c r="E21" s="139">
        <f>SUM(E20)</f>
        <v>120</v>
      </c>
      <c r="F21" s="139">
        <f t="shared" ref="F21:H21" si="4">SUM(F20)</f>
        <v>120</v>
      </c>
      <c r="G21" s="139">
        <f t="shared" si="4"/>
        <v>120</v>
      </c>
      <c r="H21" s="139">
        <f t="shared" si="4"/>
        <v>120</v>
      </c>
    </row>
    <row r="23" spans="2:8" ht="15.75" thickBot="1"/>
    <row r="24" spans="2:8" ht="15.75" thickBot="1">
      <c r="B24" s="579" t="s">
        <v>20</v>
      </c>
      <c r="C24" s="580"/>
      <c r="D24" s="580"/>
      <c r="E24" s="580"/>
      <c r="F24" s="580"/>
      <c r="G24" s="580"/>
      <c r="H24" s="581"/>
    </row>
    <row r="25" spans="2:8" ht="15.75" thickBot="1">
      <c r="B25" s="307" t="s">
        <v>146</v>
      </c>
      <c r="C25" s="289" t="s">
        <v>214</v>
      </c>
      <c r="D25" s="289" t="s">
        <v>215</v>
      </c>
      <c r="E25" s="291" t="s">
        <v>151</v>
      </c>
      <c r="F25" s="292" t="s">
        <v>152</v>
      </c>
      <c r="G25" s="293" t="s">
        <v>153</v>
      </c>
      <c r="H25" s="292" t="s">
        <v>154</v>
      </c>
    </row>
    <row r="26" spans="2:8" ht="15.75">
      <c r="B26" s="148" t="s">
        <v>68</v>
      </c>
      <c r="C26" s="304">
        <v>348.03</v>
      </c>
      <c r="D26" s="304">
        <f>C26*12</f>
        <v>4176.3599999999997</v>
      </c>
      <c r="E26" s="296">
        <f>D26</f>
        <v>4176.3599999999997</v>
      </c>
      <c r="F26" s="239">
        <f t="shared" ref="F26:H26" si="5">E26</f>
        <v>4176.3599999999997</v>
      </c>
      <c r="G26" s="297">
        <f t="shared" si="5"/>
        <v>4176.3599999999997</v>
      </c>
      <c r="H26" s="298">
        <f t="shared" si="5"/>
        <v>4176.3599999999997</v>
      </c>
    </row>
    <row r="27" spans="2:8" ht="15.75">
      <c r="B27" s="149" t="s">
        <v>73</v>
      </c>
      <c r="C27" s="305">
        <v>291.67</v>
      </c>
      <c r="D27" s="305">
        <f>C27*12</f>
        <v>3500.04</v>
      </c>
      <c r="E27" s="299">
        <f t="shared" ref="E27:H27" si="6">D27</f>
        <v>3500.04</v>
      </c>
      <c r="F27" s="300">
        <f t="shared" si="6"/>
        <v>3500.04</v>
      </c>
      <c r="G27" s="301">
        <f t="shared" si="6"/>
        <v>3500.04</v>
      </c>
      <c r="H27" s="302">
        <f t="shared" si="6"/>
        <v>3500.04</v>
      </c>
    </row>
    <row r="28" spans="2:8" ht="15.75">
      <c r="B28" s="153" t="s">
        <v>216</v>
      </c>
      <c r="C28" s="305">
        <f>D28/12</f>
        <v>1.2608333333333335</v>
      </c>
      <c r="D28" s="305">
        <v>15.13</v>
      </c>
      <c r="E28" s="299">
        <f t="shared" ref="E28:H28" si="7">D28</f>
        <v>15.13</v>
      </c>
      <c r="F28" s="300">
        <f t="shared" si="7"/>
        <v>15.13</v>
      </c>
      <c r="G28" s="301">
        <f t="shared" si="7"/>
        <v>15.13</v>
      </c>
      <c r="H28" s="302">
        <f t="shared" si="7"/>
        <v>15.13</v>
      </c>
    </row>
    <row r="29" spans="2:8" ht="16.5" thickBot="1">
      <c r="B29" s="150" t="s">
        <v>64</v>
      </c>
      <c r="C29" s="306">
        <f>SUM(C26:C28)</f>
        <v>640.96083333333343</v>
      </c>
      <c r="D29" s="306">
        <f>SUM(D26:D28)</f>
        <v>7691.53</v>
      </c>
      <c r="E29" s="303">
        <f t="shared" ref="E29:H29" si="8">D29</f>
        <v>7691.53</v>
      </c>
      <c r="F29" s="237">
        <f t="shared" si="8"/>
        <v>7691.53</v>
      </c>
      <c r="G29" s="244">
        <f t="shared" si="8"/>
        <v>7691.53</v>
      </c>
      <c r="H29" s="237">
        <f t="shared" si="8"/>
        <v>7691.53</v>
      </c>
    </row>
    <row r="30" spans="2:8" ht="15.75">
      <c r="B30" s="67"/>
      <c r="C30" s="71"/>
      <c r="D30" s="71"/>
      <c r="E30" s="308"/>
      <c r="F30" s="308"/>
      <c r="G30" s="308"/>
      <c r="H30" s="308"/>
    </row>
    <row r="31" spans="2:8" ht="16.5" thickBot="1">
      <c r="B31" s="67"/>
      <c r="C31" s="71"/>
      <c r="D31" s="71"/>
      <c r="E31" s="308"/>
      <c r="F31" s="308"/>
      <c r="G31" s="308"/>
      <c r="H31" s="308"/>
    </row>
    <row r="32" spans="2:8" ht="16.5" thickBot="1">
      <c r="B32" s="564" t="s">
        <v>217</v>
      </c>
      <c r="C32" s="565"/>
      <c r="D32" s="566"/>
      <c r="E32" s="308"/>
      <c r="F32" s="308"/>
      <c r="G32" s="308"/>
      <c r="H32" s="308"/>
    </row>
    <row r="33" spans="2:12" ht="16.5" thickBot="1">
      <c r="B33" s="231" t="s">
        <v>146</v>
      </c>
      <c r="C33" s="147" t="s">
        <v>147</v>
      </c>
      <c r="D33" s="309" t="s">
        <v>218</v>
      </c>
      <c r="E33" s="308"/>
      <c r="F33" s="308"/>
      <c r="G33" s="308"/>
      <c r="H33" s="308"/>
    </row>
    <row r="34" spans="2:12" ht="15.75">
      <c r="B34" s="232" t="s">
        <v>219</v>
      </c>
      <c r="C34" s="304">
        <v>150</v>
      </c>
      <c r="D34" s="310">
        <f>C34</f>
        <v>150</v>
      </c>
      <c r="E34" s="308"/>
      <c r="F34" s="308"/>
      <c r="G34" s="308"/>
      <c r="H34" s="308"/>
    </row>
    <row r="35" spans="2:12" ht="16.5" thickBot="1">
      <c r="B35" s="136" t="s">
        <v>64</v>
      </c>
      <c r="C35" s="306">
        <v>150</v>
      </c>
      <c r="D35" s="311">
        <f>SUM(D34)</f>
        <v>150</v>
      </c>
      <c r="E35" s="308"/>
      <c r="F35" s="308"/>
      <c r="G35" s="308"/>
      <c r="H35" s="308"/>
    </row>
    <row r="36" spans="2:12" ht="15.75">
      <c r="B36" s="67"/>
      <c r="C36" s="71"/>
      <c r="D36" s="71"/>
      <c r="E36" s="308"/>
      <c r="F36" s="308"/>
      <c r="G36" s="308"/>
      <c r="H36" s="308"/>
    </row>
    <row r="39" spans="2:12">
      <c r="B39" s="575"/>
      <c r="C39" s="575"/>
      <c r="D39" s="575"/>
      <c r="E39" s="575"/>
      <c r="F39" s="575"/>
      <c r="G39" s="575"/>
      <c r="H39" s="575"/>
      <c r="I39" s="575"/>
      <c r="J39" s="575"/>
      <c r="K39" s="575"/>
      <c r="L39" s="575"/>
    </row>
    <row r="40" spans="2:12" ht="15.75">
      <c r="B40" s="570"/>
      <c r="C40" s="571"/>
      <c r="D40" s="572"/>
      <c r="E40" s="574"/>
      <c r="F40" s="574"/>
      <c r="G40" s="574"/>
      <c r="H40" s="574"/>
      <c r="I40" s="367"/>
      <c r="J40" s="571"/>
      <c r="K40" s="571"/>
      <c r="L40" s="571"/>
    </row>
    <row r="41" spans="2:12">
      <c r="B41" s="570"/>
      <c r="C41" s="571"/>
      <c r="D41" s="573"/>
      <c r="E41" s="367"/>
      <c r="F41" s="367"/>
      <c r="G41" s="367"/>
      <c r="H41" s="367"/>
      <c r="I41" s="369"/>
      <c r="J41" s="571"/>
      <c r="K41" s="571"/>
      <c r="L41" s="571"/>
    </row>
    <row r="42" spans="2:12" ht="18.75">
      <c r="B42" s="370"/>
      <c r="C42" s="365"/>
      <c r="D42" s="282"/>
      <c r="E42" s="282"/>
      <c r="F42" s="282"/>
      <c r="G42" s="282"/>
      <c r="H42" s="282"/>
      <c r="I42" s="282"/>
      <c r="J42" s="282"/>
      <c r="K42" s="282"/>
      <c r="L42" s="282"/>
    </row>
    <row r="43" spans="2:12" ht="18.75">
      <c r="B43" s="370"/>
      <c r="C43" s="365"/>
      <c r="D43" s="281"/>
      <c r="E43" s="281"/>
      <c r="F43" s="281"/>
      <c r="G43" s="281"/>
      <c r="H43" s="281"/>
      <c r="I43" s="281"/>
      <c r="J43" s="281"/>
      <c r="K43" s="281"/>
      <c r="L43" s="281"/>
    </row>
    <row r="44" spans="2:12" ht="18.75">
      <c r="B44" s="370"/>
      <c r="C44" s="365"/>
      <c r="D44" s="281"/>
      <c r="E44" s="281"/>
      <c r="F44" s="281"/>
      <c r="G44" s="281"/>
      <c r="H44" s="281"/>
      <c r="I44" s="281"/>
      <c r="J44" s="281"/>
      <c r="K44" s="281"/>
      <c r="L44" s="281"/>
    </row>
    <row r="45" spans="2:12" ht="18.75">
      <c r="B45" s="2"/>
      <c r="C45" s="365"/>
      <c r="D45" s="282"/>
      <c r="E45" s="282"/>
      <c r="F45" s="282"/>
      <c r="G45" s="282"/>
      <c r="H45" s="282"/>
      <c r="I45" s="282"/>
      <c r="J45" s="282"/>
      <c r="K45" s="282"/>
      <c r="L45" s="282"/>
    </row>
  </sheetData>
  <mergeCells count="14">
    <mergeCell ref="J40:J41"/>
    <mergeCell ref="K40:K41"/>
    <mergeCell ref="L40:L41"/>
    <mergeCell ref="B39:L39"/>
    <mergeCell ref="B4:H4"/>
    <mergeCell ref="B12:H12"/>
    <mergeCell ref="B18:H18"/>
    <mergeCell ref="B24:H24"/>
    <mergeCell ref="B32:D32"/>
    <mergeCell ref="B2:H2"/>
    <mergeCell ref="B40:B41"/>
    <mergeCell ref="C40:C41"/>
    <mergeCell ref="D40:D41"/>
    <mergeCell ref="E40:H40"/>
  </mergeCells>
  <pageMargins left="0.7" right="0.7" top="0.75" bottom="0.75" header="0.3" footer="0.3"/>
  <pageSetup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4:L38"/>
  <sheetViews>
    <sheetView topLeftCell="A25" workbookViewId="0">
      <selection activeCell="D42" sqref="D42"/>
    </sheetView>
  </sheetViews>
  <sheetFormatPr baseColWidth="10" defaultRowHeight="15"/>
  <cols>
    <col min="2" max="2" width="33.85546875" customWidth="1"/>
    <col min="3" max="3" width="17.85546875" customWidth="1"/>
    <col min="4" max="4" width="18.140625" customWidth="1"/>
    <col min="5" max="5" width="4.7109375" customWidth="1"/>
    <col min="6" max="6" width="27.85546875" bestFit="1" customWidth="1"/>
    <col min="7" max="7" width="16.5703125" customWidth="1"/>
    <col min="8" max="8" width="16.28515625" customWidth="1"/>
    <col min="10" max="10" width="40.42578125" customWidth="1"/>
    <col min="11" max="11" width="17.140625" customWidth="1"/>
  </cols>
  <sheetData>
    <row r="4" spans="2:12" ht="15.75" thickBot="1">
      <c r="J4" s="46"/>
      <c r="K4" s="47"/>
      <c r="L4" s="48"/>
    </row>
    <row r="5" spans="2:12" ht="15.75">
      <c r="B5" s="662" t="s">
        <v>129</v>
      </c>
      <c r="C5" s="663"/>
      <c r="D5" s="663"/>
      <c r="E5" s="663"/>
      <c r="F5" s="663"/>
      <c r="G5" s="663"/>
      <c r="H5" s="664"/>
      <c r="J5" s="49"/>
      <c r="K5" s="47"/>
      <c r="L5" s="48"/>
    </row>
    <row r="6" spans="2:12" ht="15.75">
      <c r="B6" s="670" t="s">
        <v>134</v>
      </c>
      <c r="C6" s="671"/>
      <c r="D6" s="671"/>
      <c r="E6" s="671"/>
      <c r="F6" s="671"/>
      <c r="G6" s="671"/>
      <c r="H6" s="672"/>
      <c r="J6" s="49"/>
      <c r="K6" s="47"/>
      <c r="L6" s="48"/>
    </row>
    <row r="7" spans="2:12" ht="16.5" thickBot="1">
      <c r="B7" s="665" t="s">
        <v>140</v>
      </c>
      <c r="C7" s="666"/>
      <c r="D7" s="666"/>
      <c r="E7" s="666"/>
      <c r="F7" s="666"/>
      <c r="G7" s="666"/>
      <c r="H7" s="667"/>
      <c r="J7" s="49"/>
      <c r="K7" s="47"/>
      <c r="L7" s="48"/>
    </row>
    <row r="8" spans="2:12">
      <c r="B8" s="65" t="s">
        <v>59</v>
      </c>
      <c r="C8" s="66"/>
      <c r="D8" s="66"/>
      <c r="E8" s="66"/>
      <c r="F8" s="67" t="s">
        <v>60</v>
      </c>
      <c r="G8" s="66"/>
      <c r="H8" s="68"/>
      <c r="J8" s="49"/>
      <c r="K8" s="47"/>
      <c r="L8" s="48"/>
    </row>
    <row r="9" spans="2:12">
      <c r="B9" s="72" t="s">
        <v>61</v>
      </c>
      <c r="C9" s="67"/>
      <c r="D9" s="67"/>
      <c r="E9" s="67"/>
      <c r="F9" s="73" t="s">
        <v>61</v>
      </c>
      <c r="G9" s="67"/>
      <c r="H9" s="74"/>
      <c r="J9" s="46"/>
      <c r="K9" s="47"/>
      <c r="L9" s="48"/>
    </row>
    <row r="10" spans="2:12" ht="18.75">
      <c r="B10" s="65" t="s">
        <v>62</v>
      </c>
      <c r="C10" s="127">
        <v>19365.4573853324</v>
      </c>
      <c r="D10" s="128"/>
      <c r="E10" s="71"/>
      <c r="F10" s="67" t="s">
        <v>63</v>
      </c>
      <c r="G10" s="67" t="s">
        <v>63</v>
      </c>
      <c r="H10" s="74"/>
      <c r="J10" s="50"/>
      <c r="K10" s="47"/>
      <c r="L10" s="46"/>
    </row>
    <row r="11" spans="2:12" ht="18.75">
      <c r="B11" s="65" t="s">
        <v>64</v>
      </c>
      <c r="C11" s="127"/>
      <c r="D11" s="127">
        <f>C10</f>
        <v>19365.4573853324</v>
      </c>
      <c r="E11" s="75"/>
      <c r="F11" s="67"/>
      <c r="G11" s="67"/>
      <c r="H11" s="74"/>
      <c r="J11" s="49"/>
      <c r="K11" s="47"/>
      <c r="L11" s="51"/>
    </row>
    <row r="12" spans="2:12" ht="18.75">
      <c r="B12" s="65"/>
      <c r="C12" s="127"/>
      <c r="D12" s="127"/>
      <c r="E12" s="75"/>
      <c r="F12" s="67"/>
      <c r="G12" s="67"/>
      <c r="H12" s="74"/>
      <c r="J12" s="49"/>
      <c r="K12" s="47"/>
      <c r="L12" s="48"/>
    </row>
    <row r="13" spans="2:12" ht="18.75">
      <c r="B13" s="72" t="s">
        <v>65</v>
      </c>
      <c r="C13" s="127"/>
      <c r="D13" s="127"/>
      <c r="E13" s="75"/>
      <c r="F13" s="73" t="s">
        <v>65</v>
      </c>
      <c r="G13" s="67"/>
      <c r="H13" s="74"/>
      <c r="J13" s="661"/>
      <c r="K13" s="661"/>
      <c r="L13" s="661"/>
    </row>
    <row r="14" spans="2:12" ht="18.75">
      <c r="B14" s="65" t="s">
        <v>66</v>
      </c>
      <c r="C14" s="127"/>
      <c r="D14" s="127"/>
      <c r="E14" s="67"/>
      <c r="F14" s="67" t="s">
        <v>67</v>
      </c>
      <c r="G14" s="127">
        <v>38437.810823399574</v>
      </c>
      <c r="H14" s="130"/>
      <c r="J14" s="222"/>
      <c r="K14" s="223"/>
      <c r="L14" s="224"/>
    </row>
    <row r="15" spans="2:12" ht="18.75">
      <c r="B15" s="65" t="s">
        <v>68</v>
      </c>
      <c r="C15" s="127">
        <v>41764</v>
      </c>
      <c r="D15" s="127"/>
      <c r="E15" s="71"/>
      <c r="F15" s="67"/>
      <c r="G15" s="127"/>
      <c r="H15" s="131">
        <f>G14</f>
        <v>38437.810823399574</v>
      </c>
      <c r="J15" s="225"/>
      <c r="K15" s="47"/>
      <c r="L15" s="226"/>
    </row>
    <row r="16" spans="2:12" ht="18.75">
      <c r="B16" s="65" t="s">
        <v>69</v>
      </c>
      <c r="C16" s="127">
        <v>1160</v>
      </c>
      <c r="D16" s="127"/>
      <c r="E16" s="71"/>
      <c r="F16" s="67"/>
      <c r="G16" s="127"/>
      <c r="H16" s="131"/>
      <c r="J16" s="227"/>
      <c r="K16" s="47"/>
      <c r="L16" s="226"/>
    </row>
    <row r="17" spans="2:12" ht="18.75">
      <c r="B17" s="65" t="s">
        <v>70</v>
      </c>
      <c r="C17" s="127">
        <v>3866</v>
      </c>
      <c r="D17" s="127"/>
      <c r="E17" s="71"/>
      <c r="F17" s="67"/>
      <c r="G17" s="127"/>
      <c r="H17" s="131"/>
      <c r="J17" s="227"/>
      <c r="K17" s="47"/>
      <c r="L17" s="226"/>
    </row>
    <row r="18" spans="2:12" ht="18.75">
      <c r="B18" s="65" t="s">
        <v>71</v>
      </c>
      <c r="C18" s="127">
        <v>1761.9</v>
      </c>
      <c r="D18" s="127"/>
      <c r="E18" s="71"/>
      <c r="F18" s="67" t="s">
        <v>72</v>
      </c>
      <c r="G18" s="127"/>
      <c r="H18" s="131"/>
      <c r="J18" s="227"/>
      <c r="K18" s="47"/>
      <c r="L18" s="226"/>
    </row>
    <row r="19" spans="2:12" ht="18.75" customHeight="1">
      <c r="B19" s="65" t="s">
        <v>73</v>
      </c>
      <c r="C19" s="127">
        <v>17500</v>
      </c>
      <c r="D19" s="128"/>
      <c r="E19" s="71"/>
      <c r="F19" s="67" t="s">
        <v>74</v>
      </c>
      <c r="G19" s="127">
        <v>46979.546561932817</v>
      </c>
      <c r="H19" s="130"/>
      <c r="J19" s="225"/>
      <c r="K19" s="47"/>
      <c r="L19" s="226"/>
    </row>
    <row r="20" spans="2:12" ht="18.75">
      <c r="B20" s="65" t="s">
        <v>100</v>
      </c>
      <c r="C20" s="127"/>
      <c r="D20" s="127">
        <f>SUM(C15:C19)</f>
        <v>66051.899999999994</v>
      </c>
      <c r="E20" s="71"/>
      <c r="F20" s="67"/>
      <c r="G20" s="127"/>
      <c r="H20" s="131">
        <f>G19</f>
        <v>46979.546561932817</v>
      </c>
      <c r="J20" s="228"/>
      <c r="K20" s="47"/>
      <c r="L20" s="225"/>
    </row>
    <row r="21" spans="2:12" ht="18.75">
      <c r="B21" s="65"/>
      <c r="C21" s="127"/>
      <c r="D21" s="127"/>
      <c r="E21" s="71"/>
      <c r="F21" s="67"/>
      <c r="G21" s="127"/>
      <c r="H21" s="131"/>
      <c r="J21" s="227"/>
      <c r="K21" s="47"/>
      <c r="L21" s="229"/>
    </row>
    <row r="22" spans="2:12" ht="18.75">
      <c r="B22" s="70"/>
      <c r="C22" s="127"/>
      <c r="D22" s="127"/>
      <c r="E22" s="67"/>
      <c r="F22" s="67"/>
      <c r="G22" s="127"/>
      <c r="H22" s="131"/>
      <c r="J22" s="227"/>
      <c r="K22" s="230"/>
      <c r="L22" s="226"/>
    </row>
    <row r="23" spans="2:12" ht="18.75">
      <c r="B23" s="65" t="s">
        <v>75</v>
      </c>
      <c r="C23" s="127"/>
      <c r="D23" s="128"/>
      <c r="E23" s="67"/>
      <c r="F23" s="67" t="s">
        <v>76</v>
      </c>
      <c r="G23" s="127"/>
      <c r="H23" s="130"/>
      <c r="J23" s="165"/>
      <c r="K23" s="165"/>
      <c r="L23" s="165"/>
    </row>
    <row r="24" spans="2:12" ht="19.5" thickBot="1">
      <c r="B24" s="65"/>
      <c r="C24" s="127"/>
      <c r="D24" s="129">
        <f>D11+D20</f>
        <v>85417.357385332391</v>
      </c>
      <c r="E24" s="71"/>
      <c r="F24" s="67"/>
      <c r="G24" s="127"/>
      <c r="H24" s="132">
        <f>H15+H20</f>
        <v>85417.357385332391</v>
      </c>
    </row>
    <row r="25" spans="2:12" ht="16.5" thickTop="1">
      <c r="B25" s="69"/>
      <c r="C25" s="66"/>
      <c r="D25" s="71"/>
      <c r="E25" s="71"/>
      <c r="F25" s="66"/>
      <c r="G25" s="125"/>
      <c r="H25" s="126"/>
    </row>
    <row r="26" spans="2:12">
      <c r="B26" s="14"/>
      <c r="C26" s="11"/>
      <c r="D26" s="11"/>
      <c r="E26" s="11"/>
      <c r="F26" s="11"/>
      <c r="G26" s="11"/>
      <c r="H26" s="13"/>
    </row>
    <row r="27" spans="2:12">
      <c r="B27" s="14"/>
      <c r="C27" s="11"/>
      <c r="D27" s="11"/>
      <c r="E27" s="11"/>
      <c r="F27" s="11"/>
      <c r="G27" s="11"/>
      <c r="H27" s="13"/>
    </row>
    <row r="28" spans="2:12">
      <c r="B28" s="14"/>
      <c r="C28" s="11"/>
      <c r="D28" s="11"/>
      <c r="E28" s="11"/>
      <c r="F28" s="11"/>
      <c r="G28" s="11"/>
      <c r="H28" s="13"/>
    </row>
    <row r="29" spans="2:12">
      <c r="B29" s="14"/>
      <c r="C29" s="11"/>
      <c r="D29" s="11"/>
      <c r="E29" s="11"/>
      <c r="F29" s="11"/>
      <c r="G29" s="11"/>
      <c r="H29" s="13"/>
    </row>
    <row r="30" spans="2:12">
      <c r="B30" s="669" t="s">
        <v>133</v>
      </c>
      <c r="C30" s="668"/>
      <c r="D30" s="67"/>
      <c r="E30" s="67"/>
      <c r="F30" s="668" t="s">
        <v>132</v>
      </c>
      <c r="G30" s="668"/>
      <c r="H30" s="13"/>
    </row>
    <row r="31" spans="2:12">
      <c r="B31" s="669" t="s">
        <v>131</v>
      </c>
      <c r="C31" s="668"/>
      <c r="D31" s="67"/>
      <c r="E31" s="67"/>
      <c r="F31" s="668" t="s">
        <v>130</v>
      </c>
      <c r="G31" s="668"/>
      <c r="H31" s="13"/>
    </row>
    <row r="32" spans="2:12" ht="15.75" thickBot="1">
      <c r="B32" s="15"/>
      <c r="C32" s="16"/>
      <c r="D32" s="16"/>
      <c r="E32" s="16"/>
      <c r="F32" s="16"/>
      <c r="G32" s="16"/>
      <c r="H32" s="17"/>
    </row>
    <row r="33" spans="1:8">
      <c r="H33" s="13"/>
    </row>
    <row r="34" spans="1:8">
      <c r="A34" s="11"/>
      <c r="B34" s="11"/>
      <c r="C34" s="11"/>
      <c r="D34" s="11"/>
      <c r="E34" s="11"/>
      <c r="F34" s="11"/>
      <c r="G34" s="11"/>
      <c r="H34" s="11"/>
    </row>
    <row r="35" spans="1:8">
      <c r="A35" s="11"/>
      <c r="B35" s="11"/>
      <c r="C35" s="11"/>
      <c r="D35" s="11"/>
      <c r="E35" s="11"/>
      <c r="F35" s="11"/>
      <c r="G35" s="11"/>
      <c r="H35" s="11"/>
    </row>
    <row r="36" spans="1:8">
      <c r="A36" s="11"/>
      <c r="B36" s="11"/>
      <c r="C36" s="11"/>
      <c r="D36" s="11"/>
      <c r="E36" s="11"/>
      <c r="F36" s="11"/>
      <c r="G36" s="11"/>
      <c r="H36" s="11"/>
    </row>
    <row r="37" spans="1:8">
      <c r="A37" s="11"/>
      <c r="B37" s="11"/>
      <c r="C37" s="11"/>
      <c r="D37" s="11"/>
      <c r="E37" s="11"/>
      <c r="F37" s="11"/>
      <c r="G37" s="11"/>
      <c r="H37" s="11"/>
    </row>
    <row r="38" spans="1:8">
      <c r="A38" s="11"/>
      <c r="B38" s="11"/>
      <c r="C38" s="11"/>
      <c r="D38" s="11"/>
      <c r="E38" s="11"/>
      <c r="F38" s="11"/>
      <c r="G38" s="11"/>
      <c r="H38" s="11"/>
    </row>
  </sheetData>
  <mergeCells count="8">
    <mergeCell ref="J13:L13"/>
    <mergeCell ref="B5:H5"/>
    <mergeCell ref="B7:H7"/>
    <mergeCell ref="F30:G30"/>
    <mergeCell ref="F31:G31"/>
    <mergeCell ref="B30:C30"/>
    <mergeCell ref="B31:C31"/>
    <mergeCell ref="B6:H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77"/>
  <sheetViews>
    <sheetView tabSelected="1" topLeftCell="A61" zoomScale="90" zoomScaleNormal="90" workbookViewId="0">
      <selection activeCell="C49" sqref="C49"/>
    </sheetView>
  </sheetViews>
  <sheetFormatPr baseColWidth="10" defaultRowHeight="15"/>
  <cols>
    <col min="2" max="2" width="10" customWidth="1"/>
    <col min="3" max="3" width="28.5703125" customWidth="1"/>
    <col min="4" max="4" width="17.5703125" customWidth="1"/>
    <col min="5" max="5" width="18.42578125" customWidth="1"/>
    <col min="6" max="6" width="18.85546875" customWidth="1"/>
    <col min="7" max="7" width="18.28515625" customWidth="1"/>
    <col min="8" max="8" width="17.7109375" customWidth="1"/>
    <col min="9" max="9" width="16.5703125" bestFit="1" customWidth="1"/>
    <col min="10" max="10" width="15.85546875" customWidth="1"/>
    <col min="11" max="11" width="12.7109375" bestFit="1" customWidth="1"/>
    <col min="12" max="12" width="11.140625" customWidth="1"/>
  </cols>
  <sheetData>
    <row r="1" spans="2:15">
      <c r="C1" t="s">
        <v>135</v>
      </c>
    </row>
    <row r="2" spans="2:15" ht="15.75" thickBot="1">
      <c r="J2" s="169"/>
    </row>
    <row r="3" spans="2:15" ht="18.75">
      <c r="B3" s="676" t="s">
        <v>135</v>
      </c>
      <c r="C3" s="677"/>
      <c r="D3" s="677"/>
      <c r="E3" s="677"/>
      <c r="F3" s="677"/>
      <c r="G3" s="677"/>
      <c r="H3" s="678"/>
    </row>
    <row r="4" spans="2:15" ht="16.5" thickBot="1">
      <c r="B4" s="679" t="s">
        <v>167</v>
      </c>
      <c r="C4" s="680"/>
      <c r="D4" s="680"/>
      <c r="E4" s="680"/>
      <c r="F4" s="680"/>
      <c r="G4" s="680"/>
      <c r="H4" s="681"/>
    </row>
    <row r="5" spans="2:15" ht="16.5" thickBot="1">
      <c r="B5" s="576" t="s">
        <v>45</v>
      </c>
      <c r="C5" s="578"/>
      <c r="D5" s="85" t="s">
        <v>46</v>
      </c>
      <c r="E5" s="86" t="s">
        <v>47</v>
      </c>
      <c r="F5" s="87" t="s">
        <v>48</v>
      </c>
      <c r="G5" s="86" t="s">
        <v>49</v>
      </c>
      <c r="H5" s="88" t="s">
        <v>50</v>
      </c>
    </row>
    <row r="6" spans="2:15" ht="18.75">
      <c r="B6" s="682" t="s">
        <v>12</v>
      </c>
      <c r="C6" s="683"/>
      <c r="D6" s="527">
        <v>202639.8</v>
      </c>
      <c r="E6" s="528">
        <f>D6*(1+2.5%)</f>
        <v>207705.79499999998</v>
      </c>
      <c r="F6" s="528">
        <f>M9*1.2</f>
        <v>232253.46771607685</v>
      </c>
      <c r="G6" s="528">
        <f>N9*1.2</f>
        <v>238059.80440897873</v>
      </c>
      <c r="H6" s="528">
        <f>O9*1.2</f>
        <v>244011.29951920314</v>
      </c>
      <c r="J6" s="695" t="s">
        <v>112</v>
      </c>
      <c r="K6" s="696"/>
      <c r="L6" s="696"/>
      <c r="M6" s="696"/>
      <c r="N6" s="696"/>
      <c r="O6" s="697"/>
    </row>
    <row r="7" spans="2:15" ht="19.5" thickBot="1">
      <c r="B7" s="684" t="s">
        <v>111</v>
      </c>
      <c r="C7" s="685"/>
      <c r="D7" s="101">
        <v>153449.92000000001</v>
      </c>
      <c r="E7" s="102">
        <v>157286.16800000001</v>
      </c>
      <c r="F7" s="103">
        <v>161218.3222</v>
      </c>
      <c r="G7" s="102">
        <v>165248.78025499999</v>
      </c>
      <c r="H7" s="104">
        <v>169379.99976137499</v>
      </c>
      <c r="J7" s="518" t="s">
        <v>113</v>
      </c>
      <c r="K7" s="519">
        <v>2.5000000000000001E-2</v>
      </c>
      <c r="L7" s="520"/>
      <c r="M7" s="520"/>
      <c r="N7" s="521"/>
      <c r="O7" s="522"/>
    </row>
    <row r="8" spans="2:15" ht="40.5" thickBot="1">
      <c r="B8" s="686" t="s">
        <v>101</v>
      </c>
      <c r="C8" s="687"/>
      <c r="D8" s="105">
        <f>D6-D7</f>
        <v>49189.879999999976</v>
      </c>
      <c r="E8" s="106">
        <f>E6-E7</f>
        <v>50419.626999999979</v>
      </c>
      <c r="F8" s="107">
        <f>F6-F7</f>
        <v>71035.145516076853</v>
      </c>
      <c r="G8" s="106">
        <f>G6-G7</f>
        <v>72811.024153978738</v>
      </c>
      <c r="H8" s="108">
        <f>H6-H7</f>
        <v>74631.29975782815</v>
      </c>
      <c r="J8" s="514" t="s">
        <v>114</v>
      </c>
      <c r="K8" s="37" t="s">
        <v>115</v>
      </c>
      <c r="L8" s="37" t="s">
        <v>116</v>
      </c>
      <c r="M8" s="37" t="s">
        <v>117</v>
      </c>
      <c r="N8" s="37" t="s">
        <v>118</v>
      </c>
      <c r="O8" s="515" t="s">
        <v>119</v>
      </c>
    </row>
    <row r="9" spans="2:15" ht="25.5" customHeight="1" thickBot="1">
      <c r="B9" s="688" t="s">
        <v>17</v>
      </c>
      <c r="C9" s="689"/>
      <c r="D9" s="81"/>
      <c r="E9" s="80"/>
      <c r="F9" s="82"/>
      <c r="G9" s="80"/>
      <c r="H9" s="83"/>
      <c r="J9" s="523" t="s">
        <v>120</v>
      </c>
      <c r="K9" s="516">
        <v>184218.49511487363</v>
      </c>
      <c r="L9" s="516">
        <v>188823.95749274542</v>
      </c>
      <c r="M9" s="516">
        <v>193544.55643006405</v>
      </c>
      <c r="N9" s="516">
        <v>198383.17034081562</v>
      </c>
      <c r="O9" s="517">
        <v>203342.74959933595</v>
      </c>
    </row>
    <row r="10" spans="2:15" ht="18.75">
      <c r="B10" s="684" t="s">
        <v>18</v>
      </c>
      <c r="C10" s="685"/>
      <c r="D10" s="97">
        <v>25467.999999999996</v>
      </c>
      <c r="E10" s="98">
        <v>27268</v>
      </c>
      <c r="F10" s="98">
        <v>27268</v>
      </c>
      <c r="G10" s="98">
        <v>27268</v>
      </c>
      <c r="H10" s="98">
        <v>27268</v>
      </c>
    </row>
    <row r="11" spans="2:15" ht="18.75">
      <c r="B11" s="684" t="s">
        <v>19</v>
      </c>
      <c r="C11" s="685"/>
      <c r="D11" s="97">
        <v>2400</v>
      </c>
      <c r="E11" s="97">
        <v>2400</v>
      </c>
      <c r="F11" s="97">
        <v>2300</v>
      </c>
      <c r="G11" s="97">
        <v>2300</v>
      </c>
      <c r="H11" s="98">
        <v>2300</v>
      </c>
    </row>
    <row r="12" spans="2:15" ht="18.75">
      <c r="B12" s="684" t="s">
        <v>20</v>
      </c>
      <c r="C12" s="685"/>
      <c r="D12" s="97">
        <v>1520.91</v>
      </c>
      <c r="E12" s="97">
        <v>1520.91</v>
      </c>
      <c r="F12" s="97">
        <v>1520.91</v>
      </c>
      <c r="G12" s="97">
        <v>1520.91</v>
      </c>
      <c r="H12" s="98">
        <v>1520.91</v>
      </c>
    </row>
    <row r="13" spans="2:15" ht="18.75">
      <c r="B13" s="684" t="s">
        <v>21</v>
      </c>
      <c r="C13" s="685"/>
      <c r="D13" s="97">
        <v>360</v>
      </c>
      <c r="E13" s="97">
        <v>360</v>
      </c>
      <c r="F13" s="97">
        <v>360</v>
      </c>
      <c r="G13" s="97">
        <v>360</v>
      </c>
      <c r="H13" s="98">
        <v>360</v>
      </c>
      <c r="J13" s="1"/>
      <c r="K13" s="1"/>
      <c r="L13" s="1"/>
      <c r="M13" s="1"/>
      <c r="N13" s="1"/>
      <c r="O13" s="1"/>
    </row>
    <row r="14" spans="2:15" ht="18.75">
      <c r="B14" s="684" t="s">
        <v>51</v>
      </c>
      <c r="C14" s="685"/>
      <c r="D14" s="97">
        <v>269.2</v>
      </c>
      <c r="E14" s="97">
        <v>269.2</v>
      </c>
      <c r="F14" s="97">
        <v>269.2</v>
      </c>
      <c r="G14" s="97">
        <v>269.2</v>
      </c>
      <c r="H14" s="98">
        <v>269.2</v>
      </c>
      <c r="J14" s="1"/>
      <c r="K14" s="1"/>
      <c r="L14" s="1"/>
      <c r="M14" s="1"/>
      <c r="N14" s="1"/>
      <c r="O14" s="1"/>
    </row>
    <row r="15" spans="2:15" ht="19.5" thickBot="1">
      <c r="B15" s="684" t="s">
        <v>23</v>
      </c>
      <c r="C15" s="685"/>
      <c r="D15" s="101">
        <v>513.99999999999989</v>
      </c>
      <c r="E15" s="102">
        <v>513.99999999999989</v>
      </c>
      <c r="F15" s="103">
        <v>513.99999999999989</v>
      </c>
      <c r="G15" s="102">
        <v>513.99999999999989</v>
      </c>
      <c r="H15" s="104">
        <v>513.99999999999989</v>
      </c>
    </row>
    <row r="16" spans="2:15" ht="18.75">
      <c r="B16" s="686" t="s">
        <v>24</v>
      </c>
      <c r="C16" s="687"/>
      <c r="D16" s="105">
        <f>SUM(D10:D15)</f>
        <v>30532.109999999997</v>
      </c>
      <c r="E16" s="106">
        <f>SUM(E10:E15)</f>
        <v>32332.11</v>
      </c>
      <c r="F16" s="107">
        <f>SUM(F10:F15)</f>
        <v>32232.11</v>
      </c>
      <c r="G16" s="106">
        <f>SUM(G10:G15)</f>
        <v>32232.11</v>
      </c>
      <c r="H16" s="108">
        <f>SUM(H10:H15)</f>
        <v>32232.11</v>
      </c>
      <c r="J16" s="38"/>
      <c r="K16" s="39"/>
      <c r="L16" s="39"/>
    </row>
    <row r="17" spans="2:15" ht="18.75">
      <c r="B17" s="684"/>
      <c r="C17" s="685"/>
      <c r="D17" s="81"/>
      <c r="E17" s="80"/>
      <c r="F17" s="82"/>
      <c r="G17" s="80"/>
      <c r="H17" s="83"/>
      <c r="K17" s="39"/>
    </row>
    <row r="18" spans="2:15" ht="18.75">
      <c r="B18" s="693" t="s">
        <v>25</v>
      </c>
      <c r="C18" s="694"/>
      <c r="D18" s="81"/>
      <c r="E18" s="80"/>
      <c r="F18" s="82"/>
      <c r="G18" s="80"/>
      <c r="H18" s="83"/>
    </row>
    <row r="19" spans="2:15" ht="18.75">
      <c r="B19" s="684" t="s">
        <v>52</v>
      </c>
      <c r="C19" s="685"/>
      <c r="D19" s="97">
        <v>8468.0000000000018</v>
      </c>
      <c r="E19" s="98">
        <v>9052</v>
      </c>
      <c r="F19" s="98">
        <v>9052</v>
      </c>
      <c r="G19" s="98">
        <v>9052</v>
      </c>
      <c r="H19" s="98">
        <v>9052</v>
      </c>
      <c r="J19" s="1"/>
      <c r="L19" s="1"/>
      <c r="M19" s="1"/>
      <c r="N19" s="1"/>
      <c r="O19" s="1"/>
    </row>
    <row r="20" spans="2:15" ht="18.75">
      <c r="B20" s="684" t="s">
        <v>26</v>
      </c>
      <c r="C20" s="685"/>
      <c r="D20" s="97">
        <v>4000</v>
      </c>
      <c r="E20" s="98">
        <v>4000</v>
      </c>
      <c r="F20" s="99">
        <v>3500</v>
      </c>
      <c r="G20" s="98">
        <v>3300</v>
      </c>
      <c r="H20" s="100">
        <v>2200</v>
      </c>
      <c r="I20" s="9"/>
      <c r="J20" s="1"/>
    </row>
    <row r="21" spans="2:15" ht="18.75">
      <c r="B21" s="686" t="s">
        <v>102</v>
      </c>
      <c r="C21" s="687"/>
      <c r="D21" s="109">
        <f>D19+D20</f>
        <v>12468.000000000002</v>
      </c>
      <c r="E21" s="110">
        <f>E19+E20</f>
        <v>13052</v>
      </c>
      <c r="F21" s="111">
        <f>F19+F20</f>
        <v>12552</v>
      </c>
      <c r="G21" s="110">
        <f>G19+G20</f>
        <v>12352</v>
      </c>
      <c r="H21" s="112">
        <f>H19+H20</f>
        <v>11252</v>
      </c>
      <c r="I21" s="505"/>
      <c r="J21" s="505"/>
    </row>
    <row r="22" spans="2:15" ht="18.75">
      <c r="B22" s="684"/>
      <c r="C22" s="685"/>
      <c r="D22" s="81"/>
      <c r="E22" s="80"/>
      <c r="F22" s="82"/>
      <c r="G22" s="80"/>
      <c r="H22" s="83"/>
    </row>
    <row r="23" spans="2:15" ht="18.75">
      <c r="B23" s="693" t="s">
        <v>53</v>
      </c>
      <c r="C23" s="694"/>
      <c r="D23" s="81"/>
      <c r="E23" s="80"/>
      <c r="F23" s="82"/>
      <c r="G23" s="80"/>
      <c r="H23" s="83"/>
    </row>
    <row r="24" spans="2:15" ht="19.5" thickBot="1">
      <c r="B24" s="684" t="s">
        <v>54</v>
      </c>
      <c r="C24" s="685"/>
      <c r="D24" s="101">
        <v>4170.502474338854</v>
      </c>
      <c r="E24" s="102">
        <v>3498.8425907241508</v>
      </c>
      <c r="F24" s="103">
        <v>2754.3076097372532</v>
      </c>
      <c r="G24" s="102">
        <v>1928.9905833132768</v>
      </c>
      <c r="H24" s="104">
        <v>1014.126659522299</v>
      </c>
    </row>
    <row r="25" spans="2:15" ht="18.75">
      <c r="B25" s="686" t="s">
        <v>103</v>
      </c>
      <c r="C25" s="687"/>
      <c r="D25" s="105">
        <f>D24</f>
        <v>4170.502474338854</v>
      </c>
      <c r="E25" s="106">
        <f>E24</f>
        <v>3498.8425907241508</v>
      </c>
      <c r="F25" s="107">
        <f>F24</f>
        <v>2754.3076097372532</v>
      </c>
      <c r="G25" s="106">
        <f>G24</f>
        <v>1928.9905833132768</v>
      </c>
      <c r="H25" s="108">
        <f>H24</f>
        <v>1014.126659522299</v>
      </c>
    </row>
    <row r="26" spans="2:15" ht="18.75">
      <c r="B26" s="684" t="s">
        <v>55</v>
      </c>
      <c r="C26" s="685"/>
      <c r="D26" s="170">
        <f>D8-D16-D21-D24</f>
        <v>2019.2675256611228</v>
      </c>
      <c r="E26" s="98">
        <f>E8-E16-E21-E24</f>
        <v>1536.6744092758272</v>
      </c>
      <c r="F26" s="99">
        <f>F8-F16-F21-F24</f>
        <v>23496.727906339598</v>
      </c>
      <c r="G26" s="98">
        <f>G8-G16-G21-G24</f>
        <v>26297.923570665462</v>
      </c>
      <c r="H26" s="100">
        <f>H8-H16-H21-H24</f>
        <v>30133.063098305851</v>
      </c>
    </row>
    <row r="27" spans="2:15" ht="18.75">
      <c r="B27" s="684" t="s">
        <v>56</v>
      </c>
      <c r="C27" s="685"/>
      <c r="D27" s="171">
        <f>D26*15%</f>
        <v>302.89012884916843</v>
      </c>
      <c r="E27" s="113">
        <f>E26*15%</f>
        <v>230.50116139137407</v>
      </c>
      <c r="F27" s="99">
        <f>15%*F26</f>
        <v>3524.5091859509398</v>
      </c>
      <c r="G27" s="98">
        <f>15%*G26</f>
        <v>3944.6885355998193</v>
      </c>
      <c r="H27" s="100">
        <f>15%*H26</f>
        <v>4519.9594647458771</v>
      </c>
    </row>
    <row r="28" spans="2:15" ht="26.25" customHeight="1">
      <c r="B28" s="684" t="s">
        <v>57</v>
      </c>
      <c r="C28" s="685"/>
      <c r="D28" s="170">
        <f>D26-D27</f>
        <v>1716.3773968119544</v>
      </c>
      <c r="E28" s="98">
        <f>E26-E27</f>
        <v>1306.1732478844531</v>
      </c>
      <c r="F28" s="99">
        <f>F26-F27</f>
        <v>19972.218720388657</v>
      </c>
      <c r="G28" s="98">
        <f>G26-G27</f>
        <v>22353.235035065642</v>
      </c>
      <c r="H28" s="100">
        <f>H26-H27</f>
        <v>25613.103633559975</v>
      </c>
    </row>
    <row r="29" spans="2:15" ht="19.5" thickBot="1">
      <c r="B29" s="684" t="s">
        <v>166</v>
      </c>
      <c r="C29" s="685"/>
      <c r="D29" s="102">
        <f>D28*22%</f>
        <v>377.60302729862997</v>
      </c>
      <c r="E29" s="102">
        <f>E28*22%</f>
        <v>287.35811453457967</v>
      </c>
      <c r="F29" s="102">
        <f t="shared" ref="F29:H29" si="0">F28*22%</f>
        <v>4393.8881184855045</v>
      </c>
      <c r="G29" s="102">
        <f t="shared" si="0"/>
        <v>4917.7117077144412</v>
      </c>
      <c r="H29" s="102">
        <f t="shared" si="0"/>
        <v>5634.8827993831947</v>
      </c>
    </row>
    <row r="30" spans="2:15" ht="19.5" thickBot="1">
      <c r="B30" s="704" t="s">
        <v>58</v>
      </c>
      <c r="C30" s="705"/>
      <c r="D30" s="168">
        <f>D28-D29</f>
        <v>1338.7743695133245</v>
      </c>
      <c r="E30" s="114">
        <f>E28-E29</f>
        <v>1018.8151333498733</v>
      </c>
      <c r="F30" s="115">
        <f>F28-F29</f>
        <v>15578.330601903152</v>
      </c>
      <c r="G30" s="114">
        <f>G28-G29</f>
        <v>17435.523327351199</v>
      </c>
      <c r="H30" s="116">
        <f>H28-H29</f>
        <v>19978.22083417678</v>
      </c>
      <c r="I30" s="9"/>
    </row>
    <row r="31" spans="2:15" ht="18.75">
      <c r="B31" s="692"/>
      <c r="C31" s="692"/>
      <c r="D31" s="503"/>
      <c r="E31" s="503"/>
      <c r="F31" s="503"/>
      <c r="G31" s="503"/>
      <c r="H31" s="503"/>
    </row>
    <row r="32" spans="2:15" ht="18.75">
      <c r="B32" s="690"/>
      <c r="C32" s="690"/>
      <c r="D32" s="505"/>
      <c r="E32" s="505"/>
      <c r="F32" s="505"/>
      <c r="G32" s="505"/>
      <c r="H32" s="505"/>
    </row>
    <row r="33" spans="2:11" ht="18.75">
      <c r="B33" s="690"/>
      <c r="C33" s="690"/>
      <c r="D33" s="505"/>
      <c r="E33" s="505"/>
      <c r="F33" s="505"/>
      <c r="G33" s="505"/>
      <c r="H33" s="505"/>
      <c r="J33" s="535"/>
      <c r="K33" s="165"/>
    </row>
    <row r="34" spans="2:11" ht="18.75">
      <c r="B34" s="34"/>
      <c r="C34" s="34"/>
      <c r="D34" s="505"/>
      <c r="E34" s="505"/>
      <c r="F34" s="505"/>
      <c r="G34" s="505"/>
      <c r="H34" s="505"/>
      <c r="J34" s="536"/>
      <c r="K34" s="537"/>
    </row>
    <row r="35" spans="2:11" ht="18.75">
      <c r="B35" s="34"/>
      <c r="C35" s="504"/>
      <c r="D35" s="508"/>
      <c r="E35" s="508"/>
      <c r="F35" s="508"/>
      <c r="G35" s="508"/>
      <c r="H35" s="508"/>
      <c r="J35" s="536"/>
      <c r="K35" s="537"/>
    </row>
    <row r="36" spans="2:11" ht="18.75">
      <c r="B36" s="34"/>
      <c r="C36" s="504"/>
      <c r="D36" s="508"/>
      <c r="E36" s="508"/>
      <c r="F36" s="508"/>
      <c r="G36" s="504"/>
      <c r="H36" s="508"/>
    </row>
    <row r="37" spans="2:11" ht="18.75">
      <c r="B37" s="34"/>
      <c r="C37" s="504"/>
      <c r="D37" s="508"/>
      <c r="E37" s="508"/>
      <c r="F37" s="508"/>
      <c r="G37" s="508"/>
      <c r="H37" s="508"/>
    </row>
    <row r="38" spans="2:11" ht="18.75">
      <c r="B38" s="34"/>
      <c r="C38" s="504"/>
      <c r="D38" s="508"/>
      <c r="E38" s="508"/>
      <c r="F38" s="508"/>
      <c r="G38" s="508"/>
      <c r="H38" s="505"/>
      <c r="J38" s="76"/>
    </row>
    <row r="39" spans="2:11" ht="18.75">
      <c r="B39" s="34"/>
      <c r="C39" s="508"/>
      <c r="D39" s="505"/>
      <c r="E39" s="505"/>
      <c r="F39" s="505"/>
      <c r="G39" s="505"/>
      <c r="H39" s="505"/>
    </row>
    <row r="40" spans="2:11" ht="18.75">
      <c r="B40" s="34"/>
      <c r="C40" s="524"/>
      <c r="D40" s="505"/>
      <c r="E40" s="505"/>
      <c r="F40" s="505"/>
      <c r="G40" s="505"/>
      <c r="H40" s="505"/>
      <c r="J40" s="9"/>
    </row>
    <row r="41" spans="2:11" ht="18.75">
      <c r="B41" s="34"/>
      <c r="C41" s="525"/>
      <c r="D41" s="526"/>
      <c r="E41" s="526"/>
      <c r="F41" s="526"/>
      <c r="G41" s="526"/>
      <c r="H41" s="526"/>
    </row>
    <row r="42" spans="2:11" ht="18.75">
      <c r="B42" s="34"/>
      <c r="C42" s="525"/>
      <c r="D42" s="526"/>
      <c r="E42" s="526"/>
      <c r="F42" s="526"/>
      <c r="G42" s="526"/>
      <c r="H42" s="526"/>
    </row>
    <row r="43" spans="2:11" ht="18.75">
      <c r="B43" s="34"/>
      <c r="C43" s="524"/>
      <c r="D43" s="526"/>
      <c r="E43" s="526"/>
      <c r="F43" s="526"/>
      <c r="G43" s="526"/>
      <c r="H43" s="526"/>
    </row>
    <row r="45" spans="2:11">
      <c r="F45" s="172"/>
      <c r="G45" s="172"/>
    </row>
    <row r="46" spans="2:11">
      <c r="D46" s="368"/>
      <c r="E46" s="368"/>
      <c r="F46" s="368"/>
      <c r="G46" s="368"/>
      <c r="H46" s="368"/>
      <c r="I46" s="368"/>
    </row>
    <row r="47" spans="2:11">
      <c r="D47" s="368"/>
      <c r="E47" s="368"/>
      <c r="F47" s="368"/>
      <c r="G47" s="368"/>
      <c r="H47" s="368"/>
      <c r="I47" s="368"/>
    </row>
    <row r="48" spans="2:11">
      <c r="D48" s="691"/>
      <c r="E48" s="691"/>
      <c r="F48" s="691"/>
      <c r="G48" s="691"/>
      <c r="H48" s="691"/>
      <c r="I48" s="368"/>
    </row>
    <row r="49" spans="2:13" ht="15.75">
      <c r="D49" s="731"/>
      <c r="E49" s="731"/>
      <c r="F49" s="731"/>
      <c r="G49" s="731"/>
      <c r="H49" s="731"/>
      <c r="I49" s="368"/>
    </row>
    <row r="50" spans="2:13" ht="15.75">
      <c r="D50" s="732"/>
      <c r="E50" s="732"/>
      <c r="F50" s="732"/>
      <c r="G50" s="732"/>
      <c r="H50" s="732"/>
      <c r="I50" s="368"/>
    </row>
    <row r="51" spans="2:13">
      <c r="D51" s="729"/>
      <c r="E51" s="730"/>
      <c r="F51" s="730"/>
      <c r="G51" s="730"/>
      <c r="H51" s="730"/>
      <c r="I51" s="368"/>
    </row>
    <row r="52" spans="2:13">
      <c r="D52" s="729"/>
      <c r="E52" s="730"/>
      <c r="F52" s="730"/>
      <c r="G52" s="730"/>
      <c r="H52" s="730"/>
      <c r="I52" s="368"/>
    </row>
    <row r="53" spans="2:13">
      <c r="D53" s="729"/>
      <c r="E53" s="730"/>
      <c r="F53" s="730"/>
      <c r="G53" s="730"/>
      <c r="H53" s="730"/>
      <c r="I53" s="368"/>
    </row>
    <row r="54" spans="2:13">
      <c r="D54" s="729"/>
      <c r="E54" s="730"/>
      <c r="F54" s="730"/>
      <c r="G54" s="730"/>
      <c r="H54" s="730"/>
      <c r="I54" s="368"/>
    </row>
    <row r="55" spans="2:13">
      <c r="D55" s="729"/>
      <c r="E55" s="730"/>
      <c r="F55" s="730"/>
      <c r="G55" s="730"/>
      <c r="H55" s="730"/>
      <c r="I55" s="368"/>
    </row>
    <row r="56" spans="2:13">
      <c r="D56" s="368"/>
      <c r="E56" s="368"/>
      <c r="F56" s="368"/>
      <c r="G56" s="368"/>
      <c r="H56" s="368"/>
      <c r="I56" s="368"/>
      <c r="J56" s="165"/>
      <c r="K56" s="165"/>
      <c r="L56" s="165"/>
      <c r="M56" s="165"/>
    </row>
    <row r="57" spans="2:13">
      <c r="D57" s="368"/>
      <c r="E57" s="368"/>
      <c r="F57" s="368"/>
      <c r="G57" s="368"/>
      <c r="H57" s="368"/>
      <c r="I57" s="368"/>
      <c r="J57" s="165"/>
      <c r="K57" s="165"/>
      <c r="L57" s="165"/>
      <c r="M57" s="165"/>
    </row>
    <row r="58" spans="2:13">
      <c r="I58" s="165"/>
      <c r="J58" s="165"/>
      <c r="K58" s="165"/>
      <c r="L58" s="165"/>
      <c r="M58" s="165"/>
    </row>
    <row r="59" spans="2:13">
      <c r="I59" s="165"/>
      <c r="J59" s="165"/>
      <c r="K59" s="165"/>
      <c r="L59" s="165"/>
      <c r="M59" s="165"/>
    </row>
    <row r="60" spans="2:13">
      <c r="I60" s="165"/>
      <c r="J60" s="165"/>
      <c r="K60" s="165"/>
      <c r="L60" s="165"/>
      <c r="M60" s="165"/>
    </row>
    <row r="61" spans="2:13">
      <c r="I61" s="165"/>
      <c r="J61" s="165"/>
      <c r="K61" s="165"/>
      <c r="L61" s="165"/>
      <c r="M61" s="165"/>
    </row>
    <row r="62" spans="2:13" ht="15.75" thickBot="1">
      <c r="E62" s="6"/>
      <c r="F62" s="6"/>
      <c r="G62" s="6"/>
      <c r="H62" s="6"/>
      <c r="I62" s="165"/>
      <c r="J62" s="165"/>
      <c r="K62" s="165"/>
      <c r="L62" s="165"/>
      <c r="M62" s="165"/>
    </row>
    <row r="63" spans="2:13" ht="21.75" thickBot="1">
      <c r="B63" s="703" t="s">
        <v>173</v>
      </c>
      <c r="C63" s="648"/>
      <c r="E63" s="703" t="s">
        <v>174</v>
      </c>
      <c r="F63" s="648"/>
      <c r="I63" s="165"/>
      <c r="J63" s="506"/>
      <c r="K63" s="507"/>
      <c r="L63" s="165"/>
      <c r="M63" s="165"/>
    </row>
    <row r="64" spans="2:13" ht="21">
      <c r="B64" s="701">
        <f>C40</f>
        <v>0</v>
      </c>
      <c r="C64" s="702"/>
      <c r="D64" s="184"/>
      <c r="E64" s="708">
        <f>'flujo de caja proyecto puro'!D35</f>
        <v>-85417.357385332376</v>
      </c>
      <c r="F64" s="709"/>
      <c r="I64" s="165"/>
      <c r="J64" s="506"/>
      <c r="K64" s="508"/>
      <c r="L64" s="165"/>
      <c r="M64" s="165"/>
    </row>
    <row r="65" spans="2:13" ht="21">
      <c r="B65" s="698">
        <f>D40</f>
        <v>0</v>
      </c>
      <c r="C65" s="699"/>
      <c r="E65" s="698">
        <f>'flujo de caja proyecto puro'!E35</f>
        <v>13761.647509999984</v>
      </c>
      <c r="F65" s="699"/>
      <c r="I65" s="165"/>
      <c r="J65" s="506"/>
      <c r="K65" s="507"/>
      <c r="L65" s="165"/>
      <c r="M65" s="165"/>
    </row>
    <row r="66" spans="2:13" ht="18.75">
      <c r="B66" s="698">
        <f>E40</f>
        <v>0</v>
      </c>
      <c r="C66" s="699"/>
      <c r="E66" s="698">
        <f>'flujo de caja proyecto puro'!F35</f>
        <v>12996.747885459241</v>
      </c>
      <c r="F66" s="699"/>
      <c r="I66" s="165"/>
      <c r="J66" s="165"/>
      <c r="K66" s="165"/>
      <c r="L66" s="165"/>
      <c r="M66" s="165"/>
    </row>
    <row r="67" spans="2:13" ht="18.75">
      <c r="B67" s="698">
        <f>F40</f>
        <v>0</v>
      </c>
      <c r="C67" s="699"/>
      <c r="E67" s="698">
        <f>'flujo de caja proyecto puro'!G35</f>
        <v>27062.26654715895</v>
      </c>
      <c r="F67" s="699"/>
      <c r="I67" s="165"/>
      <c r="J67" s="165"/>
      <c r="K67" s="165"/>
      <c r="L67" s="165"/>
      <c r="M67" s="165"/>
    </row>
    <row r="68" spans="2:13" ht="23.25">
      <c r="B68" s="698">
        <f>G40</f>
        <v>0</v>
      </c>
      <c r="C68" s="699"/>
      <c r="E68" s="698">
        <f>'flujo de caja proyecto puro'!H35</f>
        <v>18514.174084087903</v>
      </c>
      <c r="F68" s="699"/>
      <c r="I68" s="165"/>
      <c r="J68" s="509"/>
      <c r="K68" s="510"/>
      <c r="L68" s="165"/>
      <c r="M68" s="165"/>
    </row>
    <row r="69" spans="2:13" ht="19.5" thickBot="1">
      <c r="B69" s="700">
        <f>H40</f>
        <v>0</v>
      </c>
      <c r="C69" s="699"/>
      <c r="E69" s="700">
        <f>'flujo de caja proyecto puro'!I35</f>
        <v>90848.858043239743</v>
      </c>
      <c r="F69" s="699"/>
      <c r="I69" s="165"/>
      <c r="J69" s="511"/>
      <c r="K69" s="511"/>
      <c r="L69" s="165"/>
      <c r="M69" s="165"/>
    </row>
    <row r="70" spans="2:13" ht="23.25">
      <c r="B70" s="187" t="s">
        <v>106</v>
      </c>
      <c r="C70" s="190">
        <f>C41</f>
        <v>0</v>
      </c>
      <c r="E70" s="187" t="s">
        <v>106</v>
      </c>
      <c r="F70" s="185">
        <f>'flujo de caja proyecto puro'!D36</f>
        <v>0.12232535</v>
      </c>
      <c r="I70" s="165"/>
      <c r="J70" s="509"/>
      <c r="K70" s="510"/>
      <c r="L70" s="165"/>
      <c r="M70" s="165"/>
    </row>
    <row r="71" spans="2:13" ht="18.75">
      <c r="B71" s="188" t="s">
        <v>107</v>
      </c>
      <c r="C71" s="190">
        <f>C42</f>
        <v>0</v>
      </c>
      <c r="E71" s="188" t="s">
        <v>107</v>
      </c>
      <c r="F71" s="185">
        <f>'flujo de caja proyecto puro'!D37</f>
        <v>0.18493903942010076</v>
      </c>
      <c r="G71" s="182"/>
      <c r="I71" s="165"/>
      <c r="J71" s="165"/>
      <c r="K71" s="165"/>
      <c r="L71" s="165"/>
      <c r="M71" s="165"/>
    </row>
    <row r="72" spans="2:13" ht="19.5" thickBot="1">
      <c r="B72" s="189" t="s">
        <v>108</v>
      </c>
      <c r="C72" s="186">
        <f>C43</f>
        <v>0</v>
      </c>
      <c r="D72" s="183"/>
      <c r="E72" s="189" t="s">
        <v>108</v>
      </c>
      <c r="F72" s="186">
        <f>'flujo de caja proyecto puro'!D38</f>
        <v>18992.452253150754</v>
      </c>
      <c r="I72" s="165"/>
      <c r="J72" s="165"/>
      <c r="K72" s="165"/>
      <c r="L72" s="165"/>
      <c r="M72" s="165"/>
    </row>
    <row r="73" spans="2:13" ht="21">
      <c r="I73" s="165"/>
      <c r="J73" s="512"/>
      <c r="K73" s="706"/>
      <c r="L73" s="706"/>
      <c r="M73" s="165"/>
    </row>
    <row r="74" spans="2:13">
      <c r="I74" s="165"/>
      <c r="J74" s="165"/>
      <c r="K74" s="165"/>
      <c r="L74" s="165"/>
      <c r="M74" s="165"/>
    </row>
    <row r="75" spans="2:13">
      <c r="I75" s="165"/>
      <c r="J75" s="165"/>
      <c r="K75" s="165"/>
      <c r="L75" s="165"/>
      <c r="M75" s="165"/>
    </row>
    <row r="76" spans="2:13" ht="21">
      <c r="C76" s="181"/>
      <c r="I76" s="165"/>
      <c r="J76" s="512"/>
      <c r="K76" s="707"/>
      <c r="L76" s="707"/>
      <c r="M76" s="165"/>
    </row>
    <row r="77" spans="2:13">
      <c r="I77" s="165"/>
      <c r="J77" s="165"/>
      <c r="K77" s="513"/>
      <c r="L77" s="165"/>
      <c r="M77" s="165"/>
    </row>
  </sheetData>
  <mergeCells count="50">
    <mergeCell ref="K73:L73"/>
    <mergeCell ref="K76:L76"/>
    <mergeCell ref="E63:F63"/>
    <mergeCell ref="E64:F64"/>
    <mergeCell ref="E65:F65"/>
    <mergeCell ref="E66:F66"/>
    <mergeCell ref="E67:F67"/>
    <mergeCell ref="E68:F68"/>
    <mergeCell ref="J6:O6"/>
    <mergeCell ref="B67:C67"/>
    <mergeCell ref="B69:C69"/>
    <mergeCell ref="B68:C68"/>
    <mergeCell ref="B64:C64"/>
    <mergeCell ref="B17:C17"/>
    <mergeCell ref="B18:C18"/>
    <mergeCell ref="B63:C63"/>
    <mergeCell ref="B65:C65"/>
    <mergeCell ref="B66:C66"/>
    <mergeCell ref="B30:C30"/>
    <mergeCell ref="E69:F69"/>
    <mergeCell ref="D48:H48"/>
    <mergeCell ref="B5:C5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D49:H49"/>
    <mergeCell ref="B3:H3"/>
    <mergeCell ref="B4:H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3:C33"/>
    <mergeCell ref="B29:C29"/>
  </mergeCells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2:L53"/>
  <sheetViews>
    <sheetView workbookViewId="0">
      <selection activeCell="H57" sqref="H57"/>
    </sheetView>
  </sheetViews>
  <sheetFormatPr baseColWidth="10" defaultRowHeight="15"/>
  <cols>
    <col min="4" max="4" width="16.5703125" bestFit="1" customWidth="1"/>
    <col min="5" max="6" width="18" bestFit="1" customWidth="1"/>
    <col min="7" max="9" width="18.85546875" bestFit="1" customWidth="1"/>
  </cols>
  <sheetData>
    <row r="2" spans="3:9" ht="15.75" thickBot="1"/>
    <row r="3" spans="3:9" ht="18.75">
      <c r="C3" s="676" t="s">
        <v>135</v>
      </c>
      <c r="D3" s="677"/>
      <c r="E3" s="677"/>
      <c r="F3" s="677"/>
      <c r="G3" s="677"/>
      <c r="H3" s="677"/>
      <c r="I3" s="678"/>
    </row>
    <row r="4" spans="3:9" ht="16.5" thickBot="1">
      <c r="C4" s="679" t="s">
        <v>167</v>
      </c>
      <c r="D4" s="680"/>
      <c r="E4" s="680"/>
      <c r="F4" s="680"/>
      <c r="G4" s="680"/>
      <c r="H4" s="680"/>
      <c r="I4" s="681"/>
    </row>
    <row r="5" spans="3:9" ht="16.5" thickBot="1">
      <c r="C5" s="576" t="s">
        <v>45</v>
      </c>
      <c r="D5" s="578"/>
      <c r="E5" s="251" t="s">
        <v>46</v>
      </c>
      <c r="F5" s="86" t="s">
        <v>47</v>
      </c>
      <c r="G5" s="253" t="s">
        <v>48</v>
      </c>
      <c r="H5" s="86" t="s">
        <v>49</v>
      </c>
      <c r="I5" s="252" t="s">
        <v>50</v>
      </c>
    </row>
    <row r="6" spans="3:9" ht="18.75">
      <c r="C6" s="684" t="s">
        <v>12</v>
      </c>
      <c r="D6" s="685"/>
      <c r="E6" s="97">
        <v>202639.8</v>
      </c>
      <c r="F6" s="98">
        <f>E6*(1+2.5%)</f>
        <v>207705.79499999998</v>
      </c>
      <c r="G6" s="98">
        <v>232253.46771607685</v>
      </c>
      <c r="H6" s="98">
        <v>238059.80440897873</v>
      </c>
      <c r="I6" s="98">
        <v>244011.29951920314</v>
      </c>
    </row>
    <row r="7" spans="3:9" ht="19.5" thickBot="1">
      <c r="C7" s="684" t="s">
        <v>111</v>
      </c>
      <c r="D7" s="685"/>
      <c r="E7" s="101">
        <v>153449.92000000001</v>
      </c>
      <c r="F7" s="102">
        <v>157286.16800000001</v>
      </c>
      <c r="G7" s="103">
        <v>161218.3222</v>
      </c>
      <c r="H7" s="102">
        <v>165248.78025499999</v>
      </c>
      <c r="I7" s="104">
        <v>169379.99976137499</v>
      </c>
    </row>
    <row r="8" spans="3:9" ht="19.5" thickBot="1">
      <c r="C8" s="686" t="s">
        <v>101</v>
      </c>
      <c r="D8" s="687"/>
      <c r="E8" s="105">
        <f>E6-E7</f>
        <v>49189.879999999976</v>
      </c>
      <c r="F8" s="106">
        <f>F6-F7</f>
        <v>50419.626999999979</v>
      </c>
      <c r="G8" s="107">
        <f>G6-G7</f>
        <v>71035.145516076853</v>
      </c>
      <c r="H8" s="106">
        <f>H6-H7</f>
        <v>72811.024153978738</v>
      </c>
      <c r="I8" s="108">
        <f>I6-I7</f>
        <v>74631.29975782815</v>
      </c>
    </row>
    <row r="9" spans="3:9" ht="18.75">
      <c r="C9" s="688" t="s">
        <v>17</v>
      </c>
      <c r="D9" s="689"/>
      <c r="E9" s="81"/>
      <c r="F9" s="80"/>
      <c r="G9" s="82"/>
      <c r="H9" s="80"/>
      <c r="I9" s="83"/>
    </row>
    <row r="10" spans="3:9" ht="18.75">
      <c r="C10" s="684" t="s">
        <v>18</v>
      </c>
      <c r="D10" s="685"/>
      <c r="E10" s="97">
        <v>25467.999999999996</v>
      </c>
      <c r="F10" s="98">
        <v>27268</v>
      </c>
      <c r="G10" s="98">
        <v>27268</v>
      </c>
      <c r="H10" s="98">
        <v>27268</v>
      </c>
      <c r="I10" s="98">
        <v>27268</v>
      </c>
    </row>
    <row r="11" spans="3:9" ht="18.75">
      <c r="C11" s="684" t="s">
        <v>19</v>
      </c>
      <c r="D11" s="685"/>
      <c r="E11" s="97">
        <v>2400</v>
      </c>
      <c r="F11" s="97">
        <v>2400</v>
      </c>
      <c r="G11" s="97">
        <v>2300</v>
      </c>
      <c r="H11" s="97">
        <v>2300</v>
      </c>
      <c r="I11" s="97">
        <v>2300</v>
      </c>
    </row>
    <row r="12" spans="3:9" ht="18.75">
      <c r="C12" s="684" t="s">
        <v>20</v>
      </c>
      <c r="D12" s="685"/>
      <c r="E12" s="97">
        <v>1520.91</v>
      </c>
      <c r="F12" s="97">
        <v>1520.91</v>
      </c>
      <c r="G12" s="97">
        <v>1520.91</v>
      </c>
      <c r="H12" s="97">
        <v>1520.91</v>
      </c>
      <c r="I12" s="97">
        <v>1520.91</v>
      </c>
    </row>
    <row r="13" spans="3:9" ht="18.75">
      <c r="C13" s="684" t="s">
        <v>21</v>
      </c>
      <c r="D13" s="685"/>
      <c r="E13" s="97">
        <v>360</v>
      </c>
      <c r="F13" s="97">
        <v>360</v>
      </c>
      <c r="G13" s="97">
        <v>360</v>
      </c>
      <c r="H13" s="97">
        <v>360</v>
      </c>
      <c r="I13" s="97">
        <v>360</v>
      </c>
    </row>
    <row r="14" spans="3:9" ht="18.75">
      <c r="C14" s="684" t="s">
        <v>51</v>
      </c>
      <c r="D14" s="685"/>
      <c r="E14" s="97">
        <v>269.2</v>
      </c>
      <c r="F14" s="97">
        <v>269.2</v>
      </c>
      <c r="G14" s="97">
        <v>269.2</v>
      </c>
      <c r="H14" s="97">
        <v>269.2</v>
      </c>
      <c r="I14" s="97">
        <v>269.2</v>
      </c>
    </row>
    <row r="15" spans="3:9" ht="19.5" thickBot="1">
      <c r="C15" s="684" t="s">
        <v>23</v>
      </c>
      <c r="D15" s="685"/>
      <c r="E15" s="101">
        <v>513.99999999999989</v>
      </c>
      <c r="F15" s="102">
        <v>513.99999999999989</v>
      </c>
      <c r="G15" s="103">
        <v>513.99999999999989</v>
      </c>
      <c r="H15" s="102">
        <v>513.99999999999989</v>
      </c>
      <c r="I15" s="104">
        <v>513.99999999999989</v>
      </c>
    </row>
    <row r="16" spans="3:9" ht="18.75">
      <c r="C16" s="686" t="s">
        <v>24</v>
      </c>
      <c r="D16" s="687"/>
      <c r="E16" s="105">
        <f>SUM(E10:E15)</f>
        <v>30532.109999999997</v>
      </c>
      <c r="F16" s="106">
        <f>SUM(F10:F15)</f>
        <v>32332.11</v>
      </c>
      <c r="G16" s="107">
        <f>SUM(G10:G15)</f>
        <v>32232.11</v>
      </c>
      <c r="H16" s="106">
        <f>SUM(H10:H15)</f>
        <v>32232.11</v>
      </c>
      <c r="I16" s="108">
        <f>SUM(I10:I15)</f>
        <v>32232.11</v>
      </c>
    </row>
    <row r="17" spans="3:9" ht="18.75">
      <c r="C17" s="684"/>
      <c r="D17" s="685"/>
      <c r="E17" s="81"/>
      <c r="F17" s="80"/>
      <c r="G17" s="82"/>
      <c r="H17" s="80"/>
      <c r="I17" s="83"/>
    </row>
    <row r="18" spans="3:9" ht="18.75">
      <c r="C18" s="693" t="s">
        <v>25</v>
      </c>
      <c r="D18" s="694"/>
      <c r="E18" s="81"/>
      <c r="F18" s="80"/>
      <c r="G18" s="82"/>
      <c r="H18" s="80"/>
      <c r="I18" s="83"/>
    </row>
    <row r="19" spans="3:9" ht="18.75">
      <c r="C19" s="684" t="s">
        <v>52</v>
      </c>
      <c r="D19" s="685"/>
      <c r="E19" s="97">
        <v>8468.0000000000018</v>
      </c>
      <c r="F19" s="98">
        <v>9052</v>
      </c>
      <c r="G19" s="98">
        <v>9052</v>
      </c>
      <c r="H19" s="98">
        <v>9052</v>
      </c>
      <c r="I19" s="98">
        <v>9052</v>
      </c>
    </row>
    <row r="20" spans="3:9" ht="18.75">
      <c r="C20" s="684" t="s">
        <v>26</v>
      </c>
      <c r="D20" s="685"/>
      <c r="E20" s="97">
        <v>4000</v>
      </c>
      <c r="F20" s="98">
        <v>4000</v>
      </c>
      <c r="G20" s="99">
        <v>3500</v>
      </c>
      <c r="H20" s="98">
        <v>3300</v>
      </c>
      <c r="I20" s="100">
        <v>2200</v>
      </c>
    </row>
    <row r="21" spans="3:9" ht="18.75">
      <c r="C21" s="686" t="s">
        <v>102</v>
      </c>
      <c r="D21" s="687"/>
      <c r="E21" s="109">
        <f>E19+E20</f>
        <v>12468.000000000002</v>
      </c>
      <c r="F21" s="110">
        <f>F19+F20</f>
        <v>13052</v>
      </c>
      <c r="G21" s="111">
        <f>G19+G20</f>
        <v>12552</v>
      </c>
      <c r="H21" s="110">
        <f>H19+H20</f>
        <v>12352</v>
      </c>
      <c r="I21" s="112">
        <f>I19+I20</f>
        <v>11252</v>
      </c>
    </row>
    <row r="22" spans="3:9" ht="18.75">
      <c r="C22" s="684"/>
      <c r="D22" s="685"/>
      <c r="E22" s="81"/>
      <c r="F22" s="80"/>
      <c r="G22" s="82"/>
      <c r="H22" s="80"/>
      <c r="I22" s="83"/>
    </row>
    <row r="23" spans="3:9" ht="18.75">
      <c r="C23" s="693" t="s">
        <v>53</v>
      </c>
      <c r="D23" s="694"/>
      <c r="E23" s="81"/>
      <c r="F23" s="80"/>
      <c r="G23" s="82"/>
      <c r="H23" s="80"/>
      <c r="I23" s="83"/>
    </row>
    <row r="24" spans="3:9" ht="19.5" thickBot="1">
      <c r="C24" s="684" t="s">
        <v>54</v>
      </c>
      <c r="D24" s="685"/>
      <c r="E24" s="101">
        <v>4170.502474338854</v>
      </c>
      <c r="F24" s="102">
        <v>3498.8425907241508</v>
      </c>
      <c r="G24" s="103">
        <v>2754.3076097372532</v>
      </c>
      <c r="H24" s="102">
        <v>1928.9905833132768</v>
      </c>
      <c r="I24" s="104">
        <v>1014.126659522299</v>
      </c>
    </row>
    <row r="25" spans="3:9" ht="18.75">
      <c r="C25" s="686" t="s">
        <v>103</v>
      </c>
      <c r="D25" s="687"/>
      <c r="E25" s="105">
        <f>E24</f>
        <v>4170.502474338854</v>
      </c>
      <c r="F25" s="106">
        <f>F24</f>
        <v>3498.8425907241508</v>
      </c>
      <c r="G25" s="107">
        <f>G24</f>
        <v>2754.3076097372532</v>
      </c>
      <c r="H25" s="106">
        <f>H24</f>
        <v>1928.9905833132768</v>
      </c>
      <c r="I25" s="108">
        <f>I24</f>
        <v>1014.126659522299</v>
      </c>
    </row>
    <row r="26" spans="3:9" ht="18.75">
      <c r="C26" s="684" t="s">
        <v>55</v>
      </c>
      <c r="D26" s="685"/>
      <c r="E26" s="170">
        <f>E8-E16-E21-E24</f>
        <v>2019.2675256611228</v>
      </c>
      <c r="F26" s="98">
        <f>F8-F16-F21-F24</f>
        <v>1536.6744092758272</v>
      </c>
      <c r="G26" s="99">
        <f>G8-G16-G21-G24</f>
        <v>23496.727906339598</v>
      </c>
      <c r="H26" s="98">
        <f>H8-H16-H21-H24</f>
        <v>26297.923570665462</v>
      </c>
      <c r="I26" s="100">
        <f>I8-I16-I21-I24</f>
        <v>30133.063098305851</v>
      </c>
    </row>
    <row r="27" spans="3:9" ht="18.75">
      <c r="C27" s="684" t="s">
        <v>56</v>
      </c>
      <c r="D27" s="685"/>
      <c r="E27" s="171">
        <f>E26*15%</f>
        <v>302.89012884916843</v>
      </c>
      <c r="F27" s="113">
        <f>F26*15%</f>
        <v>230.50116139137407</v>
      </c>
      <c r="G27" s="99">
        <f>15%*G26</f>
        <v>3524.5091859509398</v>
      </c>
      <c r="H27" s="98">
        <f>15%*H26</f>
        <v>3944.6885355998193</v>
      </c>
      <c r="I27" s="100">
        <f>15%*I26</f>
        <v>4519.9594647458771</v>
      </c>
    </row>
    <row r="28" spans="3:9" ht="18.75">
      <c r="C28" s="684" t="s">
        <v>57</v>
      </c>
      <c r="D28" s="685"/>
      <c r="E28" s="170">
        <f>E26-E27</f>
        <v>1716.3773968119544</v>
      </c>
      <c r="F28" s="98">
        <f>F26-F27</f>
        <v>1306.1732478844531</v>
      </c>
      <c r="G28" s="99">
        <f>G26-G27</f>
        <v>19972.218720388657</v>
      </c>
      <c r="H28" s="98">
        <f>H26-H27</f>
        <v>22353.235035065642</v>
      </c>
      <c r="I28" s="100">
        <f>I26-I27</f>
        <v>25613.103633559975</v>
      </c>
    </row>
    <row r="29" spans="3:9" ht="19.5" thickBot="1">
      <c r="C29" s="684" t="s">
        <v>166</v>
      </c>
      <c r="D29" s="685"/>
      <c r="E29" s="102">
        <f>E28*22%</f>
        <v>377.60302729862997</v>
      </c>
      <c r="F29" s="102">
        <f>F28*22%</f>
        <v>287.35811453457967</v>
      </c>
      <c r="G29" s="102">
        <f t="shared" ref="G29:I29" si="0">G28*22%</f>
        <v>4393.8881184855045</v>
      </c>
      <c r="H29" s="102">
        <f t="shared" si="0"/>
        <v>4917.7117077144412</v>
      </c>
      <c r="I29" s="102">
        <f t="shared" si="0"/>
        <v>5634.8827993831947</v>
      </c>
    </row>
    <row r="30" spans="3:9" ht="19.5" thickBot="1">
      <c r="C30" s="704" t="s">
        <v>58</v>
      </c>
      <c r="D30" s="705"/>
      <c r="E30" s="168">
        <f>E28-E29</f>
        <v>1338.7743695133245</v>
      </c>
      <c r="F30" s="114">
        <f>F28-F29</f>
        <v>1018.8151333498733</v>
      </c>
      <c r="G30" s="115">
        <f>G28-G29</f>
        <v>15578.330601903152</v>
      </c>
      <c r="H30" s="114">
        <f>H28-H29</f>
        <v>17435.523327351199</v>
      </c>
      <c r="I30" s="116">
        <f>I28-I29</f>
        <v>19978.22083417678</v>
      </c>
    </row>
    <row r="31" spans="3:9" ht="18.75">
      <c r="C31" s="711"/>
      <c r="D31" s="712"/>
      <c r="E31" s="117"/>
      <c r="F31" s="117"/>
      <c r="G31" s="117"/>
      <c r="H31" s="117"/>
      <c r="I31" s="118"/>
    </row>
    <row r="32" spans="3:9" ht="18.75">
      <c r="C32" s="684" t="s">
        <v>138</v>
      </c>
      <c r="D32" s="710"/>
      <c r="E32" s="99">
        <v>9481.64</v>
      </c>
      <c r="F32" s="99">
        <v>9481.64</v>
      </c>
      <c r="G32" s="99">
        <v>9481.64</v>
      </c>
      <c r="H32" s="99">
        <v>9481.64</v>
      </c>
      <c r="I32" s="99">
        <v>9481.64</v>
      </c>
    </row>
    <row r="33" spans="3:12" ht="19.5" thickBot="1">
      <c r="C33" s="684" t="s">
        <v>95</v>
      </c>
      <c r="D33" s="710"/>
      <c r="E33" s="103">
        <v>6190.4136738682273</v>
      </c>
      <c r="F33" s="103">
        <v>6862.0735574829305</v>
      </c>
      <c r="G33" s="103">
        <v>7606.6085384698281</v>
      </c>
      <c r="H33" s="103">
        <v>8431.9255648938051</v>
      </c>
      <c r="I33" s="104">
        <v>9346.7894886847826</v>
      </c>
    </row>
    <row r="34" spans="3:12" ht="18.75">
      <c r="C34" s="89" t="s">
        <v>139</v>
      </c>
      <c r="D34" s="90"/>
      <c r="E34" s="107">
        <f>E30+E32-E33</f>
        <v>4630.000695645097</v>
      </c>
      <c r="F34" s="107">
        <f>F30+F32-F33</f>
        <v>3638.3815758669425</v>
      </c>
      <c r="G34" s="107">
        <f>G30+G32-G33</f>
        <v>17453.362063433324</v>
      </c>
      <c r="H34" s="107">
        <f>H30+H32-H33</f>
        <v>18485.237762457393</v>
      </c>
      <c r="I34" s="108">
        <f>I30+I32-I33</f>
        <v>20113.071345491997</v>
      </c>
    </row>
    <row r="35" spans="3:12" ht="19.5" thickBot="1">
      <c r="C35" s="10" t="s">
        <v>96</v>
      </c>
      <c r="D35" s="84">
        <v>-66051.899999999994</v>
      </c>
      <c r="E35" s="82"/>
      <c r="F35" s="82"/>
      <c r="G35" s="82"/>
      <c r="H35" s="82"/>
      <c r="I35" s="83"/>
    </row>
    <row r="36" spans="3:12" ht="18.75">
      <c r="C36" s="10" t="s">
        <v>104</v>
      </c>
      <c r="D36" s="84"/>
      <c r="E36" s="82"/>
      <c r="F36" s="82"/>
      <c r="G36" s="82"/>
      <c r="H36" s="84">
        <v>-3866</v>
      </c>
      <c r="I36" s="83"/>
      <c r="K36" s="529" t="s">
        <v>127</v>
      </c>
      <c r="L36" s="532">
        <v>9212.4399999999987</v>
      </c>
    </row>
    <row r="37" spans="3:12" ht="18.75">
      <c r="C37" s="10" t="s">
        <v>97</v>
      </c>
      <c r="D37" s="84">
        <v>-19365.457385332382</v>
      </c>
      <c r="E37" s="82"/>
      <c r="F37" s="82"/>
      <c r="G37" s="82"/>
      <c r="H37" s="82"/>
      <c r="I37" s="83"/>
      <c r="K37" s="530" t="s">
        <v>337</v>
      </c>
      <c r="L37" s="533">
        <v>9272.7977624573941</v>
      </c>
    </row>
    <row r="38" spans="3:12" ht="19.5" thickBot="1">
      <c r="C38" s="10" t="s">
        <v>98</v>
      </c>
      <c r="D38" s="84">
        <v>38362.818323399581</v>
      </c>
      <c r="E38" s="82"/>
      <c r="F38" s="82"/>
      <c r="G38" s="82"/>
      <c r="H38" s="82"/>
      <c r="I38" s="100"/>
      <c r="K38" s="531" t="s">
        <v>338</v>
      </c>
      <c r="L38" s="534">
        <v>60540.441233799669</v>
      </c>
    </row>
    <row r="39" spans="3:12" ht="18.75">
      <c r="C39" s="10" t="s">
        <v>99</v>
      </c>
      <c r="D39" s="82"/>
      <c r="E39" s="99"/>
      <c r="F39" s="99"/>
      <c r="G39" s="99"/>
      <c r="H39" s="99"/>
      <c r="I39" s="100">
        <v>60540.441233799669</v>
      </c>
    </row>
    <row r="40" spans="3:12" ht="18.75">
      <c r="C40" s="10" t="s">
        <v>105</v>
      </c>
      <c r="D40" s="119">
        <f>D35+D37+D38</f>
        <v>-47054.539061932795</v>
      </c>
      <c r="E40" s="99">
        <f>E34</f>
        <v>4630.000695645097</v>
      </c>
      <c r="F40" s="99">
        <f>F34</f>
        <v>3638.3815758669425</v>
      </c>
      <c r="G40" s="99">
        <f>G34</f>
        <v>17453.362063433324</v>
      </c>
      <c r="H40" s="99">
        <f>H34-H36</f>
        <v>22351.237762457393</v>
      </c>
      <c r="I40" s="100">
        <f>I34+I39</f>
        <v>80653.512579291666</v>
      </c>
    </row>
    <row r="41" spans="3:12" ht="18.75">
      <c r="C41" s="10" t="s">
        <v>106</v>
      </c>
      <c r="D41" s="120">
        <v>0.153167</v>
      </c>
      <c r="E41" s="93"/>
      <c r="F41" s="93"/>
      <c r="G41" s="93"/>
      <c r="H41" s="93"/>
      <c r="I41" s="94"/>
    </row>
    <row r="42" spans="3:12" ht="18.75">
      <c r="C42" s="92" t="s">
        <v>107</v>
      </c>
      <c r="D42" s="121">
        <f>IRR(D40:I40)</f>
        <v>0.27249385380486341</v>
      </c>
      <c r="E42" s="93"/>
      <c r="F42" s="93"/>
      <c r="G42" s="93"/>
      <c r="H42" s="93"/>
      <c r="I42" s="94"/>
    </row>
    <row r="43" spans="3:12" ht="19.5" thickBot="1">
      <c r="C43" s="91" t="s">
        <v>108</v>
      </c>
      <c r="D43" s="122">
        <f>NPV(D41,E40:I40)+D40</f>
        <v>23269.137654680308</v>
      </c>
      <c r="E43" s="95"/>
      <c r="F43" s="95"/>
      <c r="G43" s="95"/>
      <c r="H43" s="95"/>
      <c r="I43" s="96"/>
    </row>
    <row r="46" spans="3:12" ht="15.75" thickBot="1"/>
    <row r="47" spans="3:12" ht="16.5" thickBot="1">
      <c r="D47" s="673" t="s">
        <v>121</v>
      </c>
      <c r="E47" s="674"/>
      <c r="F47" s="674"/>
      <c r="G47" s="674"/>
      <c r="H47" s="675"/>
    </row>
    <row r="48" spans="3:12" ht="31.5">
      <c r="D48" s="216" t="s">
        <v>122</v>
      </c>
      <c r="E48" s="217" t="s">
        <v>123</v>
      </c>
      <c r="F48" s="217" t="s">
        <v>124</v>
      </c>
      <c r="G48" s="217" t="s">
        <v>125</v>
      </c>
      <c r="H48" s="218" t="s">
        <v>126</v>
      </c>
    </row>
    <row r="49" spans="4:8">
      <c r="D49" s="219">
        <v>1</v>
      </c>
      <c r="E49" s="220">
        <v>47054.54</v>
      </c>
      <c r="F49" s="220">
        <f>E40</f>
        <v>4630.000695645097</v>
      </c>
      <c r="G49" s="220">
        <f>E49*($D$41)</f>
        <v>7207.2027281800001</v>
      </c>
      <c r="H49" s="220">
        <f>+G49+F49</f>
        <v>11837.203423825096</v>
      </c>
    </row>
    <row r="50" spans="4:8">
      <c r="D50" s="219">
        <v>2</v>
      </c>
      <c r="E50" s="220">
        <f>+H49</f>
        <v>11837.203423825096</v>
      </c>
      <c r="F50" s="220">
        <f>F40</f>
        <v>3638.3815758669425</v>
      </c>
      <c r="G50" s="220">
        <f t="shared" ref="G50:G53" si="1">E50*($D$41)</f>
        <v>1813.0689368170185</v>
      </c>
      <c r="H50" s="220">
        <f>+G50+F50</f>
        <v>5451.4505126839613</v>
      </c>
    </row>
    <row r="51" spans="4:8">
      <c r="D51" s="219">
        <v>3</v>
      </c>
      <c r="E51" s="220">
        <f>+H50</f>
        <v>5451.4505126839613</v>
      </c>
      <c r="F51" s="220">
        <f>G40</f>
        <v>17453.362063433324</v>
      </c>
      <c r="G51" s="220">
        <f t="shared" si="1"/>
        <v>834.98232067626429</v>
      </c>
      <c r="H51" s="220">
        <f>+G51+F51</f>
        <v>18288.344384109587</v>
      </c>
    </row>
    <row r="52" spans="4:8">
      <c r="D52" s="219">
        <v>4</v>
      </c>
      <c r="E52" s="220">
        <f>+H51</f>
        <v>18288.344384109587</v>
      </c>
      <c r="F52" s="220">
        <f>H40</f>
        <v>22351.237762457393</v>
      </c>
      <c r="G52" s="220">
        <f t="shared" si="1"/>
        <v>2801.1708442809131</v>
      </c>
      <c r="H52" s="220">
        <f>+G52+F52</f>
        <v>25152.408606738307</v>
      </c>
    </row>
    <row r="53" spans="4:8" ht="15.75" thickBot="1">
      <c r="D53" s="215">
        <v>5</v>
      </c>
      <c r="E53" s="221">
        <f>+H52</f>
        <v>25152.408606738307</v>
      </c>
      <c r="F53" s="221">
        <f>I40</f>
        <v>80653.512579291666</v>
      </c>
      <c r="G53" s="221">
        <f t="shared" si="1"/>
        <v>3852.518969068286</v>
      </c>
      <c r="H53" s="221">
        <f>+G53+F53</f>
        <v>84506.031548359955</v>
      </c>
    </row>
  </sheetData>
  <mergeCells count="32">
    <mergeCell ref="D47:H47"/>
    <mergeCell ref="C14:D14"/>
    <mergeCell ref="C3:I3"/>
    <mergeCell ref="C4:I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3:D33"/>
    <mergeCell ref="C27:D27"/>
    <mergeCell ref="C28:D28"/>
    <mergeCell ref="C29:D29"/>
    <mergeCell ref="C30:D30"/>
    <mergeCell ref="C31:D31"/>
    <mergeCell ref="C32:D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C2:J38"/>
  <sheetViews>
    <sheetView topLeftCell="C34" workbookViewId="0">
      <selection activeCell="K25" sqref="K25"/>
    </sheetView>
  </sheetViews>
  <sheetFormatPr baseColWidth="10" defaultRowHeight="15"/>
  <cols>
    <col min="3" max="3" width="31.5703125" bestFit="1" customWidth="1"/>
    <col min="4" max="4" width="17" customWidth="1"/>
    <col min="5" max="5" width="18" bestFit="1" customWidth="1"/>
    <col min="6" max="9" width="18.85546875" bestFit="1" customWidth="1"/>
    <col min="10" max="10" width="12" bestFit="1" customWidth="1"/>
  </cols>
  <sheetData>
    <row r="2" spans="3:9" ht="15.75" thickBot="1"/>
    <row r="3" spans="3:9" ht="18.75">
      <c r="C3" s="676" t="s">
        <v>135</v>
      </c>
      <c r="D3" s="677"/>
      <c r="E3" s="677"/>
      <c r="F3" s="677"/>
      <c r="G3" s="677"/>
      <c r="H3" s="677"/>
      <c r="I3" s="678"/>
    </row>
    <row r="4" spans="3:9" ht="16.5" thickBot="1">
      <c r="C4" s="679" t="s">
        <v>168</v>
      </c>
      <c r="D4" s="680"/>
      <c r="E4" s="680"/>
      <c r="F4" s="680"/>
      <c r="G4" s="680"/>
      <c r="H4" s="680"/>
      <c r="I4" s="681"/>
    </row>
    <row r="5" spans="3:9" ht="16.5" thickBot="1">
      <c r="C5" s="576" t="s">
        <v>45</v>
      </c>
      <c r="D5" s="578"/>
      <c r="E5" s="144" t="s">
        <v>46</v>
      </c>
      <c r="F5" s="86" t="s">
        <v>47</v>
      </c>
      <c r="G5" s="146" t="s">
        <v>48</v>
      </c>
      <c r="H5" s="86" t="s">
        <v>49</v>
      </c>
      <c r="I5" s="145" t="s">
        <v>50</v>
      </c>
    </row>
    <row r="6" spans="3:9" ht="18.75">
      <c r="C6" s="684" t="s">
        <v>12</v>
      </c>
      <c r="D6" s="685"/>
      <c r="E6" s="97">
        <v>202639.8</v>
      </c>
      <c r="F6" s="98">
        <v>207706.35324201998</v>
      </c>
      <c r="G6" s="98">
        <v>232253.46771607685</v>
      </c>
      <c r="H6" s="98">
        <v>238059.80440897873</v>
      </c>
      <c r="I6" s="98">
        <v>244011.29951920314</v>
      </c>
    </row>
    <row r="7" spans="3:9" ht="19.5" thickBot="1">
      <c r="C7" s="684" t="s">
        <v>111</v>
      </c>
      <c r="D7" s="685"/>
      <c r="E7" s="101">
        <v>153449.92000000001</v>
      </c>
      <c r="F7" s="102">
        <v>157286.16800000001</v>
      </c>
      <c r="G7" s="103">
        <v>161218.3222</v>
      </c>
      <c r="H7" s="102">
        <v>165248.78025499999</v>
      </c>
      <c r="I7" s="104">
        <v>169379.99976137499</v>
      </c>
    </row>
    <row r="8" spans="3:9" ht="19.5" thickBot="1">
      <c r="C8" s="686" t="s">
        <v>101</v>
      </c>
      <c r="D8" s="687"/>
      <c r="E8" s="105">
        <f>E6-E7</f>
        <v>49189.879999999976</v>
      </c>
      <c r="F8" s="106">
        <f>F6-F7</f>
        <v>50420.185242019972</v>
      </c>
      <c r="G8" s="107">
        <f>G6-G7</f>
        <v>71035.145516076853</v>
      </c>
      <c r="H8" s="106">
        <f>H6-H7</f>
        <v>72811.024153978738</v>
      </c>
      <c r="I8" s="108">
        <f>I6-I7</f>
        <v>74631.29975782815</v>
      </c>
    </row>
    <row r="9" spans="3:9" ht="18.75">
      <c r="C9" s="688" t="s">
        <v>17</v>
      </c>
      <c r="D9" s="689"/>
      <c r="E9" s="81"/>
      <c r="F9" s="80"/>
      <c r="G9" s="82"/>
      <c r="H9" s="80"/>
      <c r="I9" s="83"/>
    </row>
    <row r="10" spans="3:9" ht="18.75">
      <c r="C10" s="684" t="s">
        <v>18</v>
      </c>
      <c r="D10" s="685"/>
      <c r="E10" s="97">
        <v>25467.999999999996</v>
      </c>
      <c r="F10" s="98">
        <v>27268</v>
      </c>
      <c r="G10" s="98">
        <v>27268</v>
      </c>
      <c r="H10" s="98">
        <v>27268</v>
      </c>
      <c r="I10" s="98">
        <v>27268</v>
      </c>
    </row>
    <row r="11" spans="3:9" ht="18.75">
      <c r="C11" s="684" t="s">
        <v>19</v>
      </c>
      <c r="D11" s="685"/>
      <c r="E11" s="97">
        <v>2400</v>
      </c>
      <c r="F11" s="97">
        <v>2400</v>
      </c>
      <c r="G11" s="97">
        <v>2300</v>
      </c>
      <c r="H11" s="97">
        <v>23000</v>
      </c>
      <c r="I11" s="97">
        <v>2300</v>
      </c>
    </row>
    <row r="12" spans="3:9" ht="18.75">
      <c r="C12" s="684" t="s">
        <v>20</v>
      </c>
      <c r="D12" s="685"/>
      <c r="E12" s="97">
        <v>1520.91</v>
      </c>
      <c r="F12" s="98">
        <v>1520.91</v>
      </c>
      <c r="G12" s="99">
        <v>1520.91</v>
      </c>
      <c r="H12" s="98">
        <v>1520.91</v>
      </c>
      <c r="I12" s="100">
        <v>1520.91</v>
      </c>
    </row>
    <row r="13" spans="3:9" ht="18.75">
      <c r="C13" s="684" t="s">
        <v>21</v>
      </c>
      <c r="D13" s="685"/>
      <c r="E13" s="97">
        <v>360</v>
      </c>
      <c r="F13" s="98">
        <v>360</v>
      </c>
      <c r="G13" s="99">
        <v>360</v>
      </c>
      <c r="H13" s="98">
        <v>360</v>
      </c>
      <c r="I13" s="100">
        <v>360</v>
      </c>
    </row>
    <row r="14" spans="3:9" ht="18.75">
      <c r="C14" s="684" t="s">
        <v>51</v>
      </c>
      <c r="D14" s="685"/>
      <c r="E14" s="97">
        <v>269.2</v>
      </c>
      <c r="F14" s="97">
        <v>269.2</v>
      </c>
      <c r="G14" s="97">
        <v>269.2</v>
      </c>
      <c r="H14" s="97">
        <v>269.2</v>
      </c>
      <c r="I14" s="97">
        <v>269.2</v>
      </c>
    </row>
    <row r="15" spans="3:9" ht="19.5" thickBot="1">
      <c r="C15" s="684" t="s">
        <v>23</v>
      </c>
      <c r="D15" s="685"/>
      <c r="E15" s="101">
        <v>513.99999999999989</v>
      </c>
      <c r="F15" s="102">
        <v>513.99999999999989</v>
      </c>
      <c r="G15" s="103">
        <v>513.99999999999989</v>
      </c>
      <c r="H15" s="102">
        <v>513.99999999999989</v>
      </c>
      <c r="I15" s="104">
        <v>513.99999999999989</v>
      </c>
    </row>
    <row r="16" spans="3:9" ht="18.75">
      <c r="C16" s="686" t="s">
        <v>24</v>
      </c>
      <c r="D16" s="687"/>
      <c r="E16" s="105">
        <f>SUM(E10:E15)</f>
        <v>30532.109999999997</v>
      </c>
      <c r="F16" s="106">
        <f>SUM(F10:F15)</f>
        <v>32332.11</v>
      </c>
      <c r="G16" s="107">
        <f>SUM(G10:G15)</f>
        <v>32232.11</v>
      </c>
      <c r="H16" s="106">
        <f>SUM(H10:H15)</f>
        <v>52932.11</v>
      </c>
      <c r="I16" s="108">
        <f>SUM(I10:I15)</f>
        <v>32232.11</v>
      </c>
    </row>
    <row r="17" spans="3:10" ht="18.75">
      <c r="C17" s="684"/>
      <c r="D17" s="685"/>
      <c r="E17" s="81"/>
      <c r="F17" s="80"/>
      <c r="G17" s="82"/>
      <c r="H17" s="80"/>
      <c r="I17" s="83"/>
    </row>
    <row r="18" spans="3:10" ht="18.75">
      <c r="C18" s="693" t="s">
        <v>25</v>
      </c>
      <c r="D18" s="694"/>
      <c r="E18" s="81"/>
      <c r="F18" s="80"/>
      <c r="G18" s="82"/>
      <c r="H18" s="80"/>
      <c r="I18" s="83"/>
    </row>
    <row r="19" spans="3:10" ht="18.75">
      <c r="C19" s="684" t="s">
        <v>52</v>
      </c>
      <c r="D19" s="685"/>
      <c r="E19" s="97">
        <v>8468.0000000000018</v>
      </c>
      <c r="F19" s="98">
        <v>9052</v>
      </c>
      <c r="G19" s="98">
        <v>9052</v>
      </c>
      <c r="H19" s="98">
        <v>9052</v>
      </c>
      <c r="I19" s="98">
        <v>9052</v>
      </c>
    </row>
    <row r="20" spans="3:10" ht="18.75">
      <c r="C20" s="684" t="s">
        <v>26</v>
      </c>
      <c r="D20" s="685"/>
      <c r="E20" s="97">
        <v>4000</v>
      </c>
      <c r="F20" s="97">
        <v>4000</v>
      </c>
      <c r="G20" s="99">
        <v>3500</v>
      </c>
      <c r="H20" s="98">
        <v>3300</v>
      </c>
      <c r="I20" s="100">
        <v>2200</v>
      </c>
      <c r="J20" s="9"/>
    </row>
    <row r="21" spans="3:10" ht="18.75">
      <c r="C21" s="686" t="s">
        <v>102</v>
      </c>
      <c r="D21" s="687"/>
      <c r="E21" s="109">
        <f>E19+E20</f>
        <v>12468.000000000002</v>
      </c>
      <c r="F21" s="110">
        <f>F19+F20</f>
        <v>13052</v>
      </c>
      <c r="G21" s="111">
        <f>G19+G20</f>
        <v>12552</v>
      </c>
      <c r="H21" s="110">
        <f>H19+H20</f>
        <v>12352</v>
      </c>
      <c r="I21" s="112">
        <f>I19+I20</f>
        <v>11252</v>
      </c>
    </row>
    <row r="22" spans="3:10" ht="18.75">
      <c r="C22" s="684"/>
      <c r="D22" s="685"/>
      <c r="E22" s="81"/>
      <c r="F22" s="80"/>
      <c r="G22" s="82"/>
      <c r="H22" s="80"/>
      <c r="I22" s="83"/>
    </row>
    <row r="23" spans="3:10" ht="18.75">
      <c r="C23" s="684" t="s">
        <v>55</v>
      </c>
      <c r="D23" s="710"/>
      <c r="E23" s="178">
        <f>E8-E16-E21</f>
        <v>6189.7699999999768</v>
      </c>
      <c r="F23" s="179">
        <f>F8-F16-F21</f>
        <v>5036.0752420199715</v>
      </c>
      <c r="G23" s="180">
        <f>G8-G16-G21</f>
        <v>26251.035516076852</v>
      </c>
      <c r="H23" s="179">
        <f>H8-H16-H21</f>
        <v>7526.9141539787379</v>
      </c>
      <c r="I23" s="180">
        <f>I8-I16-I21</f>
        <v>31147.18975782815</v>
      </c>
    </row>
    <row r="24" spans="3:10" ht="18.75">
      <c r="C24" s="684" t="s">
        <v>56</v>
      </c>
      <c r="D24" s="710"/>
      <c r="E24" s="174">
        <f>E23*15%</f>
        <v>928.4654999999965</v>
      </c>
      <c r="F24" s="177">
        <f>F23*15%</f>
        <v>755.41128630299568</v>
      </c>
      <c r="G24" s="98">
        <f>15%*G23</f>
        <v>3937.6553274115277</v>
      </c>
      <c r="H24" s="99">
        <f>15%*H23</f>
        <v>1129.0371230968105</v>
      </c>
      <c r="I24" s="98">
        <f>15%*I23</f>
        <v>4672.0784636742219</v>
      </c>
    </row>
    <row r="25" spans="3:10" ht="18.75">
      <c r="C25" s="684" t="s">
        <v>57</v>
      </c>
      <c r="D25" s="710"/>
      <c r="E25" s="173">
        <f>E23-E24</f>
        <v>5261.3044999999802</v>
      </c>
      <c r="F25" s="99">
        <f>F23-F24</f>
        <v>4280.6639557169756</v>
      </c>
      <c r="G25" s="98">
        <f>G23-G24</f>
        <v>22313.380188665324</v>
      </c>
      <c r="H25" s="99">
        <f>H23-H24</f>
        <v>6397.8770308819276</v>
      </c>
      <c r="I25" s="98">
        <f>I23-I24</f>
        <v>26475.111294153929</v>
      </c>
    </row>
    <row r="26" spans="3:10" ht="19.5" thickBot="1">
      <c r="C26" s="684" t="s">
        <v>166</v>
      </c>
      <c r="D26" s="710"/>
      <c r="E26" s="102">
        <f>E25*22%</f>
        <v>1157.4869899999956</v>
      </c>
      <c r="F26" s="103">
        <f>F25*22%</f>
        <v>941.74607025773469</v>
      </c>
      <c r="G26" s="102">
        <f t="shared" ref="G26:I26" si="0">G25*22%</f>
        <v>4908.943641506371</v>
      </c>
      <c r="H26" s="103">
        <f t="shared" si="0"/>
        <v>1407.5329467940242</v>
      </c>
      <c r="I26" s="102">
        <f t="shared" si="0"/>
        <v>5824.5244847138647</v>
      </c>
    </row>
    <row r="27" spans="3:10" ht="19.5" thickBot="1">
      <c r="C27" s="704" t="s">
        <v>58</v>
      </c>
      <c r="D27" s="713"/>
      <c r="E27" s="175">
        <f>E25-E26</f>
        <v>4103.8175099999844</v>
      </c>
      <c r="F27" s="115">
        <f>F25-F26</f>
        <v>3338.917885459241</v>
      </c>
      <c r="G27" s="114">
        <f>G25-G26</f>
        <v>17404.436547158952</v>
      </c>
      <c r="H27" s="115">
        <f>H25-H26</f>
        <v>4990.344084087903</v>
      </c>
      <c r="I27" s="114">
        <f>I25-I26</f>
        <v>20650.586809440065</v>
      </c>
    </row>
    <row r="28" spans="3:10" ht="18.75">
      <c r="C28" s="711"/>
      <c r="D28" s="712"/>
      <c r="E28" s="176"/>
      <c r="F28" s="117"/>
      <c r="G28" s="176"/>
      <c r="H28" s="117"/>
      <c r="I28" s="176"/>
    </row>
    <row r="29" spans="3:10" ht="18.75">
      <c r="C29" s="684" t="s">
        <v>138</v>
      </c>
      <c r="D29" s="710"/>
      <c r="E29" s="98">
        <f>9388.63+E14</f>
        <v>9657.83</v>
      </c>
      <c r="F29" s="99">
        <f>9388.63+F14</f>
        <v>9657.83</v>
      </c>
      <c r="G29" s="98">
        <f>9388.63+G14</f>
        <v>9657.83</v>
      </c>
      <c r="H29" s="99">
        <f>9388.63+H14</f>
        <v>9657.83</v>
      </c>
      <c r="I29" s="98">
        <f>9388.63+I14</f>
        <v>9657.83</v>
      </c>
    </row>
    <row r="30" spans="3:10" ht="18.75">
      <c r="C30" s="89" t="s">
        <v>139</v>
      </c>
      <c r="D30" s="90"/>
      <c r="E30" s="107">
        <f>E27+E29</f>
        <v>13761.647509999984</v>
      </c>
      <c r="F30" s="107">
        <f>F27+F29</f>
        <v>12996.747885459241</v>
      </c>
      <c r="G30" s="107">
        <f>G27+G29</f>
        <v>27062.26654715895</v>
      </c>
      <c r="H30" s="107">
        <f>H27+H29</f>
        <v>14648.174084087903</v>
      </c>
      <c r="I30" s="108">
        <f>I27+I29</f>
        <v>30308.416809440067</v>
      </c>
    </row>
    <row r="31" spans="3:10" ht="18.75">
      <c r="C31" s="10" t="s">
        <v>96</v>
      </c>
      <c r="D31" s="84">
        <v>-66051.899999999994</v>
      </c>
      <c r="E31" s="82"/>
      <c r="F31" s="82"/>
      <c r="G31" s="82"/>
      <c r="H31" s="82"/>
      <c r="I31" s="83"/>
    </row>
    <row r="32" spans="3:10" ht="18.75">
      <c r="C32" s="10" t="s">
        <v>104</v>
      </c>
      <c r="D32" s="84"/>
      <c r="E32" s="82"/>
      <c r="F32" s="82"/>
      <c r="G32" s="82"/>
      <c r="H32" s="84">
        <v>-3866</v>
      </c>
      <c r="I32" s="83"/>
    </row>
    <row r="33" spans="3:9" ht="18.75">
      <c r="C33" s="10" t="s">
        <v>97</v>
      </c>
      <c r="D33" s="84">
        <v>-19365.457385332382</v>
      </c>
      <c r="E33" s="82"/>
      <c r="F33" s="82"/>
      <c r="G33" s="82"/>
      <c r="H33" s="82"/>
      <c r="I33" s="83"/>
    </row>
    <row r="34" spans="3:9" ht="18.75">
      <c r="C34" s="10" t="s">
        <v>99</v>
      </c>
      <c r="D34" s="82"/>
      <c r="E34" s="99"/>
      <c r="F34" s="99"/>
      <c r="G34" s="99"/>
      <c r="H34" s="99"/>
      <c r="I34" s="100">
        <v>60540.441233799669</v>
      </c>
    </row>
    <row r="35" spans="3:9" ht="18.75">
      <c r="C35" s="10" t="s">
        <v>105</v>
      </c>
      <c r="D35" s="119">
        <f>D31+D33</f>
        <v>-85417.357385332376</v>
      </c>
      <c r="E35" s="99">
        <f>E30</f>
        <v>13761.647509999984</v>
      </c>
      <c r="F35" s="99">
        <f>F30</f>
        <v>12996.747885459241</v>
      </c>
      <c r="G35" s="99">
        <f>G30</f>
        <v>27062.26654715895</v>
      </c>
      <c r="H35" s="99">
        <f>H30-H32</f>
        <v>18514.174084087903</v>
      </c>
      <c r="I35" s="100">
        <f>I30+I34</f>
        <v>90848.858043239743</v>
      </c>
    </row>
    <row r="36" spans="3:9" ht="18.75">
      <c r="C36" s="10" t="s">
        <v>106</v>
      </c>
      <c r="D36" s="120">
        <v>0.12232535</v>
      </c>
      <c r="E36" s="93"/>
      <c r="F36" s="93"/>
      <c r="G36" s="93"/>
      <c r="H36" s="93"/>
      <c r="I36" s="94"/>
    </row>
    <row r="37" spans="3:9" ht="18.75">
      <c r="C37" s="92" t="s">
        <v>107</v>
      </c>
      <c r="D37" s="121">
        <f>IRR(D35:I35)</f>
        <v>0.18493903942010076</v>
      </c>
      <c r="E37" s="93"/>
      <c r="F37" s="93"/>
      <c r="G37" s="93"/>
      <c r="H37" s="93"/>
      <c r="I37" s="94"/>
    </row>
    <row r="38" spans="3:9" ht="19.5" thickBot="1">
      <c r="C38" s="91" t="s">
        <v>108</v>
      </c>
      <c r="D38" s="122">
        <f>NPV(D36,E35:I35)+D35</f>
        <v>18992.452253150754</v>
      </c>
      <c r="E38" s="95"/>
      <c r="F38" s="95"/>
      <c r="G38" s="95"/>
      <c r="H38" s="95"/>
      <c r="I38" s="96"/>
    </row>
  </sheetData>
  <mergeCells count="27">
    <mergeCell ref="C29:D29"/>
    <mergeCell ref="C21:D21"/>
    <mergeCell ref="C22:D22"/>
    <mergeCell ref="C23:D23"/>
    <mergeCell ref="C15:D15"/>
    <mergeCell ref="C16:D16"/>
    <mergeCell ref="C17:D17"/>
    <mergeCell ref="C18:D18"/>
    <mergeCell ref="C19:D19"/>
    <mergeCell ref="C20:D20"/>
    <mergeCell ref="C24:D24"/>
    <mergeCell ref="C25:D25"/>
    <mergeCell ref="C26:D26"/>
    <mergeCell ref="C27:D27"/>
    <mergeCell ref="C28:D28"/>
    <mergeCell ref="C14:D14"/>
    <mergeCell ref="C3:I3"/>
    <mergeCell ref="C4:I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4:D17"/>
  <sheetViews>
    <sheetView workbookViewId="0">
      <selection activeCell="H19" sqref="H19"/>
    </sheetView>
  </sheetViews>
  <sheetFormatPr baseColWidth="10" defaultRowHeight="15"/>
  <cols>
    <col min="3" max="3" width="27.28515625" bestFit="1" customWidth="1"/>
  </cols>
  <sheetData>
    <row r="4" spans="3:4" ht="15.75" thickBot="1"/>
    <row r="5" spans="3:4" ht="19.5" thickBot="1">
      <c r="C5" s="714" t="s">
        <v>358</v>
      </c>
      <c r="D5" s="715"/>
    </row>
    <row r="6" spans="3:4">
      <c r="C6" s="440" t="s">
        <v>359</v>
      </c>
      <c r="D6" s="561">
        <v>1681.28</v>
      </c>
    </row>
    <row r="7" spans="3:4">
      <c r="C7" s="357" t="s">
        <v>360</v>
      </c>
      <c r="D7" s="457">
        <v>0.72000000000000008</v>
      </c>
    </row>
    <row r="8" spans="3:4">
      <c r="C8" s="357" t="s">
        <v>281</v>
      </c>
      <c r="D8" s="457">
        <v>1.0965624457182561</v>
      </c>
    </row>
    <row r="9" spans="3:4">
      <c r="C9" s="357" t="s">
        <v>361</v>
      </c>
      <c r="D9" s="457">
        <v>0.37656244571825603</v>
      </c>
    </row>
    <row r="10" spans="3:4" ht="15.75" thickBot="1">
      <c r="C10" s="284" t="s">
        <v>362</v>
      </c>
      <c r="D10" s="285">
        <v>4464.8106021117501</v>
      </c>
    </row>
    <row r="11" spans="3:4" ht="15.75" thickBot="1"/>
    <row r="12" spans="3:4" ht="19.5" thickBot="1">
      <c r="C12" s="714" t="s">
        <v>363</v>
      </c>
      <c r="D12" s="715"/>
    </row>
    <row r="13" spans="3:4">
      <c r="C13" s="440" t="s">
        <v>364</v>
      </c>
      <c r="D13" s="561">
        <v>4911.2916623229248</v>
      </c>
    </row>
    <row r="14" spans="3:4">
      <c r="C14" s="357" t="s">
        <v>365</v>
      </c>
      <c r="D14" s="457">
        <v>3230.0116623229246</v>
      </c>
    </row>
    <row r="15" spans="3:4">
      <c r="C15" s="357" t="s">
        <v>366</v>
      </c>
      <c r="D15" s="457">
        <v>1681.2800000000002</v>
      </c>
    </row>
    <row r="16" spans="3:4">
      <c r="C16" s="357" t="s">
        <v>14</v>
      </c>
      <c r="D16" s="457">
        <v>1681.28</v>
      </c>
    </row>
    <row r="17" spans="3:4" ht="15.75" thickBot="1">
      <c r="C17" s="284"/>
      <c r="D17" s="285">
        <v>0</v>
      </c>
    </row>
  </sheetData>
  <mergeCells count="2">
    <mergeCell ref="C5:D5"/>
    <mergeCell ref="C12:D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C5:H41"/>
  <sheetViews>
    <sheetView topLeftCell="A22" workbookViewId="0">
      <selection activeCell="C34" sqref="C34:D41"/>
    </sheetView>
  </sheetViews>
  <sheetFormatPr baseColWidth="10" defaultRowHeight="15"/>
  <sheetData>
    <row r="5" spans="3:8">
      <c r="C5" s="719" t="s">
        <v>106</v>
      </c>
      <c r="D5" s="719"/>
      <c r="F5" s="197" t="s">
        <v>191</v>
      </c>
      <c r="G5" s="3">
        <v>8.0799999999999997E-2</v>
      </c>
    </row>
    <row r="6" spans="3:8">
      <c r="C6" s="196" t="s">
        <v>175</v>
      </c>
      <c r="D6" s="195">
        <v>7.9000000000000008E-3</v>
      </c>
    </row>
    <row r="7" spans="3:8" ht="18.75">
      <c r="C7" s="196" t="s">
        <v>176</v>
      </c>
      <c r="D7" s="195">
        <v>8.2000000000000003E-2</v>
      </c>
      <c r="F7" s="248">
        <v>8.2000000000000003E-2</v>
      </c>
    </row>
    <row r="8" spans="3:8" ht="18.75">
      <c r="C8" s="196" t="s">
        <v>171</v>
      </c>
      <c r="D8" s="194">
        <v>0.87</v>
      </c>
      <c r="F8" s="247">
        <v>6.2E-2</v>
      </c>
    </row>
    <row r="9" spans="3:8">
      <c r="C9" s="196" t="s">
        <v>177</v>
      </c>
      <c r="D9" s="195">
        <f>D7-D6</f>
        <v>7.4099999999999999E-2</v>
      </c>
    </row>
    <row r="10" spans="3:8" ht="18.75">
      <c r="C10" s="720" t="s">
        <v>179</v>
      </c>
      <c r="D10" s="721">
        <f>D6+D8*(D9)</f>
        <v>7.2367000000000001E-2</v>
      </c>
      <c r="F10" s="248">
        <f>D10</f>
        <v>7.2367000000000001E-2</v>
      </c>
    </row>
    <row r="12" spans="3:8">
      <c r="C12" s="197" t="s">
        <v>178</v>
      </c>
    </row>
    <row r="13" spans="3:8" ht="18.75">
      <c r="C13" s="720" t="s">
        <v>169</v>
      </c>
      <c r="D13" s="722">
        <f>D10+G5</f>
        <v>0.153167</v>
      </c>
      <c r="E13" t="s">
        <v>106</v>
      </c>
      <c r="F13" t="s">
        <v>185</v>
      </c>
      <c r="H13" s="248">
        <f>D13</f>
        <v>0.153167</v>
      </c>
    </row>
    <row r="16" spans="3:8">
      <c r="C16" s="719" t="s">
        <v>182</v>
      </c>
      <c r="D16" s="719"/>
    </row>
    <row r="17" spans="3:7">
      <c r="C17" s="196" t="s">
        <v>180</v>
      </c>
      <c r="D17" s="195">
        <v>0.1085</v>
      </c>
    </row>
    <row r="18" spans="3:7">
      <c r="C18" s="196" t="s">
        <v>172</v>
      </c>
      <c r="D18" s="198">
        <v>0.22</v>
      </c>
    </row>
    <row r="19" spans="3:7">
      <c r="C19" s="196" t="s">
        <v>170</v>
      </c>
      <c r="D19" s="198">
        <v>0.45</v>
      </c>
    </row>
    <row r="20" spans="3:7">
      <c r="C20" s="196" t="s">
        <v>181</v>
      </c>
      <c r="D20" s="198">
        <f>1-D19</f>
        <v>0.55000000000000004</v>
      </c>
    </row>
    <row r="21" spans="3:7">
      <c r="C21" s="196" t="s">
        <v>169</v>
      </c>
      <c r="D21" s="195">
        <f>D13</f>
        <v>0.153167</v>
      </c>
    </row>
    <row r="22" spans="3:7" ht="18.75">
      <c r="C22" s="720" t="s">
        <v>183</v>
      </c>
      <c r="D22" s="721">
        <f>(D17*(1-D18)*(D19))+(D21*(D20))</f>
        <v>0.12232535</v>
      </c>
      <c r="E22" t="s">
        <v>184</v>
      </c>
      <c r="G22" s="248">
        <f>D22</f>
        <v>0.12232535</v>
      </c>
    </row>
    <row r="26" spans="3:7">
      <c r="C26" s="197" t="s">
        <v>186</v>
      </c>
    </row>
    <row r="34" spans="3:4" ht="18.75">
      <c r="C34" s="723" t="s">
        <v>190</v>
      </c>
      <c r="D34" s="723"/>
    </row>
    <row r="35" spans="3:4" ht="18.75">
      <c r="C35" s="724" t="s">
        <v>172</v>
      </c>
      <c r="D35" s="725">
        <v>0.22</v>
      </c>
    </row>
    <row r="36" spans="3:4" ht="18.75">
      <c r="C36" s="724" t="s">
        <v>187</v>
      </c>
      <c r="D36" s="726">
        <v>0.53</v>
      </c>
    </row>
    <row r="37" spans="3:4" ht="18.75">
      <c r="C37" s="724" t="s">
        <v>170</v>
      </c>
      <c r="D37" s="725">
        <v>0.45</v>
      </c>
    </row>
    <row r="38" spans="3:4" ht="18.75">
      <c r="C38" s="724" t="s">
        <v>188</v>
      </c>
      <c r="D38" s="725">
        <f>(1-D39)</f>
        <v>0.90100000000000002</v>
      </c>
    </row>
    <row r="39" spans="3:4" ht="18.75">
      <c r="C39" s="724" t="s">
        <v>189</v>
      </c>
      <c r="D39" s="725">
        <f>D35*D37</f>
        <v>9.9000000000000005E-2</v>
      </c>
    </row>
    <row r="40" spans="3:4" ht="18.75">
      <c r="C40" s="724" t="s">
        <v>181</v>
      </c>
      <c r="D40" s="725">
        <f>1-D37</f>
        <v>0.55000000000000004</v>
      </c>
    </row>
    <row r="41" spans="3:4" ht="18.75">
      <c r="C41" s="727" t="s">
        <v>171</v>
      </c>
      <c r="D41" s="728">
        <f>((D38)*(D36))/D40</f>
        <v>0.86823636363636358</v>
      </c>
    </row>
  </sheetData>
  <mergeCells count="3">
    <mergeCell ref="C5:D5"/>
    <mergeCell ref="C16:D16"/>
    <mergeCell ref="C34:D3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D1:J41"/>
  <sheetViews>
    <sheetView topLeftCell="A28" workbookViewId="0">
      <selection activeCell="F5" sqref="F5"/>
    </sheetView>
  </sheetViews>
  <sheetFormatPr baseColWidth="10" defaultRowHeight="15"/>
  <cols>
    <col min="5" max="5" width="18" customWidth="1"/>
    <col min="6" max="7" width="18" bestFit="1" customWidth="1"/>
    <col min="8" max="10" width="18.85546875" bestFit="1" customWidth="1"/>
  </cols>
  <sheetData>
    <row r="1" spans="4:10" ht="18.75">
      <c r="D1" s="676" t="s">
        <v>135</v>
      </c>
      <c r="E1" s="677"/>
      <c r="F1" s="677"/>
      <c r="G1" s="677"/>
      <c r="H1" s="677"/>
      <c r="I1" s="677"/>
      <c r="J1" s="678"/>
    </row>
    <row r="2" spans="4:10" ht="16.5" thickBot="1">
      <c r="D2" s="679" t="s">
        <v>167</v>
      </c>
      <c r="E2" s="680"/>
      <c r="F2" s="680"/>
      <c r="G2" s="680"/>
      <c r="H2" s="680"/>
      <c r="I2" s="680"/>
      <c r="J2" s="681"/>
    </row>
    <row r="3" spans="4:10" ht="16.5" thickBot="1">
      <c r="D3" s="576" t="s">
        <v>45</v>
      </c>
      <c r="E3" s="578"/>
      <c r="F3" s="191" t="s">
        <v>46</v>
      </c>
      <c r="G3" s="86" t="s">
        <v>47</v>
      </c>
      <c r="H3" s="193" t="s">
        <v>48</v>
      </c>
      <c r="I3" s="86" t="s">
        <v>49</v>
      </c>
      <c r="J3" s="192" t="s">
        <v>50</v>
      </c>
    </row>
    <row r="4" spans="4:10" ht="18.75">
      <c r="D4" s="684" t="s">
        <v>12</v>
      </c>
      <c r="E4" s="685"/>
      <c r="F4" s="97">
        <v>202639.8</v>
      </c>
      <c r="G4" s="98">
        <f>F4*(1+2.5%)</f>
        <v>207705.79499999998</v>
      </c>
      <c r="H4" s="98">
        <v>232253.46771607685</v>
      </c>
      <c r="I4" s="98">
        <v>238059.80440897873</v>
      </c>
      <c r="J4" s="98">
        <v>244011.29951920314</v>
      </c>
    </row>
    <row r="5" spans="4:10" ht="19.5" thickBot="1">
      <c r="D5" s="684" t="s">
        <v>111</v>
      </c>
      <c r="E5" s="685"/>
      <c r="F5" s="101">
        <v>165532.92293940895</v>
      </c>
      <c r="G5" s="102">
        <v>157286.16800000001</v>
      </c>
      <c r="H5" s="103">
        <v>161218.3222</v>
      </c>
      <c r="I5" s="102">
        <v>165248.78025499999</v>
      </c>
      <c r="J5" s="104">
        <v>169379.99976137499</v>
      </c>
    </row>
    <row r="6" spans="4:10" ht="19.5" thickBot="1">
      <c r="D6" s="686" t="s">
        <v>101</v>
      </c>
      <c r="E6" s="687"/>
      <c r="F6" s="105">
        <f>F4-F5</f>
        <v>37106.877060591039</v>
      </c>
      <c r="G6" s="106">
        <f>G4-G5</f>
        <v>50419.626999999979</v>
      </c>
      <c r="H6" s="107">
        <f>H4-H5</f>
        <v>71035.145516076853</v>
      </c>
      <c r="I6" s="106">
        <f>I4-I5</f>
        <v>72811.024153978738</v>
      </c>
      <c r="J6" s="108">
        <f>J4-J5</f>
        <v>74631.29975782815</v>
      </c>
    </row>
    <row r="7" spans="4:10" ht="18.75">
      <c r="D7" s="688" t="s">
        <v>17</v>
      </c>
      <c r="E7" s="689"/>
      <c r="F7" s="81"/>
      <c r="G7" s="80"/>
      <c r="H7" s="82"/>
      <c r="I7" s="80"/>
      <c r="J7" s="83"/>
    </row>
    <row r="8" spans="4:10" ht="18.75">
      <c r="D8" s="684" t="s">
        <v>18</v>
      </c>
      <c r="E8" s="685"/>
      <c r="F8" s="97">
        <v>25467.999999999996</v>
      </c>
      <c r="G8" s="98">
        <v>27268</v>
      </c>
      <c r="H8" s="98">
        <v>27268</v>
      </c>
      <c r="I8" s="98">
        <v>27268</v>
      </c>
      <c r="J8" s="98">
        <v>27268</v>
      </c>
    </row>
    <row r="9" spans="4:10" ht="18.75">
      <c r="D9" s="684" t="s">
        <v>19</v>
      </c>
      <c r="E9" s="685"/>
      <c r="F9" s="97">
        <v>3600</v>
      </c>
      <c r="G9" s="98">
        <v>3600</v>
      </c>
      <c r="H9" s="99">
        <v>3600</v>
      </c>
      <c r="I9" s="98">
        <v>3600</v>
      </c>
      <c r="J9" s="100">
        <v>3600</v>
      </c>
    </row>
    <row r="10" spans="4:10" ht="18.75">
      <c r="D10" s="684" t="s">
        <v>20</v>
      </c>
      <c r="E10" s="685"/>
      <c r="F10" s="97">
        <v>1697.0999999999997</v>
      </c>
      <c r="G10" s="98">
        <v>1697.0999999999997</v>
      </c>
      <c r="H10" s="99">
        <v>1697.0999999999997</v>
      </c>
      <c r="I10" s="98">
        <v>1697.0999999999997</v>
      </c>
      <c r="J10" s="100">
        <v>1659.7199999999996</v>
      </c>
    </row>
    <row r="11" spans="4:10" ht="18.75">
      <c r="D11" s="684" t="s">
        <v>21</v>
      </c>
      <c r="E11" s="685"/>
      <c r="F11" s="97">
        <v>360</v>
      </c>
      <c r="G11" s="98">
        <v>360</v>
      </c>
      <c r="H11" s="99">
        <v>360</v>
      </c>
      <c r="I11" s="98">
        <v>360</v>
      </c>
      <c r="J11" s="100">
        <v>360</v>
      </c>
    </row>
    <row r="12" spans="4:10" ht="18.75">
      <c r="D12" s="684" t="s">
        <v>51</v>
      </c>
      <c r="E12" s="685"/>
      <c r="F12" s="97">
        <v>279.62399999999997</v>
      </c>
      <c r="G12" s="97">
        <v>279.62399999999997</v>
      </c>
      <c r="H12" s="97">
        <v>279.62399999999997</v>
      </c>
      <c r="I12" s="97">
        <v>279.62399999999997</v>
      </c>
      <c r="J12" s="97">
        <v>279.62399999999997</v>
      </c>
    </row>
    <row r="13" spans="4:10" ht="19.5" thickBot="1">
      <c r="D13" s="684" t="s">
        <v>23</v>
      </c>
      <c r="E13" s="685"/>
      <c r="F13" s="101">
        <v>513.99999999999989</v>
      </c>
      <c r="G13" s="102">
        <v>513.99999999999989</v>
      </c>
      <c r="H13" s="103">
        <v>513.99999999999989</v>
      </c>
      <c r="I13" s="102">
        <v>513.99999999999989</v>
      </c>
      <c r="J13" s="104">
        <v>513.99999999999989</v>
      </c>
    </row>
    <row r="14" spans="4:10" ht="18.75">
      <c r="D14" s="686" t="s">
        <v>24</v>
      </c>
      <c r="E14" s="687"/>
      <c r="F14" s="105">
        <f>SUM(F8:F13)</f>
        <v>31918.723999999995</v>
      </c>
      <c r="G14" s="106">
        <f>SUM(G8:G13)</f>
        <v>33718.724000000002</v>
      </c>
      <c r="H14" s="107">
        <f>SUM(H8:H13)</f>
        <v>33718.724000000002</v>
      </c>
      <c r="I14" s="106">
        <f>SUM(I8:I13)</f>
        <v>33718.724000000002</v>
      </c>
      <c r="J14" s="108">
        <f>SUM(J8:J13)</f>
        <v>33681.344000000005</v>
      </c>
    </row>
    <row r="15" spans="4:10" ht="18.75">
      <c r="D15" s="684"/>
      <c r="E15" s="685"/>
      <c r="F15" s="81"/>
      <c r="G15" s="80"/>
      <c r="H15" s="82"/>
      <c r="I15" s="80"/>
      <c r="J15" s="83"/>
    </row>
    <row r="16" spans="4:10" ht="18.75">
      <c r="D16" s="693" t="s">
        <v>25</v>
      </c>
      <c r="E16" s="694"/>
      <c r="F16" s="81"/>
      <c r="G16" s="80"/>
      <c r="H16" s="82"/>
      <c r="I16" s="80"/>
      <c r="J16" s="83"/>
    </row>
    <row r="17" spans="4:10" ht="18.75">
      <c r="D17" s="684" t="s">
        <v>52</v>
      </c>
      <c r="E17" s="685"/>
      <c r="F17" s="97">
        <v>8468.0000000000018</v>
      </c>
      <c r="G17" s="98">
        <v>9052</v>
      </c>
      <c r="H17" s="98">
        <v>9052</v>
      </c>
      <c r="I17" s="98">
        <v>9052</v>
      </c>
      <c r="J17" s="98">
        <v>9052</v>
      </c>
    </row>
    <row r="18" spans="4:10" ht="18.75">
      <c r="D18" s="684" t="s">
        <v>26</v>
      </c>
      <c r="E18" s="685"/>
      <c r="F18" s="97">
        <v>3600</v>
      </c>
      <c r="G18" s="98">
        <v>3600</v>
      </c>
      <c r="H18" s="99">
        <v>3600</v>
      </c>
      <c r="I18" s="98">
        <v>3600</v>
      </c>
      <c r="J18" s="100">
        <v>3600</v>
      </c>
    </row>
    <row r="19" spans="4:10" ht="18.75">
      <c r="D19" s="686" t="s">
        <v>102</v>
      </c>
      <c r="E19" s="687"/>
      <c r="F19" s="109">
        <f>F17+F18</f>
        <v>12068.000000000002</v>
      </c>
      <c r="G19" s="110">
        <f>G17+G18</f>
        <v>12652</v>
      </c>
      <c r="H19" s="111">
        <f>H17+H18</f>
        <v>12652</v>
      </c>
      <c r="I19" s="110">
        <f>I17+I18</f>
        <v>12652</v>
      </c>
      <c r="J19" s="112">
        <f>J17+J18</f>
        <v>12652</v>
      </c>
    </row>
    <row r="20" spans="4:10" ht="18.75">
      <c r="D20" s="684"/>
      <c r="E20" s="685"/>
      <c r="F20" s="81"/>
      <c r="G20" s="80"/>
      <c r="H20" s="82"/>
      <c r="I20" s="80"/>
      <c r="J20" s="83"/>
    </row>
    <row r="21" spans="4:10" ht="18.75">
      <c r="D21" s="693" t="s">
        <v>53</v>
      </c>
      <c r="E21" s="694"/>
      <c r="F21" s="81"/>
      <c r="G21" s="80"/>
      <c r="H21" s="82"/>
      <c r="I21" s="80"/>
      <c r="J21" s="83"/>
    </row>
    <row r="22" spans="4:10" ht="19.5" thickBot="1">
      <c r="D22" s="684" t="s">
        <v>54</v>
      </c>
      <c r="E22" s="685"/>
      <c r="F22" s="101">
        <v>4193.0238193388559</v>
      </c>
      <c r="G22" s="102">
        <v>3517.7368706271723</v>
      </c>
      <c r="H22" s="103">
        <v>2769.1812879802706</v>
      </c>
      <c r="I22" s="102">
        <v>1939.4074246161802</v>
      </c>
      <c r="J22" s="104">
        <v>1019.603097077086</v>
      </c>
    </row>
    <row r="23" spans="4:10" ht="18.75">
      <c r="D23" s="686" t="s">
        <v>103</v>
      </c>
      <c r="E23" s="687"/>
      <c r="F23" s="105">
        <f>F22</f>
        <v>4193.0238193388559</v>
      </c>
      <c r="G23" s="106">
        <f>G22</f>
        <v>3517.7368706271723</v>
      </c>
      <c r="H23" s="107">
        <f>H22</f>
        <v>2769.1812879802706</v>
      </c>
      <c r="I23" s="106">
        <f>I22</f>
        <v>1939.4074246161802</v>
      </c>
      <c r="J23" s="108">
        <f>J22</f>
        <v>1019.603097077086</v>
      </c>
    </row>
    <row r="24" spans="4:10" ht="18.75">
      <c r="D24" s="684" t="s">
        <v>55</v>
      </c>
      <c r="E24" s="685"/>
      <c r="F24" s="170">
        <f>F6-F14-F19-F22</f>
        <v>-11072.870758747813</v>
      </c>
      <c r="G24" s="98">
        <f>G6-G14-G19-G22</f>
        <v>531.16612937280433</v>
      </c>
      <c r="H24" s="99">
        <f>H6-H14-H19-H22</f>
        <v>21895.24022809658</v>
      </c>
      <c r="I24" s="98">
        <f>I6-I14-I19-I22</f>
        <v>24500.892729362557</v>
      </c>
      <c r="J24" s="100">
        <f>J6-J14-J19-J22</f>
        <v>27278.352660751061</v>
      </c>
    </row>
    <row r="25" spans="4:10" ht="18.75">
      <c r="D25" s="684" t="s">
        <v>56</v>
      </c>
      <c r="E25" s="685"/>
      <c r="F25" s="171">
        <f>IF(F24&gt;0,F24*15%,0)</f>
        <v>0</v>
      </c>
      <c r="G25" s="171">
        <f t="shared" ref="G25:J25" si="0">IF(G24&gt;0,G24*15%,0)</f>
        <v>79.674919405920647</v>
      </c>
      <c r="H25" s="171">
        <f t="shared" si="0"/>
        <v>3284.2860342144868</v>
      </c>
      <c r="I25" s="171">
        <f t="shared" si="0"/>
        <v>3675.1339094043833</v>
      </c>
      <c r="J25" s="171">
        <f t="shared" si="0"/>
        <v>4091.7528991126592</v>
      </c>
    </row>
    <row r="26" spans="4:10" ht="18.75">
      <c r="D26" s="684" t="s">
        <v>57</v>
      </c>
      <c r="E26" s="685"/>
      <c r="F26" s="170">
        <f>F24-F25</f>
        <v>-11072.870758747813</v>
      </c>
      <c r="G26" s="98">
        <f>G24-G25</f>
        <v>451.49120996688367</v>
      </c>
      <c r="H26" s="99">
        <f>H24-H25</f>
        <v>18610.954193882091</v>
      </c>
      <c r="I26" s="98">
        <f>I24-I25</f>
        <v>20825.758819958173</v>
      </c>
      <c r="J26" s="100">
        <f>J24-J25</f>
        <v>23186.599761638401</v>
      </c>
    </row>
    <row r="27" spans="4:10" ht="19.5" thickBot="1">
      <c r="D27" s="684" t="s">
        <v>166</v>
      </c>
      <c r="E27" s="685"/>
      <c r="F27" s="102">
        <f>IF(F26&gt;0,F26*22%,0)</f>
        <v>0</v>
      </c>
      <c r="G27" s="102">
        <f t="shared" ref="G27:J27" si="1">IF(G26&gt;0,G26*22%,0)</f>
        <v>99.328066192714402</v>
      </c>
      <c r="H27" s="102">
        <f t="shared" si="1"/>
        <v>4094.4099226540602</v>
      </c>
      <c r="I27" s="102">
        <f t="shared" si="1"/>
        <v>4581.6669403907981</v>
      </c>
      <c r="J27" s="102">
        <f t="shared" si="1"/>
        <v>5101.0519475604478</v>
      </c>
    </row>
    <row r="28" spans="4:10" ht="19.5" thickBot="1">
      <c r="D28" s="704" t="s">
        <v>58</v>
      </c>
      <c r="E28" s="705"/>
      <c r="F28" s="168">
        <f>F26-F27</f>
        <v>-11072.870758747813</v>
      </c>
      <c r="G28" s="114">
        <f>G26-G27</f>
        <v>352.16314377416927</v>
      </c>
      <c r="H28" s="115">
        <f>H26-H27</f>
        <v>14516.544271228031</v>
      </c>
      <c r="I28" s="114">
        <f>I26-I27</f>
        <v>16244.091879567375</v>
      </c>
      <c r="J28" s="116">
        <f>J26-J27</f>
        <v>18085.547814077952</v>
      </c>
    </row>
    <row r="29" spans="4:10" ht="18.75">
      <c r="D29" s="711"/>
      <c r="E29" s="712"/>
      <c r="F29" s="117"/>
      <c r="G29" s="117"/>
      <c r="H29" s="117"/>
      <c r="I29" s="117"/>
      <c r="J29" s="118"/>
    </row>
    <row r="30" spans="4:10" ht="18.75">
      <c r="D30" s="684" t="s">
        <v>138</v>
      </c>
      <c r="E30" s="710"/>
      <c r="F30" s="99">
        <f>9388.63+F12</f>
        <v>9668.253999999999</v>
      </c>
      <c r="G30" s="99">
        <f>9388.63+G12</f>
        <v>9668.253999999999</v>
      </c>
      <c r="H30" s="99">
        <f>9388.63+H12</f>
        <v>9668.253999999999</v>
      </c>
      <c r="I30" s="99">
        <f>9388.63+I12</f>
        <v>9668.253999999999</v>
      </c>
      <c r="J30" s="100">
        <f>9388.63+J12</f>
        <v>9668.253999999999</v>
      </c>
    </row>
    <row r="31" spans="4:10" ht="19.5" thickBot="1">
      <c r="D31" s="684" t="s">
        <v>95</v>
      </c>
      <c r="E31" s="710"/>
      <c r="F31" s="103">
        <v>6223.842845268975</v>
      </c>
      <c r="G31" s="103">
        <v>6899.1297939806591</v>
      </c>
      <c r="H31" s="103">
        <v>7647.6853766275599</v>
      </c>
      <c r="I31" s="103">
        <v>8477.459239991651</v>
      </c>
      <c r="J31" s="104">
        <v>9397.2635675307447</v>
      </c>
    </row>
    <row r="32" spans="4:10" ht="18.75">
      <c r="D32" s="89" t="s">
        <v>139</v>
      </c>
      <c r="E32" s="90"/>
      <c r="F32" s="107">
        <f>F28+F30-F31</f>
        <v>-7628.4596040167889</v>
      </c>
      <c r="G32" s="107">
        <f>G28+G30-G31</f>
        <v>3121.2873497935088</v>
      </c>
      <c r="H32" s="107">
        <f>H28+H30-H31</f>
        <v>16537.112894600468</v>
      </c>
      <c r="I32" s="107">
        <f>I28+I30-I31</f>
        <v>17434.886639575721</v>
      </c>
      <c r="J32" s="108">
        <f>J28+J30-J31</f>
        <v>18356.538246547207</v>
      </c>
    </row>
    <row r="33" spans="4:10" ht="18.75">
      <c r="D33" s="10" t="s">
        <v>96</v>
      </c>
      <c r="E33" s="84">
        <v>-66051.899999999994</v>
      </c>
      <c r="F33" s="82"/>
      <c r="G33" s="82"/>
      <c r="H33" s="82"/>
      <c r="I33" s="82"/>
      <c r="J33" s="83"/>
    </row>
    <row r="34" spans="4:10" ht="18.75">
      <c r="D34" s="10" t="s">
        <v>104</v>
      </c>
      <c r="E34" s="84"/>
      <c r="F34" s="82"/>
      <c r="G34" s="82"/>
      <c r="H34" s="82"/>
      <c r="I34" s="84">
        <v>-3866</v>
      </c>
      <c r="J34" s="83"/>
    </row>
    <row r="35" spans="4:10" ht="18.75">
      <c r="D35" s="10" t="s">
        <v>97</v>
      </c>
      <c r="E35" s="84">
        <v>-19826.724051999052</v>
      </c>
      <c r="F35" s="82"/>
      <c r="G35" s="82"/>
      <c r="H35" s="82"/>
      <c r="I35" s="82"/>
      <c r="J35" s="83"/>
    </row>
    <row r="36" spans="4:10" ht="18.75">
      <c r="D36" s="10" t="s">
        <v>98</v>
      </c>
      <c r="E36" s="84">
        <v>38645.380823399595</v>
      </c>
      <c r="F36" s="82"/>
      <c r="G36" s="82"/>
      <c r="H36" s="82"/>
      <c r="I36" s="82"/>
      <c r="J36" s="100"/>
    </row>
    <row r="37" spans="4:10" ht="18.75">
      <c r="D37" s="10" t="s">
        <v>99</v>
      </c>
      <c r="E37" s="82"/>
      <c r="F37" s="99"/>
      <c r="G37" s="99"/>
      <c r="H37" s="99"/>
      <c r="I37" s="99"/>
      <c r="J37" s="100">
        <v>47173.583633268579</v>
      </c>
    </row>
    <row r="38" spans="4:10" ht="18.75">
      <c r="D38" s="10" t="s">
        <v>105</v>
      </c>
      <c r="E38" s="119">
        <f>E33+E35+E36</f>
        <v>-47233.243228599444</v>
      </c>
      <c r="F38" s="99">
        <f>F32</f>
        <v>-7628.4596040167889</v>
      </c>
      <c r="G38" s="99">
        <f>G32</f>
        <v>3121.2873497935088</v>
      </c>
      <c r="H38" s="99">
        <f>H32</f>
        <v>16537.112894600468</v>
      </c>
      <c r="I38" s="99">
        <f>I32-I34</f>
        <v>21300.886639575721</v>
      </c>
      <c r="J38" s="100">
        <f>J32+J37</f>
        <v>65530.121879815786</v>
      </c>
    </row>
    <row r="39" spans="4:10" ht="18.75">
      <c r="D39" s="10" t="s">
        <v>106</v>
      </c>
      <c r="E39" s="120">
        <v>0.170567</v>
      </c>
      <c r="F39" s="93"/>
      <c r="G39" s="93"/>
      <c r="H39" s="93"/>
      <c r="I39" s="93"/>
      <c r="J39" s="94"/>
    </row>
    <row r="40" spans="4:10" ht="18.75">
      <c r="D40" s="92" t="s">
        <v>107</v>
      </c>
      <c r="E40" s="121">
        <f>IRR(E38:J38)</f>
        <v>0.1705669999999998</v>
      </c>
      <c r="F40" s="93"/>
      <c r="G40" s="93"/>
      <c r="H40" s="93"/>
      <c r="I40" s="93"/>
      <c r="J40" s="94"/>
    </row>
    <row r="41" spans="4:10" ht="19.5" thickBot="1">
      <c r="D41" s="91" t="s">
        <v>108</v>
      </c>
      <c r="E41" s="122">
        <f>NPV(E39,F38:J38)+E38</f>
        <v>0</v>
      </c>
      <c r="F41" s="95"/>
      <c r="G41" s="95"/>
      <c r="H41" s="95"/>
      <c r="I41" s="95"/>
      <c r="J41" s="96"/>
    </row>
  </sheetData>
  <mergeCells count="31">
    <mergeCell ref="D12:E12"/>
    <mergeCell ref="D1:J1"/>
    <mergeCell ref="D2:J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1:E31"/>
    <mergeCell ref="D25:E25"/>
    <mergeCell ref="D26:E26"/>
    <mergeCell ref="D27:E27"/>
    <mergeCell ref="D28:E28"/>
    <mergeCell ref="D29:E29"/>
    <mergeCell ref="D30:E3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4:E20"/>
  <sheetViews>
    <sheetView topLeftCell="A13" workbookViewId="0">
      <selection activeCell="D26" sqref="D26"/>
    </sheetView>
  </sheetViews>
  <sheetFormatPr baseColWidth="10" defaultRowHeight="15"/>
  <cols>
    <col min="2" max="2" width="12.7109375" customWidth="1"/>
    <col min="5" max="5" width="14.28515625" bestFit="1" customWidth="1"/>
  </cols>
  <sheetData>
    <row r="4" spans="2:5" ht="15.75" thickBot="1"/>
    <row r="5" spans="2:5" ht="15.75" thickBot="1">
      <c r="B5" s="716" t="s">
        <v>339</v>
      </c>
      <c r="C5" s="717"/>
      <c r="D5" s="717"/>
      <c r="E5" s="718"/>
    </row>
    <row r="6" spans="2:5">
      <c r="B6" s="538" t="s">
        <v>340</v>
      </c>
      <c r="C6" s="539" t="s">
        <v>108</v>
      </c>
      <c r="D6" s="539" t="s">
        <v>107</v>
      </c>
      <c r="E6" s="540" t="s">
        <v>341</v>
      </c>
    </row>
    <row r="7" spans="2:5">
      <c r="B7" s="541">
        <v>-0.09</v>
      </c>
      <c r="C7" s="542">
        <v>-32173.761494614759</v>
      </c>
      <c r="D7" s="543">
        <v>-1.3536535697764649E-2</v>
      </c>
      <c r="E7" s="544" t="s">
        <v>342</v>
      </c>
    </row>
    <row r="8" spans="2:5">
      <c r="B8" s="541">
        <v>-0.06</v>
      </c>
      <c r="C8" s="542">
        <v>-18105.13516874388</v>
      </c>
      <c r="D8" s="543">
        <v>6.7227380914609072E-2</v>
      </c>
      <c r="E8" s="544" t="s">
        <v>342</v>
      </c>
    </row>
    <row r="9" spans="2:5">
      <c r="B9" s="541">
        <v>-0.03</v>
      </c>
      <c r="C9" s="542">
        <v>-4036.5088428729068</v>
      </c>
      <c r="D9" s="543">
        <v>0.14756492295508067</v>
      </c>
      <c r="E9" s="544" t="s">
        <v>342</v>
      </c>
    </row>
    <row r="10" spans="2:5">
      <c r="B10" s="541">
        <v>0</v>
      </c>
      <c r="C10" s="542">
        <v>10031.809010883801</v>
      </c>
      <c r="D10" s="543">
        <v>0.22768202367235352</v>
      </c>
      <c r="E10" s="544" t="s">
        <v>343</v>
      </c>
    </row>
    <row r="11" spans="2:5">
      <c r="B11" s="541">
        <v>0.03</v>
      </c>
      <c r="C11" s="542">
        <v>24100.743808869011</v>
      </c>
      <c r="D11" s="543">
        <v>0.3077387478669435</v>
      </c>
      <c r="E11" s="544" t="s">
        <v>343</v>
      </c>
    </row>
    <row r="12" spans="2:5" ht="15.75" thickBot="1">
      <c r="B12" s="545">
        <v>0.06</v>
      </c>
      <c r="C12" s="546">
        <v>38169.370134739976</v>
      </c>
      <c r="D12" s="547">
        <v>0.38784141077154027</v>
      </c>
      <c r="E12" s="548" t="s">
        <v>343</v>
      </c>
    </row>
    <row r="13" spans="2:5" ht="15.75" thickBot="1"/>
    <row r="14" spans="2:5" ht="15.75" thickBot="1">
      <c r="B14" s="716" t="s">
        <v>344</v>
      </c>
      <c r="C14" s="717"/>
      <c r="D14" s="717"/>
      <c r="E14" s="718"/>
    </row>
    <row r="15" spans="2:5">
      <c r="B15" s="549" t="s">
        <v>340</v>
      </c>
      <c r="C15" s="550" t="s">
        <v>108</v>
      </c>
      <c r="D15" s="550" t="s">
        <v>107</v>
      </c>
      <c r="E15" s="540" t="s">
        <v>341</v>
      </c>
    </row>
    <row r="16" spans="2:5">
      <c r="B16" s="551">
        <v>-0.06</v>
      </c>
      <c r="C16" s="552">
        <v>30378.319465964552</v>
      </c>
      <c r="D16" s="553">
        <v>0.34431294883523289</v>
      </c>
      <c r="E16" s="544" t="s">
        <v>343</v>
      </c>
    </row>
    <row r="17" spans="2:5">
      <c r="B17" s="551">
        <v>-0.03</v>
      </c>
      <c r="C17" s="552">
        <v>20205.06423842418</v>
      </c>
      <c r="D17" s="553">
        <v>0.28585741244766905</v>
      </c>
      <c r="E17" s="544" t="s">
        <v>343</v>
      </c>
    </row>
    <row r="18" spans="2:5">
      <c r="B18" s="551">
        <v>0</v>
      </c>
      <c r="C18" s="552">
        <v>10031.809010883801</v>
      </c>
      <c r="D18" s="553">
        <v>0.22768202367235352</v>
      </c>
      <c r="E18" s="544" t="s">
        <v>343</v>
      </c>
    </row>
    <row r="19" spans="2:5">
      <c r="B19" s="551">
        <v>0.03</v>
      </c>
      <c r="C19" s="552">
        <v>-141.44621665657178</v>
      </c>
      <c r="D19" s="553">
        <v>0.16976333147336395</v>
      </c>
      <c r="E19" s="544" t="s">
        <v>342</v>
      </c>
    </row>
    <row r="20" spans="2:5" ht="15.75" thickBot="1">
      <c r="B20" s="554">
        <v>0.06</v>
      </c>
      <c r="C20" s="555">
        <v>-10314.701444196944</v>
      </c>
      <c r="D20" s="556">
        <v>0.1120668892703371</v>
      </c>
      <c r="E20" s="548" t="s">
        <v>342</v>
      </c>
    </row>
  </sheetData>
  <mergeCells count="2">
    <mergeCell ref="B5:E5"/>
    <mergeCell ref="B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9"/>
  <sheetViews>
    <sheetView topLeftCell="A43" workbookViewId="0">
      <selection activeCell="A25" sqref="A25:XFD25"/>
    </sheetView>
  </sheetViews>
  <sheetFormatPr baseColWidth="10" defaultRowHeight="15"/>
  <cols>
    <col min="2" max="2" width="45.28515625" customWidth="1"/>
    <col min="4" max="5" width="13.28515625" bestFit="1" customWidth="1"/>
    <col min="7" max="7" width="14.5703125" customWidth="1"/>
    <col min="11" max="11" width="15.140625" customWidth="1"/>
    <col min="12" max="12" width="17" bestFit="1" customWidth="1"/>
  </cols>
  <sheetData>
    <row r="2" spans="2:12" ht="15.75" thickBot="1"/>
    <row r="3" spans="2:12" ht="24" thickBot="1">
      <c r="B3" s="596" t="s">
        <v>15</v>
      </c>
      <c r="C3" s="597"/>
      <c r="D3" s="597"/>
      <c r="E3" s="597"/>
      <c r="F3" s="597"/>
      <c r="G3" s="597"/>
      <c r="H3" s="597"/>
      <c r="I3" s="597"/>
      <c r="J3" s="597"/>
      <c r="K3" s="597"/>
      <c r="L3" s="598"/>
    </row>
    <row r="4" spans="2:12" ht="15.75" thickBot="1">
      <c r="B4" s="371"/>
    </row>
    <row r="5" spans="2:12" ht="19.5" thickBot="1">
      <c r="B5" s="593" t="s">
        <v>213</v>
      </c>
      <c r="C5" s="594"/>
      <c r="D5" s="594"/>
      <c r="E5" s="594"/>
      <c r="F5" s="594"/>
      <c r="G5" s="594"/>
      <c r="H5" s="594"/>
      <c r="I5" s="594"/>
      <c r="J5" s="594"/>
      <c r="K5" s="594"/>
      <c r="L5" s="595"/>
    </row>
    <row r="6" spans="2:12" ht="15.75" thickBot="1">
      <c r="B6" s="582" t="s">
        <v>208</v>
      </c>
      <c r="C6" s="583"/>
      <c r="D6" s="583"/>
      <c r="E6" s="583"/>
      <c r="F6" s="583"/>
      <c r="G6" s="583"/>
      <c r="H6" s="583"/>
      <c r="I6" s="583"/>
      <c r="J6" s="583"/>
      <c r="K6" s="583"/>
      <c r="L6" s="584"/>
    </row>
    <row r="7" spans="2:12" ht="26.25" thickBot="1">
      <c r="B7" s="619" t="s">
        <v>192</v>
      </c>
      <c r="C7" s="621" t="s">
        <v>193</v>
      </c>
      <c r="D7" s="623" t="s">
        <v>194</v>
      </c>
      <c r="E7" s="625" t="s">
        <v>195</v>
      </c>
      <c r="F7" s="625"/>
      <c r="G7" s="625"/>
      <c r="H7" s="626"/>
      <c r="I7" s="259" t="s">
        <v>196</v>
      </c>
      <c r="J7" s="621" t="s">
        <v>197</v>
      </c>
      <c r="K7" s="628" t="s">
        <v>198</v>
      </c>
      <c r="L7" s="630" t="s">
        <v>199</v>
      </c>
    </row>
    <row r="8" spans="2:12" ht="26.25" thickBot="1">
      <c r="B8" s="620"/>
      <c r="C8" s="622"/>
      <c r="D8" s="624"/>
      <c r="E8" s="260" t="s">
        <v>200</v>
      </c>
      <c r="F8" s="261" t="s">
        <v>201</v>
      </c>
      <c r="G8" s="260" t="s">
        <v>202</v>
      </c>
      <c r="H8" s="262" t="s">
        <v>203</v>
      </c>
      <c r="I8" s="263">
        <v>9.35E-2</v>
      </c>
      <c r="J8" s="627"/>
      <c r="K8" s="629"/>
      <c r="L8" s="631"/>
    </row>
    <row r="9" spans="2:12" ht="16.5" thickBot="1">
      <c r="B9" s="264" t="s">
        <v>204</v>
      </c>
      <c r="C9" s="362">
        <v>1</v>
      </c>
      <c r="D9" s="300">
        <v>292</v>
      </c>
      <c r="E9" s="363">
        <f>(D9*12)/12</f>
        <v>292</v>
      </c>
      <c r="F9" s="300">
        <f>C9*D9</f>
        <v>292</v>
      </c>
      <c r="G9" s="363">
        <f t="shared" ref="G9:G12" si="0">(D9*12)/12</f>
        <v>292</v>
      </c>
      <c r="H9" s="299">
        <f t="shared" ref="H9:H12" si="1">(D9*12)/24</f>
        <v>146</v>
      </c>
      <c r="I9" s="212">
        <f>D9*$I$8</f>
        <v>27.302</v>
      </c>
      <c r="J9" s="363">
        <v>292</v>
      </c>
      <c r="K9" s="300">
        <f>(D9*12)+E9+F9+H9</f>
        <v>4234</v>
      </c>
      <c r="L9" s="300">
        <f>K9+J9</f>
        <v>4526</v>
      </c>
    </row>
    <row r="10" spans="2:12" ht="32.25" thickBot="1">
      <c r="B10" s="264" t="s">
        <v>205</v>
      </c>
      <c r="C10" s="362">
        <v>2</v>
      </c>
      <c r="D10" s="240">
        <f>D9*C10</f>
        <v>584</v>
      </c>
      <c r="E10" s="241">
        <f t="shared" ref="E10:E12" si="2">(D10*12)/12</f>
        <v>584</v>
      </c>
      <c r="F10" s="240">
        <f>F9*C10</f>
        <v>584</v>
      </c>
      <c r="G10" s="238">
        <f t="shared" si="0"/>
        <v>584</v>
      </c>
      <c r="H10" s="241">
        <f t="shared" si="1"/>
        <v>292</v>
      </c>
      <c r="I10" s="212">
        <f t="shared" ref="I10:I12" si="3">D10*$I$8</f>
        <v>54.603999999999999</v>
      </c>
      <c r="J10" s="241">
        <v>584</v>
      </c>
      <c r="K10" s="240">
        <f>(D10*12)+E10+F10+H10</f>
        <v>8468</v>
      </c>
      <c r="L10" s="240">
        <f>K10+J10</f>
        <v>9052</v>
      </c>
    </row>
    <row r="11" spans="2:12" ht="16.5" thickBot="1">
      <c r="B11" s="264" t="s">
        <v>206</v>
      </c>
      <c r="C11" s="362">
        <v>1</v>
      </c>
      <c r="D11" s="240">
        <v>292</v>
      </c>
      <c r="E11" s="241">
        <f t="shared" si="2"/>
        <v>292</v>
      </c>
      <c r="F11" s="240">
        <f>C11*D11</f>
        <v>292</v>
      </c>
      <c r="G11" s="238">
        <f t="shared" si="0"/>
        <v>292</v>
      </c>
      <c r="H11" s="241">
        <f t="shared" si="1"/>
        <v>146</v>
      </c>
      <c r="I11" s="212">
        <f t="shared" si="3"/>
        <v>27.302</v>
      </c>
      <c r="J11" s="241">
        <v>292</v>
      </c>
      <c r="K11" s="240">
        <f>(D11*12)+E11+F11+H11</f>
        <v>4234</v>
      </c>
      <c r="L11" s="240">
        <f>K11+J11</f>
        <v>4526</v>
      </c>
    </row>
    <row r="12" spans="2:12" ht="16.5" thickBot="1">
      <c r="B12" s="267" t="s">
        <v>207</v>
      </c>
      <c r="C12" s="362">
        <v>1</v>
      </c>
      <c r="D12" s="240">
        <v>292</v>
      </c>
      <c r="E12" s="241">
        <f t="shared" si="2"/>
        <v>292</v>
      </c>
      <c r="F12" s="240">
        <f>C12*D12</f>
        <v>292</v>
      </c>
      <c r="G12" s="238">
        <f t="shared" si="0"/>
        <v>292</v>
      </c>
      <c r="H12" s="241">
        <f t="shared" si="1"/>
        <v>146</v>
      </c>
      <c r="I12" s="212">
        <f t="shared" si="3"/>
        <v>27.302</v>
      </c>
      <c r="J12" s="241">
        <v>292</v>
      </c>
      <c r="K12" s="240">
        <f>(D12*12)+E12+F12+H12</f>
        <v>4234</v>
      </c>
      <c r="L12" s="240">
        <f>K12+J12</f>
        <v>4526</v>
      </c>
    </row>
    <row r="13" spans="2:12" ht="16.5" thickBot="1">
      <c r="B13" s="268" t="s">
        <v>64</v>
      </c>
      <c r="C13" s="364">
        <f t="shared" ref="C13:H13" si="4">SUM(C9:C12)</f>
        <v>5</v>
      </c>
      <c r="D13" s="237">
        <f t="shared" si="4"/>
        <v>1460</v>
      </c>
      <c r="E13" s="244">
        <f t="shared" si="4"/>
        <v>1460</v>
      </c>
      <c r="F13" s="237">
        <f t="shared" si="4"/>
        <v>1460</v>
      </c>
      <c r="G13" s="244">
        <f t="shared" si="4"/>
        <v>1460</v>
      </c>
      <c r="H13" s="244">
        <f t="shared" si="4"/>
        <v>730</v>
      </c>
      <c r="I13" s="237">
        <f>SUM(I8:I12)</f>
        <v>136.6035</v>
      </c>
      <c r="J13" s="244">
        <f>SUM(J9:J12)</f>
        <v>1460</v>
      </c>
      <c r="K13" s="237">
        <f>SUM(K9:K12)</f>
        <v>21170</v>
      </c>
      <c r="L13" s="237">
        <f>SUM(L9:L12)</f>
        <v>22630</v>
      </c>
    </row>
    <row r="15" spans="2:12" ht="15.75" thickBot="1"/>
    <row r="16" spans="2:12" ht="16.5" thickBot="1">
      <c r="B16" s="590" t="s">
        <v>213</v>
      </c>
      <c r="C16" s="591"/>
      <c r="D16" s="591"/>
      <c r="E16" s="591"/>
      <c r="F16" s="591"/>
      <c r="G16" s="591"/>
      <c r="H16" s="591"/>
      <c r="I16" s="591"/>
      <c r="J16" s="591"/>
      <c r="K16" s="591"/>
      <c r="L16" s="592"/>
    </row>
    <row r="17" spans="2:12" ht="30.75" thickBot="1">
      <c r="B17" s="608" t="s">
        <v>192</v>
      </c>
      <c r="C17" s="610" t="s">
        <v>193</v>
      </c>
      <c r="D17" s="612" t="s">
        <v>194</v>
      </c>
      <c r="E17" s="614" t="s">
        <v>195</v>
      </c>
      <c r="F17" s="614"/>
      <c r="G17" s="614"/>
      <c r="H17" s="615"/>
      <c r="I17" s="269" t="s">
        <v>196</v>
      </c>
      <c r="J17" s="610" t="s">
        <v>197</v>
      </c>
      <c r="K17" s="617" t="s">
        <v>198</v>
      </c>
      <c r="L17" s="588" t="s">
        <v>199</v>
      </c>
    </row>
    <row r="18" spans="2:12" ht="30.75" thickBot="1">
      <c r="B18" s="609"/>
      <c r="C18" s="611"/>
      <c r="D18" s="613"/>
      <c r="E18" s="269" t="s">
        <v>200</v>
      </c>
      <c r="F18" s="269" t="s">
        <v>201</v>
      </c>
      <c r="G18" s="270" t="s">
        <v>202</v>
      </c>
      <c r="H18" s="269" t="s">
        <v>203</v>
      </c>
      <c r="I18" s="271">
        <v>9.35E-2</v>
      </c>
      <c r="J18" s="616"/>
      <c r="K18" s="618"/>
      <c r="L18" s="589"/>
    </row>
    <row r="19" spans="2:12" ht="19.5" thickBot="1">
      <c r="B19" s="272" t="s">
        <v>209</v>
      </c>
      <c r="C19" s="273">
        <v>1</v>
      </c>
      <c r="D19" s="235">
        <v>292</v>
      </c>
      <c r="E19" s="233">
        <f>(D19*12)/12</f>
        <v>292</v>
      </c>
      <c r="F19" s="233">
        <v>292</v>
      </c>
      <c r="G19" s="234">
        <f>(D19*12)/12</f>
        <v>292</v>
      </c>
      <c r="H19" s="233">
        <f>(D19*12)/24</f>
        <v>146</v>
      </c>
      <c r="I19" s="233">
        <f>D19*$I$18</f>
        <v>27.302</v>
      </c>
      <c r="J19" s="236">
        <v>292</v>
      </c>
      <c r="K19" s="250">
        <f>(D19*12)+E19+F19+H19</f>
        <v>4234</v>
      </c>
      <c r="L19" s="274">
        <f>K19+J19</f>
        <v>4526</v>
      </c>
    </row>
    <row r="20" spans="2:12" ht="19.5" thickBot="1">
      <c r="B20" s="275" t="s">
        <v>210</v>
      </c>
      <c r="C20" s="273">
        <v>1</v>
      </c>
      <c r="D20" s="245">
        <v>292</v>
      </c>
      <c r="E20" s="245">
        <f>(D20*12)/12</f>
        <v>292</v>
      </c>
      <c r="F20" s="245">
        <v>292</v>
      </c>
      <c r="G20" s="265">
        <f>(D20*12)/12</f>
        <v>292</v>
      </c>
      <c r="H20" s="245">
        <f t="shared" ref="H20:H21" si="5">(D20*12)/24</f>
        <v>146</v>
      </c>
      <c r="I20" s="233">
        <f t="shared" ref="I20:I21" si="6">D20*$I$18</f>
        <v>27.302</v>
      </c>
      <c r="J20" s="265">
        <v>292</v>
      </c>
      <c r="K20" s="245">
        <f>(D20*12)+E20+F20+H20</f>
        <v>4234</v>
      </c>
      <c r="L20" s="266">
        <f>K20+J20</f>
        <v>4526</v>
      </c>
    </row>
    <row r="21" spans="2:12" ht="19.5" thickBot="1">
      <c r="B21" s="275" t="s">
        <v>211</v>
      </c>
      <c r="C21" s="273">
        <v>1</v>
      </c>
      <c r="D21" s="245">
        <v>350</v>
      </c>
      <c r="E21" s="245">
        <f>(D21*12)/12</f>
        <v>350</v>
      </c>
      <c r="F21" s="245">
        <v>292</v>
      </c>
      <c r="G21" s="265">
        <f>(D21*12)/12</f>
        <v>350</v>
      </c>
      <c r="H21" s="245">
        <f t="shared" si="5"/>
        <v>175</v>
      </c>
      <c r="I21" s="233">
        <f t="shared" si="6"/>
        <v>32.725000000000001</v>
      </c>
      <c r="J21" s="265">
        <v>350</v>
      </c>
      <c r="K21" s="245">
        <f>(D21*12)+E21+F21+H21</f>
        <v>5017</v>
      </c>
      <c r="L21" s="266">
        <f>K21+J21</f>
        <v>5367</v>
      </c>
    </row>
    <row r="22" spans="2:12" ht="19.5" thickBot="1">
      <c r="B22" s="276" t="s">
        <v>212</v>
      </c>
      <c r="C22" s="277">
        <f>SUM(C8:C21)</f>
        <v>13</v>
      </c>
      <c r="D22" s="278">
        <f>SUM(D19:D21)</f>
        <v>934</v>
      </c>
      <c r="E22" s="278">
        <f>SUM(E19:E21)</f>
        <v>934</v>
      </c>
      <c r="F22" s="278">
        <f>SUM(F19:F21)</f>
        <v>876</v>
      </c>
      <c r="G22" s="279">
        <f t="shared" ref="G22" si="7">SUM(G8:G21)</f>
        <v>3854</v>
      </c>
      <c r="H22" s="278">
        <f>SUM(H19:H21)</f>
        <v>467</v>
      </c>
      <c r="I22" s="278">
        <f>SUM(I18:I21)</f>
        <v>87.422499999999999</v>
      </c>
      <c r="J22" s="279">
        <f>SUM(J19:J21)</f>
        <v>934</v>
      </c>
      <c r="K22" s="278">
        <f>SUM(K19:K21)</f>
        <v>13485</v>
      </c>
      <c r="L22" s="280">
        <f>SUM(L19:L21)</f>
        <v>14419</v>
      </c>
    </row>
    <row r="24" spans="2:12" ht="15.75" thickBot="1"/>
    <row r="25" spans="2:12">
      <c r="B25" s="599" t="s">
        <v>262</v>
      </c>
      <c r="C25" s="600"/>
      <c r="D25" s="600"/>
      <c r="E25" s="600"/>
      <c r="F25" s="600"/>
      <c r="G25" s="600"/>
      <c r="H25" s="600"/>
      <c r="I25" s="600"/>
      <c r="J25" s="600"/>
      <c r="K25" s="600"/>
      <c r="L25" s="601"/>
    </row>
    <row r="26" spans="2:12" ht="15.75" thickBot="1">
      <c r="B26" s="602"/>
      <c r="C26" s="603"/>
      <c r="D26" s="603"/>
      <c r="E26" s="603"/>
      <c r="F26" s="603"/>
      <c r="G26" s="603"/>
      <c r="H26" s="603"/>
      <c r="I26" s="603"/>
      <c r="J26" s="603"/>
      <c r="K26" s="603"/>
      <c r="L26" s="604"/>
    </row>
    <row r="27" spans="2:12" ht="17.25" thickBot="1">
      <c r="B27" s="605" t="s">
        <v>263</v>
      </c>
      <c r="C27" s="606"/>
      <c r="D27" s="606"/>
      <c r="E27" s="606"/>
      <c r="F27" s="606"/>
      <c r="G27" s="606"/>
      <c r="H27" s="606"/>
      <c r="I27" s="606"/>
      <c r="J27" s="606"/>
      <c r="K27" s="606"/>
      <c r="L27" s="607"/>
    </row>
    <row r="28" spans="2:12" ht="17.25" thickBot="1">
      <c r="B28" s="372" t="s">
        <v>264</v>
      </c>
      <c r="C28" s="373" t="s">
        <v>265</v>
      </c>
      <c r="D28" s="373" t="s">
        <v>235</v>
      </c>
      <c r="E28" s="373" t="s">
        <v>266</v>
      </c>
      <c r="F28" s="374" t="s">
        <v>267</v>
      </c>
      <c r="G28" s="375" t="s">
        <v>268</v>
      </c>
      <c r="H28" s="375" t="s">
        <v>269</v>
      </c>
      <c r="I28" s="376" t="s">
        <v>47</v>
      </c>
      <c r="J28" s="375" t="s">
        <v>48</v>
      </c>
      <c r="K28" s="376" t="s">
        <v>49</v>
      </c>
      <c r="L28" s="375" t="s">
        <v>50</v>
      </c>
    </row>
    <row r="29" spans="2:12" ht="16.5">
      <c r="B29" s="377" t="s">
        <v>270</v>
      </c>
      <c r="C29" s="378" t="s">
        <v>271</v>
      </c>
      <c r="D29" s="379">
        <v>1E-3</v>
      </c>
      <c r="E29" s="380">
        <v>250</v>
      </c>
      <c r="F29" s="381">
        <f>D29*E29</f>
        <v>0.25</v>
      </c>
      <c r="G29" s="300">
        <f>F29*30</f>
        <v>7.5</v>
      </c>
      <c r="H29" s="300">
        <f>G29*12</f>
        <v>90</v>
      </c>
      <c r="I29" s="363">
        <v>80</v>
      </c>
      <c r="J29" s="300">
        <v>70</v>
      </c>
      <c r="K29" s="363">
        <v>90</v>
      </c>
      <c r="L29" s="300">
        <v>90</v>
      </c>
    </row>
    <row r="30" spans="2:12" ht="16.5">
      <c r="B30" s="382" t="s">
        <v>272</v>
      </c>
      <c r="C30" s="383" t="s">
        <v>271</v>
      </c>
      <c r="D30" s="384">
        <v>4.0000000000000002E-4</v>
      </c>
      <c r="E30" s="385">
        <v>6</v>
      </c>
      <c r="F30" s="386">
        <f>E30*D30</f>
        <v>2.4000000000000002E-3</v>
      </c>
      <c r="G30" s="240">
        <f t="shared" ref="G30:G34" si="8">F30*30</f>
        <v>7.2000000000000008E-2</v>
      </c>
      <c r="H30" s="240">
        <f t="shared" ref="H30:H34" si="9">G30*12</f>
        <v>0.8640000000000001</v>
      </c>
      <c r="I30" s="241">
        <f t="shared" ref="I30:L33" si="10">H30</f>
        <v>0.8640000000000001</v>
      </c>
      <c r="J30" s="240">
        <v>76</v>
      </c>
      <c r="K30" s="241">
        <v>96</v>
      </c>
      <c r="L30" s="240">
        <f t="shared" si="10"/>
        <v>96</v>
      </c>
    </row>
    <row r="31" spans="2:12" ht="16.5">
      <c r="B31" s="387" t="s">
        <v>148</v>
      </c>
      <c r="C31" s="383" t="s">
        <v>273</v>
      </c>
      <c r="D31" s="384">
        <v>2.9999999999999997E-4</v>
      </c>
      <c r="E31" s="385">
        <v>0.35</v>
      </c>
      <c r="F31" s="386">
        <f>E31*D31</f>
        <v>1.0499999999999999E-4</v>
      </c>
      <c r="G31" s="240">
        <f t="shared" si="8"/>
        <v>3.1499999999999996E-3</v>
      </c>
      <c r="H31" s="240">
        <f t="shared" si="9"/>
        <v>3.7799999999999993E-2</v>
      </c>
      <c r="I31" s="241">
        <f t="shared" si="10"/>
        <v>3.7799999999999993E-2</v>
      </c>
      <c r="J31" s="240">
        <f t="shared" si="10"/>
        <v>3.7799999999999993E-2</v>
      </c>
      <c r="K31" s="241">
        <f t="shared" si="10"/>
        <v>3.7799999999999993E-2</v>
      </c>
      <c r="L31" s="240">
        <f t="shared" si="10"/>
        <v>3.7799999999999993E-2</v>
      </c>
    </row>
    <row r="32" spans="2:12" ht="16.5">
      <c r="B32" s="382" t="s">
        <v>274</v>
      </c>
      <c r="C32" s="388" t="s">
        <v>275</v>
      </c>
      <c r="D32" s="384">
        <v>5.0000000000000001E-4</v>
      </c>
      <c r="E32" s="385">
        <v>150</v>
      </c>
      <c r="F32" s="389">
        <f>D32*E32</f>
        <v>7.4999999999999997E-2</v>
      </c>
      <c r="G32" s="240">
        <f t="shared" si="8"/>
        <v>2.25</v>
      </c>
      <c r="H32" s="240">
        <f t="shared" si="9"/>
        <v>27</v>
      </c>
      <c r="I32" s="241">
        <v>24</v>
      </c>
      <c r="J32" s="240">
        <v>30</v>
      </c>
      <c r="K32" s="241">
        <f t="shared" si="10"/>
        <v>30</v>
      </c>
      <c r="L32" s="240">
        <f t="shared" si="10"/>
        <v>30</v>
      </c>
    </row>
    <row r="33" spans="2:12" ht="16.5">
      <c r="B33" s="382" t="s">
        <v>276</v>
      </c>
      <c r="C33" s="388" t="s">
        <v>277</v>
      </c>
      <c r="D33" s="240">
        <v>0.15</v>
      </c>
      <c r="E33" s="385">
        <v>1</v>
      </c>
      <c r="F33" s="389">
        <f>D33*E33</f>
        <v>0.15</v>
      </c>
      <c r="G33" s="240">
        <f t="shared" si="8"/>
        <v>4.5</v>
      </c>
      <c r="H33" s="240">
        <f t="shared" si="9"/>
        <v>54</v>
      </c>
      <c r="I33" s="241">
        <f t="shared" si="10"/>
        <v>54</v>
      </c>
      <c r="J33" s="240">
        <v>60</v>
      </c>
      <c r="K33" s="241">
        <f t="shared" si="10"/>
        <v>60</v>
      </c>
      <c r="L33" s="240">
        <f t="shared" si="10"/>
        <v>60</v>
      </c>
    </row>
    <row r="34" spans="2:12" ht="17.25" thickBot="1">
      <c r="B34" s="387" t="s">
        <v>278</v>
      </c>
      <c r="C34" s="390" t="s">
        <v>277</v>
      </c>
      <c r="D34" s="391">
        <v>0.03</v>
      </c>
      <c r="E34" s="392">
        <v>1</v>
      </c>
      <c r="F34" s="363">
        <f>D34*E34</f>
        <v>0.03</v>
      </c>
      <c r="G34" s="240">
        <f t="shared" si="8"/>
        <v>0.89999999999999991</v>
      </c>
      <c r="H34" s="240">
        <f t="shared" si="9"/>
        <v>10.799999999999999</v>
      </c>
      <c r="I34" s="241">
        <v>11</v>
      </c>
      <c r="J34" s="240">
        <v>10</v>
      </c>
      <c r="K34" s="241">
        <v>11</v>
      </c>
      <c r="L34" s="240">
        <v>10</v>
      </c>
    </row>
    <row r="35" spans="2:12" ht="17.25" thickBot="1">
      <c r="B35" s="393" t="s">
        <v>64</v>
      </c>
      <c r="C35" s="394"/>
      <c r="D35" s="394"/>
      <c r="E35" s="395"/>
      <c r="F35" s="244">
        <f t="shared" ref="F35:L35" si="11">SUM(F29:F34)</f>
        <v>0.50750500000000009</v>
      </c>
      <c r="G35" s="237">
        <f t="shared" si="11"/>
        <v>15.225150000000001</v>
      </c>
      <c r="H35" s="237">
        <f t="shared" si="11"/>
        <v>182.70180000000002</v>
      </c>
      <c r="I35" s="244">
        <f t="shared" si="11"/>
        <v>169.90180000000001</v>
      </c>
      <c r="J35" s="237">
        <f t="shared" si="11"/>
        <v>246.0378</v>
      </c>
      <c r="K35" s="244">
        <f t="shared" si="11"/>
        <v>287.0378</v>
      </c>
      <c r="L35" s="237">
        <f t="shared" si="11"/>
        <v>286.0378</v>
      </c>
    </row>
    <row r="37" spans="2:12" ht="15.75" thickBot="1"/>
    <row r="38" spans="2:12" ht="16.5" thickBot="1">
      <c r="B38" s="585" t="s">
        <v>279</v>
      </c>
      <c r="C38" s="586"/>
      <c r="D38" s="586"/>
      <c r="E38" s="586"/>
      <c r="F38" s="586"/>
      <c r="G38" s="586"/>
      <c r="H38" s="586"/>
      <c r="I38" s="586"/>
      <c r="J38" s="586"/>
      <c r="K38" s="587"/>
    </row>
    <row r="39" spans="2:12" ht="15.75" thickBot="1">
      <c r="B39" s="396" t="s">
        <v>146</v>
      </c>
      <c r="C39" s="397" t="s">
        <v>280</v>
      </c>
      <c r="D39" s="396" t="s">
        <v>281</v>
      </c>
      <c r="E39" s="397" t="s">
        <v>282</v>
      </c>
      <c r="F39" s="396" t="s">
        <v>268</v>
      </c>
      <c r="G39" s="397" t="s">
        <v>46</v>
      </c>
      <c r="H39" s="396" t="s">
        <v>283</v>
      </c>
      <c r="I39" s="397" t="s">
        <v>48</v>
      </c>
      <c r="J39" s="396" t="s">
        <v>49</v>
      </c>
      <c r="K39" s="398" t="s">
        <v>50</v>
      </c>
    </row>
    <row r="40" spans="2:12">
      <c r="B40" s="399" t="s">
        <v>284</v>
      </c>
      <c r="C40" s="400">
        <v>1</v>
      </c>
      <c r="D40" s="401">
        <v>3.5</v>
      </c>
      <c r="E40" s="402">
        <f>C40*D40</f>
        <v>3.5</v>
      </c>
      <c r="F40" s="401">
        <f>E40*30</f>
        <v>105</v>
      </c>
      <c r="G40" s="402">
        <f>F40*12</f>
        <v>1260</v>
      </c>
      <c r="H40" s="401">
        <v>1270</v>
      </c>
      <c r="I40" s="402">
        <v>1260</v>
      </c>
      <c r="J40" s="401">
        <v>1270</v>
      </c>
      <c r="K40" s="403">
        <f t="shared" ref="K40" si="12">J40</f>
        <v>1270</v>
      </c>
    </row>
    <row r="41" spans="2:12">
      <c r="B41" s="404" t="s">
        <v>285</v>
      </c>
      <c r="C41" s="405">
        <v>1</v>
      </c>
      <c r="D41" s="406">
        <v>6</v>
      </c>
      <c r="E41" s="407">
        <f t="shared" ref="E41:E45" si="13">C41*D41</f>
        <v>6</v>
      </c>
      <c r="F41" s="406">
        <f t="shared" ref="F41:F48" si="14">E41*30</f>
        <v>180</v>
      </c>
      <c r="G41" s="407">
        <f t="shared" ref="G41:G48" si="15">F41*12</f>
        <v>2160</v>
      </c>
      <c r="H41" s="406">
        <f t="shared" ref="H41:K48" si="16">G41</f>
        <v>2160</v>
      </c>
      <c r="I41" s="407">
        <v>2200</v>
      </c>
      <c r="J41" s="406">
        <f t="shared" si="16"/>
        <v>2200</v>
      </c>
      <c r="K41" s="408">
        <f t="shared" si="16"/>
        <v>2200</v>
      </c>
    </row>
    <row r="42" spans="2:12">
      <c r="B42" s="404" t="s">
        <v>286</v>
      </c>
      <c r="C42" s="405">
        <v>1</v>
      </c>
      <c r="D42" s="406">
        <v>4.5</v>
      </c>
      <c r="E42" s="407">
        <f t="shared" si="13"/>
        <v>4.5</v>
      </c>
      <c r="F42" s="406">
        <f t="shared" si="14"/>
        <v>135</v>
      </c>
      <c r="G42" s="407">
        <f t="shared" si="15"/>
        <v>1620</v>
      </c>
      <c r="H42" s="406">
        <f t="shared" si="16"/>
        <v>1620</v>
      </c>
      <c r="I42" s="407">
        <f t="shared" si="16"/>
        <v>1620</v>
      </c>
      <c r="J42" s="406">
        <f t="shared" si="16"/>
        <v>1620</v>
      </c>
      <c r="K42" s="408">
        <f t="shared" si="16"/>
        <v>1620</v>
      </c>
    </row>
    <row r="43" spans="2:12">
      <c r="B43" s="404" t="s">
        <v>287</v>
      </c>
      <c r="C43" s="405">
        <v>8</v>
      </c>
      <c r="D43" s="406">
        <v>3.5</v>
      </c>
      <c r="E43" s="407">
        <f t="shared" si="13"/>
        <v>28</v>
      </c>
      <c r="F43" s="406">
        <f t="shared" si="14"/>
        <v>840</v>
      </c>
      <c r="G43" s="407">
        <f t="shared" si="15"/>
        <v>10080</v>
      </c>
      <c r="H43" s="406">
        <f t="shared" si="16"/>
        <v>10080</v>
      </c>
      <c r="I43" s="407">
        <f t="shared" si="16"/>
        <v>10080</v>
      </c>
      <c r="J43" s="406">
        <f t="shared" si="16"/>
        <v>10080</v>
      </c>
      <c r="K43" s="408">
        <f t="shared" si="16"/>
        <v>10080</v>
      </c>
    </row>
    <row r="44" spans="2:12">
      <c r="B44" s="404" t="s">
        <v>288</v>
      </c>
      <c r="C44" s="405">
        <v>1</v>
      </c>
      <c r="D44" s="406">
        <v>20</v>
      </c>
      <c r="E44" s="407">
        <f t="shared" si="13"/>
        <v>20</v>
      </c>
      <c r="F44" s="406">
        <f t="shared" si="14"/>
        <v>600</v>
      </c>
      <c r="G44" s="407">
        <f t="shared" si="15"/>
        <v>7200</v>
      </c>
      <c r="H44" s="406">
        <f t="shared" si="16"/>
        <v>7200</v>
      </c>
      <c r="I44" s="407">
        <f t="shared" si="16"/>
        <v>7200</v>
      </c>
      <c r="J44" s="406">
        <f t="shared" si="16"/>
        <v>7200</v>
      </c>
      <c r="K44" s="408">
        <f t="shared" si="16"/>
        <v>7200</v>
      </c>
    </row>
    <row r="45" spans="2:12">
      <c r="B45" s="404" t="s">
        <v>289</v>
      </c>
      <c r="C45" s="405">
        <v>2</v>
      </c>
      <c r="D45" s="406">
        <v>30</v>
      </c>
      <c r="E45" s="407">
        <f t="shared" si="13"/>
        <v>60</v>
      </c>
      <c r="F45" s="406">
        <f t="shared" si="14"/>
        <v>1800</v>
      </c>
      <c r="G45" s="407">
        <f t="shared" si="15"/>
        <v>21600</v>
      </c>
      <c r="H45" s="406">
        <f t="shared" si="16"/>
        <v>21600</v>
      </c>
      <c r="I45" s="407">
        <f t="shared" si="16"/>
        <v>21600</v>
      </c>
      <c r="J45" s="406">
        <f t="shared" si="16"/>
        <v>21600</v>
      </c>
      <c r="K45" s="408">
        <f t="shared" si="16"/>
        <v>21600</v>
      </c>
    </row>
    <row r="46" spans="2:12">
      <c r="B46" s="404" t="s">
        <v>290</v>
      </c>
      <c r="C46" s="405">
        <v>3</v>
      </c>
      <c r="D46" s="406"/>
      <c r="E46" s="407">
        <v>15.5</v>
      </c>
      <c r="F46" s="406">
        <f t="shared" si="14"/>
        <v>465</v>
      </c>
      <c r="G46" s="407">
        <f t="shared" si="15"/>
        <v>5580</v>
      </c>
      <c r="H46" s="406">
        <v>5000</v>
      </c>
      <c r="I46" s="407">
        <f t="shared" si="16"/>
        <v>5000</v>
      </c>
      <c r="J46" s="406">
        <f t="shared" si="16"/>
        <v>5000</v>
      </c>
      <c r="K46" s="408">
        <f t="shared" si="16"/>
        <v>5000</v>
      </c>
    </row>
    <row r="47" spans="2:12">
      <c r="B47" s="404" t="s">
        <v>216</v>
      </c>
      <c r="C47" s="405"/>
      <c r="D47" s="406"/>
      <c r="E47" s="407">
        <v>151</v>
      </c>
      <c r="F47" s="406">
        <f t="shared" si="14"/>
        <v>4530</v>
      </c>
      <c r="G47" s="407">
        <f t="shared" si="15"/>
        <v>54360</v>
      </c>
      <c r="H47" s="406">
        <v>50000</v>
      </c>
      <c r="I47" s="407">
        <f t="shared" si="16"/>
        <v>50000</v>
      </c>
      <c r="J47" s="406">
        <f t="shared" si="16"/>
        <v>50000</v>
      </c>
      <c r="K47" s="408">
        <f t="shared" si="16"/>
        <v>50000</v>
      </c>
    </row>
    <row r="48" spans="2:12">
      <c r="B48" s="404" t="s">
        <v>291</v>
      </c>
      <c r="C48" s="405" t="s">
        <v>292</v>
      </c>
      <c r="D48" s="406">
        <v>25</v>
      </c>
      <c r="E48" s="407">
        <v>100</v>
      </c>
      <c r="F48" s="406">
        <f t="shared" si="14"/>
        <v>3000</v>
      </c>
      <c r="G48" s="407">
        <f t="shared" si="15"/>
        <v>36000</v>
      </c>
      <c r="H48" s="406">
        <v>32000</v>
      </c>
      <c r="I48" s="407">
        <f t="shared" si="16"/>
        <v>32000</v>
      </c>
      <c r="J48" s="406">
        <f t="shared" si="16"/>
        <v>32000</v>
      </c>
      <c r="K48" s="408">
        <f t="shared" si="16"/>
        <v>32000</v>
      </c>
    </row>
    <row r="49" spans="2:11" ht="15.75" thickBot="1">
      <c r="B49" s="409" t="s">
        <v>64</v>
      </c>
      <c r="C49" s="410">
        <f>SUM(C40:C46)</f>
        <v>17</v>
      </c>
      <c r="D49" s="286">
        <f>SUM(D40:D45)</f>
        <v>67.5</v>
      </c>
      <c r="E49" s="411">
        <f t="shared" ref="E49:K49" si="17">SUM(E40:E48)</f>
        <v>388.5</v>
      </c>
      <c r="F49" s="286">
        <f t="shared" si="17"/>
        <v>11655</v>
      </c>
      <c r="G49" s="411">
        <f t="shared" si="17"/>
        <v>139860</v>
      </c>
      <c r="H49" s="286">
        <f t="shared" si="17"/>
        <v>130930</v>
      </c>
      <c r="I49" s="411">
        <f t="shared" si="17"/>
        <v>130960</v>
      </c>
      <c r="J49" s="286">
        <f t="shared" si="17"/>
        <v>130970</v>
      </c>
      <c r="K49" s="412">
        <f t="shared" si="17"/>
        <v>130970</v>
      </c>
    </row>
  </sheetData>
  <mergeCells count="21">
    <mergeCell ref="D7:D8"/>
    <mergeCell ref="E7:H7"/>
    <mergeCell ref="J7:J8"/>
    <mergeCell ref="K7:K8"/>
    <mergeCell ref="L7:L8"/>
    <mergeCell ref="B38:K38"/>
    <mergeCell ref="L17:L18"/>
    <mergeCell ref="B16:L16"/>
    <mergeCell ref="B5:L5"/>
    <mergeCell ref="B3:L3"/>
    <mergeCell ref="B25:L26"/>
    <mergeCell ref="B27:L27"/>
    <mergeCell ref="B17:B18"/>
    <mergeCell ref="C17:C18"/>
    <mergeCell ref="D17:D18"/>
    <mergeCell ref="E17:H17"/>
    <mergeCell ref="J17:J18"/>
    <mergeCell ref="K17:K18"/>
    <mergeCell ref="B6:L6"/>
    <mergeCell ref="B7:B8"/>
    <mergeCell ref="C7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O55"/>
  <sheetViews>
    <sheetView topLeftCell="A46" workbookViewId="0">
      <selection activeCell="A13" sqref="A13"/>
    </sheetView>
  </sheetViews>
  <sheetFormatPr baseColWidth="10" defaultRowHeight="15"/>
  <cols>
    <col min="2" max="2" width="34.5703125" customWidth="1"/>
    <col min="3" max="3" width="17.7109375" customWidth="1"/>
    <col min="4" max="4" width="13.5703125" customWidth="1"/>
    <col min="5" max="5" width="14.140625" customWidth="1"/>
    <col min="6" max="6" width="14.28515625" customWidth="1"/>
    <col min="7" max="7" width="13.5703125" customWidth="1"/>
    <col min="8" max="8" width="14.28515625" customWidth="1"/>
    <col min="9" max="10" width="11.5703125" bestFit="1" customWidth="1"/>
    <col min="11" max="12" width="11.85546875" bestFit="1" customWidth="1"/>
    <col min="14" max="14" width="42.28515625" customWidth="1"/>
  </cols>
  <sheetData>
    <row r="2" spans="2:15" ht="15.75" thickBot="1"/>
    <row r="3" spans="2:15" ht="21.75" thickBot="1">
      <c r="B3" s="567" t="s">
        <v>256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9"/>
    </row>
    <row r="4" spans="2:15" ht="15.75" thickBot="1"/>
    <row r="5" spans="2:15" ht="26.25" thickBot="1">
      <c r="B5" s="638" t="s">
        <v>192</v>
      </c>
      <c r="C5" s="628" t="s">
        <v>193</v>
      </c>
      <c r="D5" s="623" t="s">
        <v>194</v>
      </c>
      <c r="E5" s="625" t="s">
        <v>195</v>
      </c>
      <c r="F5" s="625"/>
      <c r="G5" s="625"/>
      <c r="H5" s="626"/>
      <c r="I5" s="259" t="s">
        <v>196</v>
      </c>
      <c r="J5" s="628" t="s">
        <v>197</v>
      </c>
      <c r="K5" s="628" t="s">
        <v>198</v>
      </c>
      <c r="L5" s="630" t="s">
        <v>199</v>
      </c>
    </row>
    <row r="6" spans="2:15" ht="26.25" thickBot="1">
      <c r="B6" s="639"/>
      <c r="C6" s="629"/>
      <c r="D6" s="640"/>
      <c r="E6" s="260" t="s">
        <v>200</v>
      </c>
      <c r="F6" s="261" t="s">
        <v>201</v>
      </c>
      <c r="G6" s="260" t="s">
        <v>202</v>
      </c>
      <c r="H6" s="262" t="s">
        <v>203</v>
      </c>
      <c r="I6" s="263">
        <v>9.35E-2</v>
      </c>
      <c r="J6" s="641"/>
      <c r="K6" s="629"/>
      <c r="L6" s="631"/>
    </row>
    <row r="7" spans="2:15" ht="26.25" thickBot="1">
      <c r="B7" s="347" t="s">
        <v>257</v>
      </c>
      <c r="C7" s="352">
        <v>1</v>
      </c>
      <c r="D7" s="239">
        <v>500</v>
      </c>
      <c r="E7" s="350">
        <f>(D7*12)/12</f>
        <v>500</v>
      </c>
      <c r="F7" s="296">
        <v>292</v>
      </c>
      <c r="G7" s="239">
        <f>(D7*12)/12</f>
        <v>500</v>
      </c>
      <c r="H7" s="350">
        <f>(D7*12)/24</f>
        <v>250</v>
      </c>
      <c r="I7" s="212">
        <f>D7*$I$6</f>
        <v>46.75</v>
      </c>
      <c r="J7" s="239">
        <v>500</v>
      </c>
      <c r="K7" s="211">
        <f>(D7*12)+E7+F7+H7</f>
        <v>7042</v>
      </c>
      <c r="L7" s="239">
        <f>K7+J7</f>
        <v>7542</v>
      </c>
    </row>
    <row r="8" spans="2:15" ht="16.5" thickBot="1">
      <c r="B8" s="348" t="s">
        <v>258</v>
      </c>
      <c r="C8" s="332">
        <v>1</v>
      </c>
      <c r="D8" s="240">
        <v>450</v>
      </c>
      <c r="E8" s="241">
        <f>(D8*12)/12</f>
        <v>450</v>
      </c>
      <c r="F8" s="351">
        <v>292</v>
      </c>
      <c r="G8" s="240">
        <f t="shared" ref="G8:G11" si="0">(D8*12)/12</f>
        <v>450</v>
      </c>
      <c r="H8" s="241">
        <f t="shared" ref="H8:H11" si="1">(D8*12)/24</f>
        <v>225</v>
      </c>
      <c r="I8" s="240">
        <f>D8*$I$6</f>
        <v>42.075000000000003</v>
      </c>
      <c r="J8" s="240">
        <v>450</v>
      </c>
      <c r="K8" s="241">
        <f>(D8*12)+E8+F8+H8</f>
        <v>6367</v>
      </c>
      <c r="L8" s="240">
        <f>K8+J8</f>
        <v>6817</v>
      </c>
    </row>
    <row r="9" spans="2:15" ht="16.5" thickBot="1">
      <c r="B9" s="348" t="s">
        <v>259</v>
      </c>
      <c r="C9" s="332">
        <v>1</v>
      </c>
      <c r="D9" s="240">
        <v>450</v>
      </c>
      <c r="E9" s="241">
        <f t="shared" ref="E9:E11" si="2">(D9*12)/12</f>
        <v>450</v>
      </c>
      <c r="F9" s="351">
        <v>292</v>
      </c>
      <c r="G9" s="240">
        <f t="shared" si="0"/>
        <v>450</v>
      </c>
      <c r="H9" s="241">
        <f t="shared" si="1"/>
        <v>225</v>
      </c>
      <c r="I9" s="240">
        <f t="shared" ref="I9:I11" si="3">D9*$I$6</f>
        <v>42.075000000000003</v>
      </c>
      <c r="J9" s="240">
        <v>450</v>
      </c>
      <c r="K9" s="241">
        <f>(D9*12)+E9+F9+H9</f>
        <v>6367</v>
      </c>
      <c r="L9" s="240">
        <f>K9+J9</f>
        <v>6817</v>
      </c>
    </row>
    <row r="10" spans="2:15" ht="21" customHeight="1" thickBot="1">
      <c r="B10" s="348" t="s">
        <v>260</v>
      </c>
      <c r="C10" s="332">
        <v>1</v>
      </c>
      <c r="D10" s="240">
        <v>400</v>
      </c>
      <c r="E10" s="241">
        <f t="shared" si="2"/>
        <v>400</v>
      </c>
      <c r="F10" s="351">
        <v>292</v>
      </c>
      <c r="G10" s="240">
        <f t="shared" si="0"/>
        <v>400</v>
      </c>
      <c r="H10" s="241">
        <f t="shared" si="1"/>
        <v>200</v>
      </c>
      <c r="I10" s="240">
        <f t="shared" si="3"/>
        <v>37.4</v>
      </c>
      <c r="J10" s="240">
        <v>400</v>
      </c>
      <c r="K10" s="241">
        <f>(D10*12)+E10+F10+H10</f>
        <v>5692</v>
      </c>
      <c r="L10" s="240">
        <f>K10+J10</f>
        <v>6092</v>
      </c>
    </row>
    <row r="11" spans="2:15" ht="16.5" thickBot="1">
      <c r="B11" s="348" t="s">
        <v>261</v>
      </c>
      <c r="C11" s="332">
        <v>2</v>
      </c>
      <c r="D11" s="240">
        <f>292*C11</f>
        <v>584</v>
      </c>
      <c r="E11" s="241">
        <f t="shared" si="2"/>
        <v>584</v>
      </c>
      <c r="F11" s="351">
        <v>584</v>
      </c>
      <c r="G11" s="240">
        <f t="shared" si="0"/>
        <v>584</v>
      </c>
      <c r="H11" s="241">
        <f t="shared" si="1"/>
        <v>292</v>
      </c>
      <c r="I11" s="240">
        <f t="shared" si="3"/>
        <v>54.603999999999999</v>
      </c>
      <c r="J11" s="240">
        <v>584</v>
      </c>
      <c r="K11" s="241">
        <f>(D11*12)+E11+F11+H11</f>
        <v>8468</v>
      </c>
      <c r="L11" s="240">
        <f>K11+J11</f>
        <v>9052</v>
      </c>
    </row>
    <row r="12" spans="2:15" ht="16.5" thickBot="1">
      <c r="B12" s="349" t="s">
        <v>64</v>
      </c>
      <c r="C12" s="353">
        <f>SUM(C7:C11)</f>
        <v>6</v>
      </c>
      <c r="D12" s="237">
        <f>SUM(D7:D11)</f>
        <v>2384</v>
      </c>
      <c r="E12" s="244">
        <f>SUM(E7:E11)</f>
        <v>2384</v>
      </c>
      <c r="F12" s="303">
        <f t="shared" ref="F12:J12" si="4">SUM(F7:F11)</f>
        <v>1752</v>
      </c>
      <c r="G12" s="214">
        <f t="shared" si="4"/>
        <v>2384</v>
      </c>
      <c r="H12" s="244">
        <f t="shared" si="4"/>
        <v>1192</v>
      </c>
      <c r="I12" s="237">
        <f t="shared" si="4"/>
        <v>222.904</v>
      </c>
      <c r="J12" s="237">
        <f t="shared" si="4"/>
        <v>2384</v>
      </c>
      <c r="K12" s="244">
        <f>SUM(K7:K11)</f>
        <v>33936</v>
      </c>
      <c r="L12" s="237">
        <f>SUM(L7:L11)</f>
        <v>36320</v>
      </c>
    </row>
    <row r="15" spans="2:15" ht="15.75" thickBot="1"/>
    <row r="16" spans="2:15" ht="15.75" thickBot="1">
      <c r="B16" s="579" t="s">
        <v>26</v>
      </c>
      <c r="C16" s="580"/>
      <c r="D16" s="580"/>
      <c r="E16" s="580"/>
      <c r="F16" s="580"/>
      <c r="G16" s="580"/>
      <c r="H16" s="581"/>
      <c r="M16" s="579" t="s">
        <v>232</v>
      </c>
      <c r="N16" s="580"/>
      <c r="O16" s="581"/>
    </row>
    <row r="17" spans="2:15" ht="16.5" thickBot="1">
      <c r="B17" s="155" t="s">
        <v>146</v>
      </c>
      <c r="C17" s="154" t="s">
        <v>147</v>
      </c>
      <c r="D17" s="255" t="s">
        <v>160</v>
      </c>
      <c r="E17" s="86" t="s">
        <v>151</v>
      </c>
      <c r="F17" s="86" t="s">
        <v>152</v>
      </c>
      <c r="G17" s="86" t="s">
        <v>153</v>
      </c>
      <c r="H17" s="252" t="s">
        <v>154</v>
      </c>
      <c r="M17" s="330" t="s">
        <v>233</v>
      </c>
      <c r="N17" s="331" t="s">
        <v>234</v>
      </c>
      <c r="O17" s="331" t="s">
        <v>235</v>
      </c>
    </row>
    <row r="18" spans="2:15" ht="15.75">
      <c r="B18" s="148" t="s">
        <v>156</v>
      </c>
      <c r="C18" s="212">
        <v>123.3</v>
      </c>
      <c r="D18" s="212">
        <f>C18*12</f>
        <v>1479.6</v>
      </c>
      <c r="E18" s="212">
        <f>2080.8-1000</f>
        <v>1080.8000000000002</v>
      </c>
      <c r="F18" s="212">
        <v>1100</v>
      </c>
      <c r="G18" s="212">
        <v>1000</v>
      </c>
      <c r="H18" s="212">
        <v>500</v>
      </c>
      <c r="M18" s="332">
        <v>1</v>
      </c>
      <c r="N18" s="333" t="s">
        <v>236</v>
      </c>
      <c r="O18" s="334"/>
    </row>
    <row r="19" spans="2:15" ht="15.75">
      <c r="B19" s="149" t="s">
        <v>157</v>
      </c>
      <c r="C19" s="240">
        <v>60.05</v>
      </c>
      <c r="D19" s="240">
        <f>C19*12</f>
        <v>720.59999999999991</v>
      </c>
      <c r="E19" s="240">
        <v>980</v>
      </c>
      <c r="F19" s="240">
        <v>1100</v>
      </c>
      <c r="G19" s="240">
        <v>900</v>
      </c>
      <c r="H19" s="240">
        <v>600</v>
      </c>
      <c r="M19" s="332"/>
      <c r="N19" s="335" t="s">
        <v>237</v>
      </c>
      <c r="O19" s="139">
        <v>116</v>
      </c>
    </row>
    <row r="20" spans="2:15" ht="18.75" customHeight="1">
      <c r="B20" s="149" t="s">
        <v>158</v>
      </c>
      <c r="C20" s="240">
        <v>100</v>
      </c>
      <c r="D20" s="240">
        <f>C20*12</f>
        <v>1200</v>
      </c>
      <c r="E20" s="240">
        <v>1200</v>
      </c>
      <c r="F20" s="240">
        <v>650</v>
      </c>
      <c r="G20" s="240">
        <v>600</v>
      </c>
      <c r="H20" s="240">
        <v>300</v>
      </c>
      <c r="M20" s="332" t="s">
        <v>238</v>
      </c>
      <c r="N20" s="336" t="s">
        <v>239</v>
      </c>
      <c r="O20" s="318">
        <v>160</v>
      </c>
    </row>
    <row r="21" spans="2:15" ht="15.75">
      <c r="B21" s="153" t="s">
        <v>159</v>
      </c>
      <c r="C21" s="240">
        <v>50</v>
      </c>
      <c r="D21" s="240">
        <f>C21*12</f>
        <v>600</v>
      </c>
      <c r="E21" s="240">
        <v>740</v>
      </c>
      <c r="F21" s="240">
        <v>650</v>
      </c>
      <c r="G21" s="240">
        <v>800</v>
      </c>
      <c r="H21" s="240">
        <v>800</v>
      </c>
      <c r="M21" s="332">
        <v>2</v>
      </c>
      <c r="N21" s="333" t="s">
        <v>240</v>
      </c>
      <c r="O21" s="318"/>
    </row>
    <row r="22" spans="2:15" ht="16.5" thickBot="1">
      <c r="B22" s="150" t="s">
        <v>64</v>
      </c>
      <c r="C22" s="237">
        <f>SUM(C18:C21)</f>
        <v>333.35</v>
      </c>
      <c r="D22" s="237">
        <v>4000</v>
      </c>
      <c r="E22" s="237">
        <v>4000</v>
      </c>
      <c r="F22" s="237">
        <f>SUM(F18:F21)</f>
        <v>3500</v>
      </c>
      <c r="G22" s="237">
        <f>SUM(G18:G21)</f>
        <v>3300</v>
      </c>
      <c r="H22" s="237">
        <f>SUM(H18:H21)</f>
        <v>2200</v>
      </c>
      <c r="M22" s="332" t="s">
        <v>241</v>
      </c>
      <c r="N22" s="335" t="s">
        <v>242</v>
      </c>
      <c r="O22" s="318">
        <v>240</v>
      </c>
    </row>
    <row r="23" spans="2:15" ht="29.25" thickBot="1">
      <c r="M23" s="332" t="s">
        <v>243</v>
      </c>
      <c r="N23" s="336" t="s">
        <v>244</v>
      </c>
      <c r="O23" s="318">
        <f>8*5</f>
        <v>40</v>
      </c>
    </row>
    <row r="24" spans="2:15" ht="30.75" thickBot="1">
      <c r="B24" s="579" t="s">
        <v>19</v>
      </c>
      <c r="C24" s="580"/>
      <c r="D24" s="580"/>
      <c r="E24" s="580"/>
      <c r="F24" s="580"/>
      <c r="G24" s="580"/>
      <c r="H24" s="581"/>
      <c r="M24" s="332">
        <v>3</v>
      </c>
      <c r="N24" s="337" t="s">
        <v>245</v>
      </c>
      <c r="O24" s="318">
        <v>40</v>
      </c>
    </row>
    <row r="25" spans="2:15" ht="30.75" thickBot="1">
      <c r="B25" s="155" t="s">
        <v>146</v>
      </c>
      <c r="C25" s="154" t="s">
        <v>147</v>
      </c>
      <c r="D25" s="254" t="s">
        <v>160</v>
      </c>
      <c r="E25" s="86" t="s">
        <v>151</v>
      </c>
      <c r="F25" s="253" t="s">
        <v>152</v>
      </c>
      <c r="G25" s="86" t="s">
        <v>153</v>
      </c>
      <c r="H25" s="252" t="s">
        <v>154</v>
      </c>
      <c r="M25" s="332">
        <v>4</v>
      </c>
      <c r="N25" s="337" t="s">
        <v>246</v>
      </c>
      <c r="O25" s="318">
        <v>20</v>
      </c>
    </row>
    <row r="26" spans="2:15" ht="16.5" thickBot="1">
      <c r="B26" s="65" t="s">
        <v>161</v>
      </c>
      <c r="C26" s="354">
        <v>200</v>
      </c>
      <c r="D26" s="308">
        <f>C26*12</f>
        <v>2400</v>
      </c>
      <c r="E26" s="354">
        <v>2400</v>
      </c>
      <c r="F26" s="308">
        <v>2300</v>
      </c>
      <c r="G26" s="354">
        <f t="shared" ref="G26:H26" si="5">F26</f>
        <v>2300</v>
      </c>
      <c r="H26" s="355">
        <f t="shared" si="5"/>
        <v>2300</v>
      </c>
      <c r="M26" s="338"/>
      <c r="N26" s="339"/>
      <c r="O26" s="139"/>
    </row>
    <row r="27" spans="2:15" ht="16.5" thickBot="1">
      <c r="B27" s="283" t="s">
        <v>64</v>
      </c>
      <c r="C27" s="214">
        <f>SUM(C26)</f>
        <v>200</v>
      </c>
      <c r="D27" s="214">
        <f t="shared" ref="D27:H27" si="6">SUM(D26)</f>
        <v>2400</v>
      </c>
      <c r="E27" s="214">
        <f t="shared" si="6"/>
        <v>2400</v>
      </c>
      <c r="F27" s="214">
        <f t="shared" si="6"/>
        <v>2300</v>
      </c>
      <c r="G27" s="214">
        <f t="shared" si="6"/>
        <v>2300</v>
      </c>
      <c r="H27" s="214">
        <f t="shared" si="6"/>
        <v>2300</v>
      </c>
      <c r="M27" s="642" t="s">
        <v>64</v>
      </c>
      <c r="N27" s="643"/>
      <c r="O27" s="340">
        <f>SUM(O19:O25)</f>
        <v>616</v>
      </c>
    </row>
    <row r="29" spans="2:15" ht="15.75" thickBot="1"/>
    <row r="30" spans="2:15" ht="15.75" thickBot="1">
      <c r="B30" s="579" t="s">
        <v>23</v>
      </c>
      <c r="C30" s="580"/>
      <c r="D30" s="580"/>
      <c r="E30" s="580"/>
      <c r="F30" s="580"/>
      <c r="G30" s="580"/>
      <c r="H30" s="581"/>
      <c r="N30" s="287" t="s">
        <v>247</v>
      </c>
      <c r="O30" s="288"/>
    </row>
    <row r="31" spans="2:15" ht="39" thickBot="1">
      <c r="B31" s="163" t="s">
        <v>146</v>
      </c>
      <c r="C31" s="154" t="s">
        <v>147</v>
      </c>
      <c r="D31" s="157" t="s">
        <v>160</v>
      </c>
      <c r="E31" s="158" t="s">
        <v>151</v>
      </c>
      <c r="F31" s="158" t="s">
        <v>152</v>
      </c>
      <c r="G31" s="158" t="s">
        <v>153</v>
      </c>
      <c r="H31" s="159" t="s">
        <v>154</v>
      </c>
      <c r="N31" s="341" t="s">
        <v>248</v>
      </c>
      <c r="O31" s="342" t="s">
        <v>249</v>
      </c>
    </row>
    <row r="32" spans="2:15" ht="15.75">
      <c r="B32" s="148" t="s">
        <v>165</v>
      </c>
      <c r="C32" s="139">
        <v>22</v>
      </c>
      <c r="D32" s="312">
        <f>C32*12</f>
        <v>264</v>
      </c>
      <c r="E32" s="139">
        <f>D32</f>
        <v>264</v>
      </c>
      <c r="F32" s="139">
        <f>E32</f>
        <v>264</v>
      </c>
      <c r="G32" s="139">
        <f>F32</f>
        <v>264</v>
      </c>
      <c r="H32" s="139">
        <f>G32</f>
        <v>264</v>
      </c>
      <c r="N32" s="343" t="s">
        <v>250</v>
      </c>
      <c r="O32" s="139">
        <v>120</v>
      </c>
    </row>
    <row r="33" spans="2:15" ht="15.75">
      <c r="B33" s="65" t="s">
        <v>220</v>
      </c>
      <c r="C33" s="314">
        <f>D33/12</f>
        <v>20.833333333333332</v>
      </c>
      <c r="D33" s="312">
        <v>250</v>
      </c>
      <c r="E33" s="139">
        <v>250</v>
      </c>
      <c r="F33" s="139">
        <v>250</v>
      </c>
      <c r="G33" s="139">
        <v>250</v>
      </c>
      <c r="H33" s="139">
        <v>250</v>
      </c>
      <c r="N33" s="344" t="s">
        <v>251</v>
      </c>
      <c r="O33" s="318">
        <v>40</v>
      </c>
    </row>
    <row r="34" spans="2:15" ht="16.5" thickBot="1">
      <c r="B34" s="162" t="s">
        <v>64</v>
      </c>
      <c r="C34" s="140">
        <f>SUM(C32:C33)</f>
        <v>42.833333333333329</v>
      </c>
      <c r="D34" s="313">
        <f t="shared" ref="D34:H34" si="7">SUM(D32:D33)</f>
        <v>514</v>
      </c>
      <c r="E34" s="140">
        <f t="shared" si="7"/>
        <v>514</v>
      </c>
      <c r="F34" s="140">
        <f t="shared" si="7"/>
        <v>514</v>
      </c>
      <c r="G34" s="140">
        <f t="shared" si="7"/>
        <v>514</v>
      </c>
      <c r="H34" s="140">
        <f t="shared" si="7"/>
        <v>514</v>
      </c>
      <c r="N34" s="344" t="s">
        <v>252</v>
      </c>
      <c r="O34" s="318">
        <v>25</v>
      </c>
    </row>
    <row r="35" spans="2:15">
      <c r="N35" s="344" t="s">
        <v>253</v>
      </c>
      <c r="O35" s="318">
        <v>25</v>
      </c>
    </row>
    <row r="36" spans="2:15" ht="15.75" thickBot="1">
      <c r="N36" s="344" t="s">
        <v>254</v>
      </c>
      <c r="O36" s="318">
        <v>400</v>
      </c>
    </row>
    <row r="37" spans="2:15" ht="15.75" thickBot="1">
      <c r="B37" s="632" t="s">
        <v>21</v>
      </c>
      <c r="C37" s="633"/>
      <c r="D37" s="633"/>
      <c r="E37" s="633"/>
      <c r="F37" s="633"/>
      <c r="G37" s="633"/>
      <c r="H37" s="633"/>
      <c r="I37" s="633"/>
      <c r="J37" s="634"/>
      <c r="N37" s="344" t="s">
        <v>255</v>
      </c>
      <c r="O37" s="318">
        <v>120</v>
      </c>
    </row>
    <row r="38" spans="2:15" ht="16.5" thickBot="1">
      <c r="B38" s="324" t="s">
        <v>229</v>
      </c>
      <c r="C38" s="325" t="s">
        <v>230</v>
      </c>
      <c r="D38" s="326" t="s">
        <v>231</v>
      </c>
      <c r="E38" s="327" t="s">
        <v>214</v>
      </c>
      <c r="F38" s="328" t="s">
        <v>155</v>
      </c>
      <c r="G38" s="327" t="s">
        <v>151</v>
      </c>
      <c r="H38" s="328" t="s">
        <v>152</v>
      </c>
      <c r="I38" s="327" t="s">
        <v>153</v>
      </c>
      <c r="J38" s="328" t="s">
        <v>154</v>
      </c>
      <c r="N38" s="345" t="s">
        <v>64</v>
      </c>
      <c r="O38" s="346">
        <f>SUM(O32:O37)</f>
        <v>730</v>
      </c>
    </row>
    <row r="39" spans="2:15" ht="15.75">
      <c r="B39" s="323" t="s">
        <v>221</v>
      </c>
      <c r="C39" s="329">
        <v>5</v>
      </c>
      <c r="D39" s="314">
        <v>0.1</v>
      </c>
      <c r="E39" s="319">
        <f>C39*D39</f>
        <v>0.5</v>
      </c>
      <c r="F39" s="314">
        <f>E39</f>
        <v>0.5</v>
      </c>
      <c r="G39" s="319">
        <f t="shared" ref="G39:J39" si="8">F39</f>
        <v>0.5</v>
      </c>
      <c r="H39" s="314">
        <f t="shared" si="8"/>
        <v>0.5</v>
      </c>
      <c r="I39" s="319">
        <f t="shared" si="8"/>
        <v>0.5</v>
      </c>
      <c r="J39" s="314">
        <f t="shared" si="8"/>
        <v>0.5</v>
      </c>
    </row>
    <row r="40" spans="2:15">
      <c r="B40" s="323" t="s">
        <v>222</v>
      </c>
      <c r="C40" s="329">
        <v>5</v>
      </c>
      <c r="D40" s="318">
        <v>0.1</v>
      </c>
      <c r="E40" s="320">
        <f t="shared" ref="E40:E46" si="9">C40*D40</f>
        <v>0.5</v>
      </c>
      <c r="F40" s="318">
        <f t="shared" ref="F40:J40" si="10">E40</f>
        <v>0.5</v>
      </c>
      <c r="G40" s="320">
        <f t="shared" si="10"/>
        <v>0.5</v>
      </c>
      <c r="H40" s="318">
        <f t="shared" si="10"/>
        <v>0.5</v>
      </c>
      <c r="I40" s="320">
        <f t="shared" si="10"/>
        <v>0.5</v>
      </c>
      <c r="J40" s="318">
        <f t="shared" si="10"/>
        <v>0.5</v>
      </c>
    </row>
    <row r="41" spans="2:15">
      <c r="B41" s="323" t="s">
        <v>223</v>
      </c>
      <c r="C41" s="329">
        <v>1</v>
      </c>
      <c r="D41" s="318">
        <v>5</v>
      </c>
      <c r="E41" s="320">
        <f t="shared" si="9"/>
        <v>5</v>
      </c>
      <c r="F41" s="318">
        <f t="shared" ref="F41:J41" si="11">E41</f>
        <v>5</v>
      </c>
      <c r="G41" s="320">
        <f t="shared" si="11"/>
        <v>5</v>
      </c>
      <c r="H41" s="318">
        <f t="shared" si="11"/>
        <v>5</v>
      </c>
      <c r="I41" s="320">
        <f t="shared" si="11"/>
        <v>5</v>
      </c>
      <c r="J41" s="318">
        <f t="shared" si="11"/>
        <v>5</v>
      </c>
    </row>
    <row r="42" spans="2:15">
      <c r="B42" s="323" t="s">
        <v>224</v>
      </c>
      <c r="C42" s="329">
        <v>6</v>
      </c>
      <c r="D42" s="318">
        <v>0.2</v>
      </c>
      <c r="E42" s="320">
        <f t="shared" si="9"/>
        <v>1.2000000000000002</v>
      </c>
      <c r="F42" s="318">
        <f t="shared" ref="F42:J42" si="12">E42</f>
        <v>1.2000000000000002</v>
      </c>
      <c r="G42" s="320">
        <f t="shared" si="12"/>
        <v>1.2000000000000002</v>
      </c>
      <c r="H42" s="318">
        <f t="shared" si="12"/>
        <v>1.2000000000000002</v>
      </c>
      <c r="I42" s="320">
        <f t="shared" si="12"/>
        <v>1.2000000000000002</v>
      </c>
      <c r="J42" s="318">
        <f t="shared" si="12"/>
        <v>1.2000000000000002</v>
      </c>
    </row>
    <row r="43" spans="2:15">
      <c r="B43" s="323" t="s">
        <v>225</v>
      </c>
      <c r="C43" s="329">
        <v>1</v>
      </c>
      <c r="D43" s="318">
        <v>1.5</v>
      </c>
      <c r="E43" s="320">
        <f t="shared" si="9"/>
        <v>1.5</v>
      </c>
      <c r="F43" s="318">
        <f t="shared" ref="F43:J43" si="13">E43</f>
        <v>1.5</v>
      </c>
      <c r="G43" s="320">
        <f t="shared" si="13"/>
        <v>1.5</v>
      </c>
      <c r="H43" s="318">
        <f t="shared" si="13"/>
        <v>1.5</v>
      </c>
      <c r="I43" s="320">
        <f t="shared" si="13"/>
        <v>1.5</v>
      </c>
      <c r="J43" s="318">
        <f t="shared" si="13"/>
        <v>1.5</v>
      </c>
    </row>
    <row r="44" spans="2:15">
      <c r="B44" s="323" t="s">
        <v>226</v>
      </c>
      <c r="C44" s="329">
        <v>1</v>
      </c>
      <c r="D44" s="318">
        <v>2.5</v>
      </c>
      <c r="E44" s="320">
        <f t="shared" si="9"/>
        <v>2.5</v>
      </c>
      <c r="F44" s="318">
        <f t="shared" ref="F44:J44" si="14">E44</f>
        <v>2.5</v>
      </c>
      <c r="G44" s="320">
        <f t="shared" si="14"/>
        <v>2.5</v>
      </c>
      <c r="H44" s="318">
        <f t="shared" si="14"/>
        <v>2.5</v>
      </c>
      <c r="I44" s="320">
        <f t="shared" si="14"/>
        <v>2.5</v>
      </c>
      <c r="J44" s="318">
        <f t="shared" si="14"/>
        <v>2.5</v>
      </c>
    </row>
    <row r="45" spans="2:15">
      <c r="B45" s="323" t="s">
        <v>227</v>
      </c>
      <c r="C45" s="329">
        <v>1</v>
      </c>
      <c r="D45" s="318">
        <v>2.5</v>
      </c>
      <c r="E45" s="320">
        <f t="shared" si="9"/>
        <v>2.5</v>
      </c>
      <c r="F45" s="318">
        <f t="shared" ref="F45:J45" si="15">E45</f>
        <v>2.5</v>
      </c>
      <c r="G45" s="320">
        <f t="shared" si="15"/>
        <v>2.5</v>
      </c>
      <c r="H45" s="318">
        <f t="shared" si="15"/>
        <v>2.5</v>
      </c>
      <c r="I45" s="320">
        <f t="shared" si="15"/>
        <v>2.5</v>
      </c>
      <c r="J45" s="318">
        <f t="shared" si="15"/>
        <v>2.5</v>
      </c>
    </row>
    <row r="46" spans="2:15">
      <c r="B46" s="323" t="s">
        <v>228</v>
      </c>
      <c r="C46" s="329">
        <v>10</v>
      </c>
      <c r="D46" s="318">
        <v>1.7</v>
      </c>
      <c r="E46" s="320">
        <f t="shared" si="9"/>
        <v>17</v>
      </c>
      <c r="F46" s="318">
        <f t="shared" ref="F46:J46" si="16">E46</f>
        <v>17</v>
      </c>
      <c r="G46" s="320">
        <f t="shared" si="16"/>
        <v>17</v>
      </c>
      <c r="H46" s="318">
        <f t="shared" si="16"/>
        <v>17</v>
      </c>
      <c r="I46" s="320">
        <f t="shared" si="16"/>
        <v>17</v>
      </c>
      <c r="J46" s="318">
        <f t="shared" si="16"/>
        <v>17</v>
      </c>
    </row>
    <row r="47" spans="2:15" ht="16.5" thickBot="1">
      <c r="B47" s="284"/>
      <c r="C47" s="136"/>
      <c r="D47" s="140">
        <f>SUM(D39:D46)</f>
        <v>13.6</v>
      </c>
      <c r="E47" s="321">
        <v>30</v>
      </c>
      <c r="F47" s="140">
        <v>30</v>
      </c>
      <c r="G47" s="321">
        <v>30</v>
      </c>
      <c r="H47" s="140">
        <v>30</v>
      </c>
      <c r="I47" s="321">
        <v>30</v>
      </c>
      <c r="J47" s="140">
        <v>30</v>
      </c>
    </row>
    <row r="49" spans="2:8" ht="15.75" thickBot="1"/>
    <row r="50" spans="2:8" ht="16.5" thickBot="1">
      <c r="B50" s="635" t="s">
        <v>20</v>
      </c>
      <c r="C50" s="636"/>
      <c r="D50" s="636"/>
      <c r="E50" s="636"/>
      <c r="F50" s="636"/>
      <c r="G50" s="636"/>
      <c r="H50" s="637"/>
    </row>
    <row r="51" spans="2:8" ht="15.75" thickBot="1">
      <c r="B51" s="147" t="s">
        <v>146</v>
      </c>
      <c r="C51" s="231" t="s">
        <v>214</v>
      </c>
      <c r="D51" s="147" t="s">
        <v>155</v>
      </c>
      <c r="E51" s="359" t="s">
        <v>151</v>
      </c>
      <c r="F51" s="147" t="s">
        <v>152</v>
      </c>
      <c r="G51" s="359" t="s">
        <v>153</v>
      </c>
      <c r="H51" s="147" t="s">
        <v>154</v>
      </c>
    </row>
    <row r="52" spans="2:8" ht="15.75">
      <c r="B52" s="356" t="s">
        <v>69</v>
      </c>
      <c r="C52" s="314">
        <v>9.67</v>
      </c>
      <c r="D52" s="314">
        <f>C52*12</f>
        <v>116.03999999999999</v>
      </c>
      <c r="E52" s="314">
        <f>D52</f>
        <v>116.03999999999999</v>
      </c>
      <c r="F52" s="314">
        <f t="shared" ref="F52:H52" si="17">E52</f>
        <v>116.03999999999999</v>
      </c>
      <c r="G52" s="314">
        <f t="shared" si="17"/>
        <v>116.03999999999999</v>
      </c>
      <c r="H52" s="314">
        <f t="shared" si="17"/>
        <v>116.03999999999999</v>
      </c>
    </row>
    <row r="53" spans="2:8" ht="15.75">
      <c r="B53" s="357" t="s">
        <v>70</v>
      </c>
      <c r="C53" s="360">
        <v>102.39</v>
      </c>
      <c r="D53" s="360">
        <f>C53*12</f>
        <v>1228.68</v>
      </c>
      <c r="E53" s="360">
        <f t="shared" ref="E53:H53" si="18">D53</f>
        <v>1228.68</v>
      </c>
      <c r="F53" s="360">
        <f t="shared" si="18"/>
        <v>1228.68</v>
      </c>
      <c r="G53" s="360">
        <f t="shared" si="18"/>
        <v>1228.68</v>
      </c>
      <c r="H53" s="360">
        <f t="shared" si="18"/>
        <v>1228.68</v>
      </c>
    </row>
    <row r="54" spans="2:8" ht="15.75">
      <c r="B54" s="357" t="s">
        <v>71</v>
      </c>
      <c r="C54" s="360">
        <v>14.68</v>
      </c>
      <c r="D54" s="360">
        <v>176.19</v>
      </c>
      <c r="E54" s="360">
        <f t="shared" ref="E54:H54" si="19">D54</f>
        <v>176.19</v>
      </c>
      <c r="F54" s="360">
        <f t="shared" si="19"/>
        <v>176.19</v>
      </c>
      <c r="G54" s="360">
        <f t="shared" si="19"/>
        <v>176.19</v>
      </c>
      <c r="H54" s="360">
        <f t="shared" si="19"/>
        <v>176.19</v>
      </c>
    </row>
    <row r="55" spans="2:8" ht="16.5" thickBot="1">
      <c r="B55" s="358" t="s">
        <v>64</v>
      </c>
      <c r="C55" s="361">
        <f>SUM(C52:C54)</f>
        <v>126.74000000000001</v>
      </c>
      <c r="D55" s="361">
        <f>SUM(D52:D54)</f>
        <v>1520.91</v>
      </c>
      <c r="E55" s="361">
        <f t="shared" ref="E55:H55" si="20">D55</f>
        <v>1520.91</v>
      </c>
      <c r="F55" s="361">
        <f t="shared" si="20"/>
        <v>1520.91</v>
      </c>
      <c r="G55" s="361">
        <f t="shared" si="20"/>
        <v>1520.91</v>
      </c>
      <c r="H55" s="361">
        <f t="shared" si="20"/>
        <v>1520.91</v>
      </c>
    </row>
  </sheetData>
  <mergeCells count="15">
    <mergeCell ref="B50:H50"/>
    <mergeCell ref="B5:B6"/>
    <mergeCell ref="C5:C6"/>
    <mergeCell ref="D5:D6"/>
    <mergeCell ref="E5:H5"/>
    <mergeCell ref="B16:H16"/>
    <mergeCell ref="B3:N3"/>
    <mergeCell ref="B30:H30"/>
    <mergeCell ref="B37:J37"/>
    <mergeCell ref="K5:K6"/>
    <mergeCell ref="L5:L6"/>
    <mergeCell ref="B24:H24"/>
    <mergeCell ref="J5:J6"/>
    <mergeCell ref="M16:O16"/>
    <mergeCell ref="M27:N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31"/>
  <sheetViews>
    <sheetView topLeftCell="A19" workbookViewId="0">
      <selection activeCell="K16" sqref="K16"/>
    </sheetView>
  </sheetViews>
  <sheetFormatPr baseColWidth="10" defaultRowHeight="15"/>
  <cols>
    <col min="2" max="2" width="38.42578125" customWidth="1"/>
    <col min="4" max="5" width="12.85546875" customWidth="1"/>
    <col min="6" max="6" width="14" customWidth="1"/>
    <col min="7" max="7" width="12.42578125" customWidth="1"/>
    <col min="8" max="8" width="13.140625" customWidth="1"/>
    <col min="15" max="15" width="11.5703125" bestFit="1" customWidth="1"/>
  </cols>
  <sheetData>
    <row r="3" spans="2:15" ht="18.75">
      <c r="B3" s="651" t="s">
        <v>357</v>
      </c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</row>
    <row r="4" spans="2:15" ht="15.75" thickBot="1"/>
    <row r="5" spans="2:15" ht="16.5" thickBot="1">
      <c r="B5" s="422" t="s">
        <v>293</v>
      </c>
      <c r="C5" s="413">
        <v>184218</v>
      </c>
    </row>
    <row r="6" spans="2:15" ht="15.75" thickBot="1">
      <c r="B6" s="414" t="s">
        <v>128</v>
      </c>
      <c r="C6" s="417" t="s">
        <v>0</v>
      </c>
      <c r="D6" s="414" t="s">
        <v>1</v>
      </c>
      <c r="E6" s="414" t="s">
        <v>2</v>
      </c>
      <c r="F6" s="417" t="s">
        <v>3</v>
      </c>
      <c r="G6" s="414" t="s">
        <v>4</v>
      </c>
      <c r="H6" s="417" t="s">
        <v>5</v>
      </c>
      <c r="I6" s="414" t="s">
        <v>6</v>
      </c>
      <c r="J6" s="417" t="s">
        <v>7</v>
      </c>
      <c r="K6" s="414" t="s">
        <v>8</v>
      </c>
      <c r="L6" s="417" t="s">
        <v>9</v>
      </c>
      <c r="M6" s="414" t="s">
        <v>10</v>
      </c>
      <c r="N6" s="419" t="s">
        <v>11</v>
      </c>
      <c r="O6" s="147" t="s">
        <v>64</v>
      </c>
    </row>
    <row r="7" spans="2:15" ht="15.75" thickBot="1">
      <c r="B7" s="415" t="s">
        <v>137</v>
      </c>
      <c r="C7" s="435">
        <v>9210.9247557436811</v>
      </c>
      <c r="D7" s="436">
        <v>9210.9247557436811</v>
      </c>
      <c r="E7" s="436">
        <v>9210.9247557436811</v>
      </c>
      <c r="F7" s="435">
        <v>11974.202182466786</v>
      </c>
      <c r="G7" s="436">
        <v>13500</v>
      </c>
      <c r="H7" s="435">
        <v>14737</v>
      </c>
      <c r="I7" s="436">
        <v>16579.664560338628</v>
      </c>
      <c r="J7" s="435">
        <v>15342</v>
      </c>
      <c r="K7" s="436">
        <v>18421.849511487362</v>
      </c>
      <c r="L7" s="435">
        <v>21818.070650906513</v>
      </c>
      <c r="M7" s="436">
        <v>22106.219413784835</v>
      </c>
      <c r="N7" s="437">
        <v>22106.219413784835</v>
      </c>
      <c r="O7" s="438">
        <f>SUM(C7:N7)</f>
        <v>184218</v>
      </c>
    </row>
    <row r="8" spans="2:15" ht="15.75" thickBot="1">
      <c r="B8" s="415" t="s">
        <v>136</v>
      </c>
      <c r="C8" s="418">
        <v>1.1000000000000001</v>
      </c>
      <c r="D8" s="295">
        <v>1.1000000000000001</v>
      </c>
      <c r="E8" s="295">
        <v>1.1000000000000001</v>
      </c>
      <c r="F8" s="418">
        <v>1.1000000000000001</v>
      </c>
      <c r="G8" s="295">
        <v>1.1000000000000001</v>
      </c>
      <c r="H8" s="418">
        <v>1.1000000000000001</v>
      </c>
      <c r="I8" s="295">
        <v>1.1000000000000001</v>
      </c>
      <c r="J8" s="418">
        <v>1.1000000000000001</v>
      </c>
      <c r="K8" s="295">
        <v>1.1000000000000001</v>
      </c>
      <c r="L8" s="418">
        <v>1.1000000000000001</v>
      </c>
      <c r="M8" s="295">
        <v>1.1000000000000001</v>
      </c>
      <c r="N8" s="420">
        <v>1.1000000000000001</v>
      </c>
      <c r="O8" s="290"/>
    </row>
    <row r="9" spans="2:15" ht="15.75" thickBot="1">
      <c r="B9" s="416" t="s">
        <v>12</v>
      </c>
      <c r="C9" s="411">
        <f t="shared" ref="C9:N9" si="0">C7*C8</f>
        <v>10132.01723131805</v>
      </c>
      <c r="D9" s="286">
        <f t="shared" si="0"/>
        <v>10132.01723131805</v>
      </c>
      <c r="E9" s="286">
        <f t="shared" si="0"/>
        <v>10132.01723131805</v>
      </c>
      <c r="F9" s="411">
        <f t="shared" si="0"/>
        <v>13171.622400713466</v>
      </c>
      <c r="G9" s="286">
        <f t="shared" si="0"/>
        <v>14850.000000000002</v>
      </c>
      <c r="H9" s="411">
        <f t="shared" si="0"/>
        <v>16210.7</v>
      </c>
      <c r="I9" s="286">
        <f t="shared" si="0"/>
        <v>18237.631016372492</v>
      </c>
      <c r="J9" s="411">
        <f t="shared" si="0"/>
        <v>16876.2</v>
      </c>
      <c r="K9" s="286">
        <f t="shared" si="0"/>
        <v>20264.0344626361</v>
      </c>
      <c r="L9" s="411">
        <f t="shared" si="0"/>
        <v>23999.877715997165</v>
      </c>
      <c r="M9" s="286">
        <f t="shared" si="0"/>
        <v>24316.84135516332</v>
      </c>
      <c r="N9" s="412">
        <f t="shared" si="0"/>
        <v>24316.84135516332</v>
      </c>
      <c r="O9" s="421">
        <f>SUM(C9:N9)</f>
        <v>202639.8</v>
      </c>
    </row>
    <row r="12" spans="2:15" ht="15.75" thickBot="1"/>
    <row r="13" spans="2:15" ht="16.5" thickBot="1">
      <c r="B13" s="644" t="s">
        <v>112</v>
      </c>
      <c r="C13" s="645"/>
      <c r="D13" s="645"/>
      <c r="E13" s="645"/>
      <c r="F13" s="645"/>
      <c r="G13" s="646"/>
    </row>
    <row r="14" spans="2:15" ht="16.5" thickBot="1">
      <c r="B14" s="427" t="s">
        <v>113</v>
      </c>
      <c r="C14" s="428">
        <v>2.5000000000000001E-2</v>
      </c>
      <c r="D14" s="431"/>
      <c r="E14" s="432"/>
      <c r="F14" s="433"/>
      <c r="G14" s="434"/>
    </row>
    <row r="15" spans="2:15" ht="39">
      <c r="B15" s="425" t="s">
        <v>114</v>
      </c>
      <c r="C15" s="423" t="s">
        <v>115</v>
      </c>
      <c r="D15" s="429" t="s">
        <v>116</v>
      </c>
      <c r="E15" s="430" t="s">
        <v>117</v>
      </c>
      <c r="F15" s="429" t="s">
        <v>118</v>
      </c>
      <c r="G15" s="430" t="s">
        <v>119</v>
      </c>
    </row>
    <row r="16" spans="2:15" ht="15.75" thickBot="1">
      <c r="B16" s="439" t="s">
        <v>294</v>
      </c>
      <c r="C16" s="424">
        <v>184218.49511487363</v>
      </c>
      <c r="D16" s="426">
        <v>188823.95749274542</v>
      </c>
      <c r="E16" s="424">
        <v>193544.55643006405</v>
      </c>
      <c r="F16" s="426">
        <v>198383.17034081562</v>
      </c>
      <c r="G16" s="424">
        <v>203342.74959933595</v>
      </c>
    </row>
    <row r="19" spans="2:8" ht="15.75">
      <c r="B19" s="649" t="s">
        <v>356</v>
      </c>
      <c r="C19" s="650"/>
      <c r="D19" s="650"/>
      <c r="E19" s="650"/>
      <c r="F19" s="650"/>
      <c r="G19" s="650"/>
      <c r="H19" s="650"/>
    </row>
    <row r="20" spans="2:8" ht="15.75" thickBot="1"/>
    <row r="21" spans="2:8" ht="16.5" thickBot="1">
      <c r="B21" s="445" t="s">
        <v>345</v>
      </c>
      <c r="C21" s="647" t="s">
        <v>346</v>
      </c>
      <c r="D21" s="647"/>
      <c r="E21" s="647"/>
      <c r="F21" s="647"/>
      <c r="G21" s="647"/>
      <c r="H21" s="648"/>
    </row>
    <row r="22" spans="2:8" ht="16.5" thickBot="1">
      <c r="B22" s="445">
        <v>2.5000000000000001E-2</v>
      </c>
      <c r="C22" s="647" t="s">
        <v>347</v>
      </c>
      <c r="D22" s="647"/>
      <c r="E22" s="647"/>
      <c r="F22" s="647"/>
      <c r="G22" s="647"/>
      <c r="H22" s="648"/>
    </row>
    <row r="23" spans="2:8" ht="16.5" thickBot="1">
      <c r="B23" s="563" t="s">
        <v>348</v>
      </c>
      <c r="C23" s="450">
        <v>1</v>
      </c>
      <c r="D23" s="451">
        <v>2</v>
      </c>
      <c r="E23" s="450">
        <v>3</v>
      </c>
      <c r="F23" s="451">
        <v>4</v>
      </c>
      <c r="G23" s="450">
        <v>5</v>
      </c>
      <c r="H23" s="456" t="s">
        <v>78</v>
      </c>
    </row>
    <row r="24" spans="2:8" ht="15.75" thickBot="1">
      <c r="B24" s="415" t="s">
        <v>349</v>
      </c>
      <c r="C24" s="558">
        <v>2291158</v>
      </c>
      <c r="D24" s="559">
        <v>2348436.9499999997</v>
      </c>
      <c r="E24" s="558">
        <v>2407147.8737499993</v>
      </c>
      <c r="F24" s="559">
        <v>2467326.5705937492</v>
      </c>
      <c r="G24" s="558">
        <v>2529009.7348585925</v>
      </c>
      <c r="H24" s="561">
        <v>2.5000000000000001E-2</v>
      </c>
    </row>
    <row r="25" spans="2:8" ht="15.75" thickBot="1">
      <c r="B25" s="415" t="s">
        <v>350</v>
      </c>
      <c r="C25" s="424">
        <v>927025.43838000007</v>
      </c>
      <c r="D25" s="426">
        <v>950201.07433949993</v>
      </c>
      <c r="E25" s="424">
        <v>973956.10119798733</v>
      </c>
      <c r="F25" s="426">
        <v>998305.00372793688</v>
      </c>
      <c r="G25" s="424">
        <v>1023262.6288211351</v>
      </c>
      <c r="H25" s="457">
        <v>0.40461000000000003</v>
      </c>
    </row>
    <row r="26" spans="2:8" ht="15.75" thickBot="1">
      <c r="B26" s="415" t="s">
        <v>351</v>
      </c>
      <c r="C26" s="424">
        <v>927025.43838000007</v>
      </c>
      <c r="D26" s="426">
        <v>950201.07433949993</v>
      </c>
      <c r="E26" s="424">
        <v>973956.10119798733</v>
      </c>
      <c r="F26" s="426">
        <v>998305.00372793688</v>
      </c>
      <c r="G26" s="424">
        <v>1023262.6288211351</v>
      </c>
      <c r="H26" s="457">
        <v>1</v>
      </c>
    </row>
    <row r="27" spans="2:8" ht="15.75" thickBot="1">
      <c r="B27" s="415" t="s">
        <v>352</v>
      </c>
      <c r="C27" s="424">
        <v>153515.412595728</v>
      </c>
      <c r="D27" s="426">
        <v>157353.29791062119</v>
      </c>
      <c r="E27" s="424">
        <v>161287.1303583867</v>
      </c>
      <c r="F27" s="426">
        <v>165319.30861734634</v>
      </c>
      <c r="G27" s="424">
        <v>169452.29133277998</v>
      </c>
      <c r="H27" s="457">
        <v>0.1656</v>
      </c>
    </row>
    <row r="28" spans="2:8" ht="15.75" thickBot="1">
      <c r="B28" s="415" t="s">
        <v>353</v>
      </c>
      <c r="C28" s="424">
        <v>7675.7706297864006</v>
      </c>
      <c r="D28" s="426">
        <v>7867.6648955310593</v>
      </c>
      <c r="E28" s="424">
        <v>8064.3565179193356</v>
      </c>
      <c r="F28" s="426">
        <v>8265.965430867318</v>
      </c>
      <c r="G28" s="424">
        <v>8472.6145666389984</v>
      </c>
      <c r="H28" s="457">
        <v>0.05</v>
      </c>
    </row>
    <row r="29" spans="2:8" ht="15.75" thickBot="1">
      <c r="B29" s="415" t="s">
        <v>354</v>
      </c>
      <c r="C29" s="424">
        <v>184218.49511487363</v>
      </c>
      <c r="D29" s="426">
        <v>188823.95749274542</v>
      </c>
      <c r="E29" s="424">
        <v>193544.55643006405</v>
      </c>
      <c r="F29" s="426">
        <v>198383.17034081562</v>
      </c>
      <c r="G29" s="424">
        <v>203342.74959933595</v>
      </c>
      <c r="H29" s="457">
        <v>24</v>
      </c>
    </row>
    <row r="30" spans="2:8">
      <c r="B30" s="415" t="s">
        <v>293</v>
      </c>
      <c r="C30" s="557">
        <v>184218.49511487363</v>
      </c>
      <c r="D30" s="560">
        <v>188823.95749274542</v>
      </c>
      <c r="E30" s="557">
        <v>193544.55643006405</v>
      </c>
      <c r="F30" s="560">
        <v>198383.17034081562</v>
      </c>
      <c r="G30" s="557">
        <v>203342.74959933595</v>
      </c>
      <c r="H30" s="562" t="s">
        <v>281</v>
      </c>
    </row>
    <row r="31" spans="2:8" ht="15.75" thickBot="1">
      <c r="B31" s="416" t="s">
        <v>355</v>
      </c>
      <c r="C31" s="286">
        <v>221062.19413784836</v>
      </c>
      <c r="D31" s="411">
        <v>226588.7489912945</v>
      </c>
      <c r="E31" s="286">
        <v>232253.46771607685</v>
      </c>
      <c r="F31" s="411">
        <v>238059.80440897873</v>
      </c>
      <c r="G31" s="286">
        <v>244011.29951920314</v>
      </c>
      <c r="H31" s="412">
        <v>1.2</v>
      </c>
    </row>
  </sheetData>
  <mergeCells count="5">
    <mergeCell ref="B13:G13"/>
    <mergeCell ref="C21:H21"/>
    <mergeCell ref="C22:H22"/>
    <mergeCell ref="B19:H19"/>
    <mergeCell ref="B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2:F34"/>
  <sheetViews>
    <sheetView topLeftCell="A19" workbookViewId="0">
      <selection activeCell="H33" sqref="H33"/>
    </sheetView>
  </sheetViews>
  <sheetFormatPr baseColWidth="10" defaultRowHeight="15"/>
  <cols>
    <col min="3" max="3" width="36.42578125" bestFit="1" customWidth="1"/>
    <col min="4" max="4" width="12.42578125" customWidth="1"/>
    <col min="5" max="5" width="18.7109375" customWidth="1"/>
    <col min="6" max="6" width="14.7109375" customWidth="1"/>
  </cols>
  <sheetData>
    <row r="2" spans="3:6" ht="15.75" thickBot="1"/>
    <row r="3" spans="3:6" ht="16.5" thickBot="1">
      <c r="C3" s="576" t="s">
        <v>68</v>
      </c>
      <c r="D3" s="577"/>
      <c r="E3" s="577"/>
      <c r="F3" s="578"/>
    </row>
    <row r="4" spans="3:6" ht="15.75" thickBot="1">
      <c r="C4" s="444" t="s">
        <v>128</v>
      </c>
      <c r="D4" s="256" t="s">
        <v>230</v>
      </c>
      <c r="E4" s="167" t="s">
        <v>231</v>
      </c>
      <c r="F4" s="258" t="s">
        <v>64</v>
      </c>
    </row>
    <row r="5" spans="3:6" ht="15.75">
      <c r="C5" s="322" t="s">
        <v>295</v>
      </c>
      <c r="D5" s="478">
        <v>1</v>
      </c>
      <c r="E5" s="212">
        <v>3160</v>
      </c>
      <c r="F5" s="441">
        <f>D5*E5</f>
        <v>3160</v>
      </c>
    </row>
    <row r="6" spans="3:6" ht="15.75">
      <c r="C6" s="415" t="s">
        <v>296</v>
      </c>
      <c r="D6" s="329">
        <v>1</v>
      </c>
      <c r="E6" s="240">
        <v>160</v>
      </c>
      <c r="F6" s="442">
        <f t="shared" ref="F6:F11" si="0">D6*E6</f>
        <v>160</v>
      </c>
    </row>
    <row r="7" spans="3:6" ht="15.75">
      <c r="C7" s="415" t="s">
        <v>297</v>
      </c>
      <c r="D7" s="329">
        <v>1</v>
      </c>
      <c r="E7" s="240">
        <v>1000</v>
      </c>
      <c r="F7" s="442">
        <f t="shared" si="0"/>
        <v>1000</v>
      </c>
    </row>
    <row r="8" spans="3:6" ht="15.75">
      <c r="C8" s="415" t="s">
        <v>298</v>
      </c>
      <c r="D8" s="329">
        <v>1</v>
      </c>
      <c r="E8" s="240">
        <v>850</v>
      </c>
      <c r="F8" s="442">
        <f t="shared" si="0"/>
        <v>850</v>
      </c>
    </row>
    <row r="9" spans="3:6" ht="15.75">
      <c r="C9" s="415" t="s">
        <v>299</v>
      </c>
      <c r="D9" s="329">
        <v>1</v>
      </c>
      <c r="E9" s="240">
        <v>124</v>
      </c>
      <c r="F9" s="442">
        <f t="shared" si="0"/>
        <v>124</v>
      </c>
    </row>
    <row r="10" spans="3:6" ht="15.75">
      <c r="C10" s="415" t="s">
        <v>300</v>
      </c>
      <c r="D10" s="329">
        <v>1</v>
      </c>
      <c r="E10" s="240">
        <v>4500</v>
      </c>
      <c r="F10" s="442">
        <f t="shared" si="0"/>
        <v>4500</v>
      </c>
    </row>
    <row r="11" spans="3:6" ht="15.75">
      <c r="C11" s="415" t="s">
        <v>301</v>
      </c>
      <c r="D11" s="329">
        <v>1</v>
      </c>
      <c r="E11" s="240">
        <v>8750</v>
      </c>
      <c r="F11" s="442">
        <f t="shared" si="0"/>
        <v>8750</v>
      </c>
    </row>
    <row r="12" spans="3:6" ht="15.75">
      <c r="C12" s="415" t="s">
        <v>302</v>
      </c>
      <c r="D12" s="329">
        <v>1</v>
      </c>
      <c r="E12" s="240">
        <v>650</v>
      </c>
      <c r="F12" s="442">
        <f>D12*E12</f>
        <v>650</v>
      </c>
    </row>
    <row r="13" spans="3:6" ht="15.75">
      <c r="C13" s="415" t="s">
        <v>303</v>
      </c>
      <c r="D13" s="329">
        <v>1</v>
      </c>
      <c r="E13" s="240">
        <v>7000</v>
      </c>
      <c r="F13" s="442">
        <f>D13*E13</f>
        <v>7000</v>
      </c>
    </row>
    <row r="14" spans="3:6" ht="15.75">
      <c r="C14" s="415" t="s">
        <v>304</v>
      </c>
      <c r="D14" s="329">
        <v>1</v>
      </c>
      <c r="E14" s="240">
        <v>2500</v>
      </c>
      <c r="F14" s="442">
        <f>D14*E14</f>
        <v>2500</v>
      </c>
    </row>
    <row r="15" spans="3:6" ht="15.75">
      <c r="C15" s="415" t="s">
        <v>305</v>
      </c>
      <c r="D15" s="329">
        <v>3</v>
      </c>
      <c r="E15" s="240">
        <v>250</v>
      </c>
      <c r="F15" s="442">
        <f t="shared" ref="F15:F22" si="1">D15*E15</f>
        <v>750</v>
      </c>
    </row>
    <row r="16" spans="3:6" ht="15.75">
      <c r="C16" s="415" t="s">
        <v>306</v>
      </c>
      <c r="D16" s="329">
        <v>1</v>
      </c>
      <c r="E16" s="240">
        <v>75</v>
      </c>
      <c r="F16" s="442">
        <f t="shared" si="1"/>
        <v>75</v>
      </c>
    </row>
    <row r="17" spans="3:6" ht="15.75">
      <c r="C17" s="415" t="s">
        <v>307</v>
      </c>
      <c r="D17" s="329">
        <v>1</v>
      </c>
      <c r="E17" s="240">
        <v>145</v>
      </c>
      <c r="F17" s="442">
        <f t="shared" si="1"/>
        <v>145</v>
      </c>
    </row>
    <row r="18" spans="3:6" ht="15.75">
      <c r="C18" s="415" t="s">
        <v>308</v>
      </c>
      <c r="D18" s="329">
        <v>1</v>
      </c>
      <c r="E18" s="240">
        <v>3500</v>
      </c>
      <c r="F18" s="442">
        <f t="shared" si="1"/>
        <v>3500</v>
      </c>
    </row>
    <row r="19" spans="3:6" ht="15.75">
      <c r="C19" s="415" t="s">
        <v>309</v>
      </c>
      <c r="D19" s="329">
        <v>1</v>
      </c>
      <c r="E19" s="240">
        <v>4500</v>
      </c>
      <c r="F19" s="442">
        <f t="shared" si="1"/>
        <v>4500</v>
      </c>
    </row>
    <row r="20" spans="3:6" ht="15.75">
      <c r="C20" s="415" t="s">
        <v>310</v>
      </c>
      <c r="D20" s="329">
        <v>1</v>
      </c>
      <c r="E20" s="240">
        <v>1500</v>
      </c>
      <c r="F20" s="442">
        <f t="shared" si="1"/>
        <v>1500</v>
      </c>
    </row>
    <row r="21" spans="3:6" ht="15.75">
      <c r="C21" s="415" t="s">
        <v>311</v>
      </c>
      <c r="D21" s="329">
        <v>1</v>
      </c>
      <c r="E21" s="240">
        <v>2500</v>
      </c>
      <c r="F21" s="442">
        <f t="shared" si="1"/>
        <v>2500</v>
      </c>
    </row>
    <row r="22" spans="3:6" ht="15.75">
      <c r="C22" s="415" t="s">
        <v>312</v>
      </c>
      <c r="D22" s="329">
        <v>1</v>
      </c>
      <c r="E22" s="240">
        <v>100</v>
      </c>
      <c r="F22" s="442">
        <f t="shared" si="1"/>
        <v>100</v>
      </c>
    </row>
    <row r="23" spans="3:6" ht="16.5" thickBot="1">
      <c r="C23" s="416" t="s">
        <v>64</v>
      </c>
      <c r="D23" s="479"/>
      <c r="E23" s="237">
        <f>SUM(E5:E22)</f>
        <v>41264</v>
      </c>
      <c r="F23" s="443">
        <f>SUM(F5:F22)</f>
        <v>41764</v>
      </c>
    </row>
    <row r="25" spans="3:6" ht="15.75" thickBot="1"/>
    <row r="26" spans="3:6" ht="16.5" thickBot="1">
      <c r="C26" s="576" t="s">
        <v>216</v>
      </c>
      <c r="D26" s="577"/>
      <c r="E26" s="577"/>
      <c r="F26" s="578"/>
    </row>
    <row r="27" spans="3:6" ht="16.5" thickBot="1">
      <c r="C27" s="449" t="s">
        <v>128</v>
      </c>
      <c r="D27" s="450" t="s">
        <v>230</v>
      </c>
      <c r="E27" s="451" t="s">
        <v>231</v>
      </c>
      <c r="F27" s="450" t="s">
        <v>330</v>
      </c>
    </row>
    <row r="28" spans="3:6" ht="15.75">
      <c r="C28" s="480" t="s">
        <v>324</v>
      </c>
      <c r="D28" s="482">
        <v>6</v>
      </c>
      <c r="E28" s="350">
        <v>2.5</v>
      </c>
      <c r="F28" s="239">
        <f>D28*E28</f>
        <v>15</v>
      </c>
    </row>
    <row r="29" spans="3:6" ht="15.75">
      <c r="C29" s="481" t="s">
        <v>325</v>
      </c>
      <c r="D29" s="483">
        <v>4</v>
      </c>
      <c r="E29" s="241">
        <v>8</v>
      </c>
      <c r="F29" s="240">
        <f t="shared" ref="F29:F33" si="2">D29*E29</f>
        <v>32</v>
      </c>
    </row>
    <row r="30" spans="3:6" ht="15.75">
      <c r="C30" s="481" t="s">
        <v>326</v>
      </c>
      <c r="D30" s="483">
        <v>1</v>
      </c>
      <c r="E30" s="241">
        <v>2.2999999999999998</v>
      </c>
      <c r="F30" s="240">
        <f t="shared" si="2"/>
        <v>2.2999999999999998</v>
      </c>
    </row>
    <row r="31" spans="3:6" ht="15.75">
      <c r="C31" s="481" t="s">
        <v>327</v>
      </c>
      <c r="D31" s="483">
        <v>1</v>
      </c>
      <c r="E31" s="241">
        <v>57</v>
      </c>
      <c r="F31" s="240">
        <f t="shared" si="2"/>
        <v>57</v>
      </c>
    </row>
    <row r="32" spans="3:6" ht="15.75">
      <c r="C32" s="481" t="s">
        <v>328</v>
      </c>
      <c r="D32" s="483">
        <v>2</v>
      </c>
      <c r="E32" s="241">
        <v>15</v>
      </c>
      <c r="F32" s="240">
        <f t="shared" si="2"/>
        <v>30</v>
      </c>
    </row>
    <row r="33" spans="3:6" ht="15.75">
      <c r="C33" s="481" t="s">
        <v>329</v>
      </c>
      <c r="D33" s="483">
        <v>1</v>
      </c>
      <c r="E33" s="241">
        <v>15</v>
      </c>
      <c r="F33" s="240">
        <f t="shared" si="2"/>
        <v>15</v>
      </c>
    </row>
    <row r="34" spans="3:6" ht="16.5" thickBot="1">
      <c r="C34" s="135" t="s">
        <v>64</v>
      </c>
      <c r="D34" s="484">
        <f>SUM(D28:D33)</f>
        <v>15</v>
      </c>
      <c r="E34" s="213">
        <f>SUM(E28:E33)</f>
        <v>99.8</v>
      </c>
      <c r="F34" s="214">
        <f>SUM(F28:F33)</f>
        <v>151.30000000000001</v>
      </c>
    </row>
  </sheetData>
  <mergeCells count="2">
    <mergeCell ref="C3:F3"/>
    <mergeCell ref="C26:F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C2:L50"/>
  <sheetViews>
    <sheetView topLeftCell="C1" workbookViewId="0">
      <selection activeCell="L45" sqref="L45"/>
    </sheetView>
  </sheetViews>
  <sheetFormatPr baseColWidth="10" defaultRowHeight="15"/>
  <cols>
    <col min="3" max="3" width="24" bestFit="1" customWidth="1"/>
    <col min="5" max="5" width="13.42578125" customWidth="1"/>
    <col min="6" max="6" width="18.85546875" customWidth="1"/>
    <col min="9" max="9" width="24" bestFit="1" customWidth="1"/>
    <col min="10" max="10" width="11.140625" customWidth="1"/>
    <col min="11" max="11" width="16.28515625" customWidth="1"/>
    <col min="12" max="12" width="19" bestFit="1" customWidth="1"/>
  </cols>
  <sheetData>
    <row r="2" spans="3:12" ht="18.75">
      <c r="C2" s="651" t="s">
        <v>316</v>
      </c>
      <c r="D2" s="651"/>
      <c r="E2" s="651"/>
      <c r="F2" s="651"/>
      <c r="G2" s="651"/>
      <c r="H2" s="651"/>
      <c r="I2" s="651"/>
      <c r="J2" s="651"/>
      <c r="K2" s="651"/>
      <c r="L2" s="651"/>
    </row>
    <row r="3" spans="3:12" ht="15.75" thickBot="1"/>
    <row r="4" spans="3:12" ht="16.5" thickBot="1">
      <c r="C4" s="576" t="s">
        <v>68</v>
      </c>
      <c r="D4" s="577"/>
      <c r="E4" s="577"/>
      <c r="F4" s="578"/>
      <c r="I4" s="576" t="s">
        <v>216</v>
      </c>
      <c r="J4" s="577"/>
      <c r="K4" s="577"/>
      <c r="L4" s="578"/>
    </row>
    <row r="5" spans="3:12" ht="16.5" thickBot="1">
      <c r="C5" s="231" t="s">
        <v>122</v>
      </c>
      <c r="D5" s="231" t="s">
        <v>313</v>
      </c>
      <c r="E5" s="147" t="s">
        <v>314</v>
      </c>
      <c r="F5" s="447" t="s">
        <v>315</v>
      </c>
      <c r="I5" s="450" t="s">
        <v>122</v>
      </c>
      <c r="J5" s="451" t="s">
        <v>313</v>
      </c>
      <c r="K5" s="450" t="s">
        <v>314</v>
      </c>
      <c r="L5" s="456" t="s">
        <v>315</v>
      </c>
    </row>
    <row r="6" spans="3:12">
      <c r="C6" s="232">
        <v>0</v>
      </c>
      <c r="D6" s="232"/>
      <c r="E6" s="322"/>
      <c r="F6" s="403">
        <v>41764</v>
      </c>
      <c r="I6" s="322">
        <v>0</v>
      </c>
      <c r="J6" s="458"/>
      <c r="K6" s="322"/>
      <c r="L6" s="403">
        <v>151.30000000000001</v>
      </c>
    </row>
    <row r="7" spans="3:12">
      <c r="C7" s="134">
        <v>1</v>
      </c>
      <c r="D7" s="134">
        <f>$F$6/$C$16</f>
        <v>4176.3999999999996</v>
      </c>
      <c r="E7" s="415">
        <f>D7</f>
        <v>4176.3999999999996</v>
      </c>
      <c r="F7" s="448">
        <f>F6-D7</f>
        <v>37587.599999999999</v>
      </c>
      <c r="I7" s="415">
        <v>1</v>
      </c>
      <c r="J7" s="459">
        <v>15.13</v>
      </c>
      <c r="K7" s="415">
        <v>15.13</v>
      </c>
      <c r="L7" s="448">
        <v>136.17000000000002</v>
      </c>
    </row>
    <row r="8" spans="3:12">
      <c r="C8" s="134">
        <v>2</v>
      </c>
      <c r="D8" s="134">
        <f t="shared" ref="D8:D16" si="0">$F$6/$C$16</f>
        <v>4176.3999999999996</v>
      </c>
      <c r="E8" s="415">
        <f>E7+D8</f>
        <v>8352.7999999999993</v>
      </c>
      <c r="F8" s="448">
        <f>F7-D8</f>
        <v>33411.199999999997</v>
      </c>
      <c r="I8" s="415">
        <v>2</v>
      </c>
      <c r="J8" s="459">
        <v>15.13</v>
      </c>
      <c r="K8" s="415">
        <v>30.26</v>
      </c>
      <c r="L8" s="448">
        <v>121.04000000000002</v>
      </c>
    </row>
    <row r="9" spans="3:12">
      <c r="C9" s="134">
        <v>3</v>
      </c>
      <c r="D9" s="134">
        <f t="shared" si="0"/>
        <v>4176.3999999999996</v>
      </c>
      <c r="E9" s="415">
        <f t="shared" ref="E9:E16" si="1">E8+D9</f>
        <v>12529.199999999999</v>
      </c>
      <c r="F9" s="448">
        <f t="shared" ref="F9:F14" si="2">F8-D9</f>
        <v>29234.799999999996</v>
      </c>
      <c r="I9" s="415">
        <v>3</v>
      </c>
      <c r="J9" s="459">
        <v>15.13</v>
      </c>
      <c r="K9" s="415">
        <v>45.39</v>
      </c>
      <c r="L9" s="448">
        <v>105.91000000000003</v>
      </c>
    </row>
    <row r="10" spans="3:12">
      <c r="C10" s="134">
        <v>4</v>
      </c>
      <c r="D10" s="134">
        <f t="shared" si="0"/>
        <v>4176.3999999999996</v>
      </c>
      <c r="E10" s="415">
        <f t="shared" si="1"/>
        <v>16705.599999999999</v>
      </c>
      <c r="F10" s="448">
        <f t="shared" si="2"/>
        <v>25058.399999999994</v>
      </c>
      <c r="I10" s="415">
        <v>4</v>
      </c>
      <c r="J10" s="459">
        <v>15.13</v>
      </c>
      <c r="K10" s="415">
        <v>60.52</v>
      </c>
      <c r="L10" s="448">
        <v>90.78000000000003</v>
      </c>
    </row>
    <row r="11" spans="3:12">
      <c r="C11" s="134">
        <v>5</v>
      </c>
      <c r="D11" s="134">
        <f t="shared" si="0"/>
        <v>4176.3999999999996</v>
      </c>
      <c r="E11" s="415">
        <f t="shared" si="1"/>
        <v>20882</v>
      </c>
      <c r="F11" s="448">
        <f t="shared" si="2"/>
        <v>20881.999999999993</v>
      </c>
      <c r="I11" s="415">
        <v>5</v>
      </c>
      <c r="J11" s="459">
        <v>15.13</v>
      </c>
      <c r="K11" s="415">
        <v>75.650000000000006</v>
      </c>
      <c r="L11" s="448">
        <v>75.650000000000034</v>
      </c>
    </row>
    <row r="12" spans="3:12">
      <c r="C12" s="134">
        <v>6</v>
      </c>
      <c r="D12" s="134">
        <f t="shared" si="0"/>
        <v>4176.3999999999996</v>
      </c>
      <c r="E12" s="415">
        <f t="shared" si="1"/>
        <v>25058.400000000001</v>
      </c>
      <c r="F12" s="448">
        <f t="shared" si="2"/>
        <v>16705.599999999991</v>
      </c>
      <c r="I12" s="415">
        <v>6</v>
      </c>
      <c r="J12" s="459">
        <v>15.13</v>
      </c>
      <c r="K12" s="415">
        <v>90.78</v>
      </c>
      <c r="L12" s="448">
        <v>60.520000000000032</v>
      </c>
    </row>
    <row r="13" spans="3:12">
      <c r="C13" s="134">
        <v>7</v>
      </c>
      <c r="D13" s="134">
        <f t="shared" si="0"/>
        <v>4176.3999999999996</v>
      </c>
      <c r="E13" s="415">
        <f t="shared" si="1"/>
        <v>29234.800000000003</v>
      </c>
      <c r="F13" s="448">
        <f t="shared" si="2"/>
        <v>12529.199999999992</v>
      </c>
      <c r="I13" s="415">
        <v>7</v>
      </c>
      <c r="J13" s="459">
        <v>15.13</v>
      </c>
      <c r="K13" s="415">
        <v>105.91</v>
      </c>
      <c r="L13" s="448">
        <v>45.390000000000029</v>
      </c>
    </row>
    <row r="14" spans="3:12">
      <c r="C14" s="134">
        <v>8</v>
      </c>
      <c r="D14" s="134">
        <f t="shared" si="0"/>
        <v>4176.3999999999996</v>
      </c>
      <c r="E14" s="415">
        <f t="shared" si="1"/>
        <v>33411.200000000004</v>
      </c>
      <c r="F14" s="448">
        <f t="shared" si="2"/>
        <v>8352.799999999992</v>
      </c>
      <c r="I14" s="415">
        <v>8</v>
      </c>
      <c r="J14" s="459">
        <v>15.13</v>
      </c>
      <c r="K14" s="415">
        <v>121.03999999999999</v>
      </c>
      <c r="L14" s="448">
        <v>30.260000000000026</v>
      </c>
    </row>
    <row r="15" spans="3:12">
      <c r="C15" s="134">
        <v>9</v>
      </c>
      <c r="D15" s="134">
        <f t="shared" si="0"/>
        <v>4176.3999999999996</v>
      </c>
      <c r="E15" s="415">
        <f t="shared" si="1"/>
        <v>37587.600000000006</v>
      </c>
      <c r="F15" s="448">
        <f>F14-D16</f>
        <v>4176.3999999999924</v>
      </c>
      <c r="I15" s="415">
        <v>9</v>
      </c>
      <c r="J15" s="459">
        <v>15.13</v>
      </c>
      <c r="K15" s="415">
        <v>136.16999999999999</v>
      </c>
      <c r="L15" s="448">
        <v>15.130000000000026</v>
      </c>
    </row>
    <row r="16" spans="3:12" ht="15.75" thickBot="1">
      <c r="C16" s="136">
        <v>10</v>
      </c>
      <c r="D16" s="446">
        <f t="shared" si="0"/>
        <v>4176.3999999999996</v>
      </c>
      <c r="E16" s="286">
        <f t="shared" si="1"/>
        <v>41764.000000000007</v>
      </c>
      <c r="F16" s="412">
        <f>F15-D16</f>
        <v>-7.2759576141834259E-12</v>
      </c>
      <c r="I16" s="416">
        <v>10</v>
      </c>
      <c r="J16" s="411">
        <v>15.13</v>
      </c>
      <c r="K16" s="286">
        <v>151.29999999999998</v>
      </c>
      <c r="L16" s="412">
        <v>2.4868995751603507E-14</v>
      </c>
    </row>
    <row r="18" spans="3:12" ht="15.75" thickBot="1"/>
    <row r="19" spans="3:12" ht="16.5" thickBot="1">
      <c r="C19" s="576" t="s">
        <v>69</v>
      </c>
      <c r="D19" s="577"/>
      <c r="E19" s="577"/>
      <c r="F19" s="578"/>
      <c r="I19" s="576" t="s">
        <v>71</v>
      </c>
      <c r="J19" s="577"/>
      <c r="K19" s="577"/>
      <c r="L19" s="578"/>
    </row>
    <row r="20" spans="3:12" ht="16.5" thickBot="1">
      <c r="C20" s="449" t="s">
        <v>122</v>
      </c>
      <c r="D20" s="450" t="s">
        <v>313</v>
      </c>
      <c r="E20" s="451" t="s">
        <v>314</v>
      </c>
      <c r="F20" s="450" t="s">
        <v>315</v>
      </c>
      <c r="I20" s="449" t="s">
        <v>122</v>
      </c>
      <c r="J20" s="450" t="s">
        <v>313</v>
      </c>
      <c r="K20" s="451" t="s">
        <v>314</v>
      </c>
      <c r="L20" s="450" t="s">
        <v>315</v>
      </c>
    </row>
    <row r="21" spans="3:12">
      <c r="C21" s="232">
        <v>0</v>
      </c>
      <c r="D21" s="356"/>
      <c r="E21" s="452"/>
      <c r="F21" s="453">
        <v>1160</v>
      </c>
      <c r="I21" s="316">
        <v>0</v>
      </c>
      <c r="J21" s="317"/>
      <c r="K21" s="460"/>
      <c r="L21" s="294">
        <v>1761.9</v>
      </c>
    </row>
    <row r="22" spans="3:12">
      <c r="C22" s="134">
        <v>1</v>
      </c>
      <c r="D22" s="454">
        <v>116</v>
      </c>
      <c r="E22" s="454">
        <v>116</v>
      </c>
      <c r="F22" s="455">
        <v>1044</v>
      </c>
      <c r="I22" s="134">
        <v>1</v>
      </c>
      <c r="J22" s="415">
        <v>176.19</v>
      </c>
      <c r="K22" s="459">
        <v>176.19</v>
      </c>
      <c r="L22" s="415">
        <v>1585.71</v>
      </c>
    </row>
    <row r="23" spans="3:12">
      <c r="C23" s="134">
        <v>2</v>
      </c>
      <c r="D23" s="454">
        <v>116</v>
      </c>
      <c r="E23" s="454">
        <v>232</v>
      </c>
      <c r="F23" s="455">
        <v>928</v>
      </c>
      <c r="I23" s="134">
        <v>2</v>
      </c>
      <c r="J23" s="415">
        <v>176.19</v>
      </c>
      <c r="K23" s="459">
        <v>352.38</v>
      </c>
      <c r="L23" s="415">
        <v>1409.52</v>
      </c>
    </row>
    <row r="24" spans="3:12">
      <c r="C24" s="134">
        <v>3</v>
      </c>
      <c r="D24" s="454">
        <v>116</v>
      </c>
      <c r="E24" s="454">
        <v>348</v>
      </c>
      <c r="F24" s="455">
        <v>812</v>
      </c>
      <c r="I24" s="134">
        <v>3</v>
      </c>
      <c r="J24" s="415">
        <v>176.19</v>
      </c>
      <c r="K24" s="459">
        <v>528.56999999999994</v>
      </c>
      <c r="L24" s="415">
        <v>1233.33</v>
      </c>
    </row>
    <row r="25" spans="3:12">
      <c r="C25" s="134">
        <v>4</v>
      </c>
      <c r="D25" s="454">
        <v>116</v>
      </c>
      <c r="E25" s="454">
        <v>464</v>
      </c>
      <c r="F25" s="455">
        <v>696</v>
      </c>
      <c r="I25" s="134">
        <v>4</v>
      </c>
      <c r="J25" s="415">
        <v>176.19</v>
      </c>
      <c r="K25" s="459">
        <v>704.76</v>
      </c>
      <c r="L25" s="415">
        <v>1057.1399999999999</v>
      </c>
    </row>
    <row r="26" spans="3:12">
      <c r="C26" s="134">
        <v>5</v>
      </c>
      <c r="D26" s="454">
        <v>116</v>
      </c>
      <c r="E26" s="454">
        <v>580</v>
      </c>
      <c r="F26" s="455">
        <v>580</v>
      </c>
      <c r="I26" s="134">
        <v>5</v>
      </c>
      <c r="J26" s="415">
        <v>176.19</v>
      </c>
      <c r="K26" s="459">
        <v>880.95</v>
      </c>
      <c r="L26" s="415">
        <v>880.94999999999982</v>
      </c>
    </row>
    <row r="27" spans="3:12">
      <c r="C27" s="134">
        <v>6</v>
      </c>
      <c r="D27" s="454">
        <v>116</v>
      </c>
      <c r="E27" s="454">
        <v>696</v>
      </c>
      <c r="F27" s="455">
        <v>464</v>
      </c>
      <c r="I27" s="134">
        <v>6</v>
      </c>
      <c r="J27" s="415">
        <v>176.19</v>
      </c>
      <c r="K27" s="459">
        <v>1057.1400000000001</v>
      </c>
      <c r="L27" s="415">
        <v>704.75999999999976</v>
      </c>
    </row>
    <row r="28" spans="3:12">
      <c r="C28" s="134">
        <v>7</v>
      </c>
      <c r="D28" s="454">
        <v>116</v>
      </c>
      <c r="E28" s="454">
        <v>812</v>
      </c>
      <c r="F28" s="455">
        <v>348</v>
      </c>
      <c r="I28" s="134">
        <v>7</v>
      </c>
      <c r="J28" s="415">
        <v>176.19</v>
      </c>
      <c r="K28" s="459">
        <v>1233.3300000000002</v>
      </c>
      <c r="L28" s="415">
        <v>528.56999999999971</v>
      </c>
    </row>
    <row r="29" spans="3:12">
      <c r="C29" s="134">
        <v>8</v>
      </c>
      <c r="D29" s="454">
        <v>116</v>
      </c>
      <c r="E29" s="454">
        <v>928</v>
      </c>
      <c r="F29" s="455">
        <v>232</v>
      </c>
      <c r="I29" s="134">
        <v>8</v>
      </c>
      <c r="J29" s="415">
        <v>176.19</v>
      </c>
      <c r="K29" s="459">
        <v>1409.5200000000002</v>
      </c>
      <c r="L29" s="415">
        <v>352.37999999999971</v>
      </c>
    </row>
    <row r="30" spans="3:12">
      <c r="C30" s="134">
        <v>9</v>
      </c>
      <c r="D30" s="454">
        <v>116</v>
      </c>
      <c r="E30" s="454">
        <v>1044</v>
      </c>
      <c r="F30" s="455">
        <v>116</v>
      </c>
      <c r="I30" s="134">
        <v>9</v>
      </c>
      <c r="J30" s="415">
        <v>176.19</v>
      </c>
      <c r="K30" s="459">
        <v>1585.7100000000003</v>
      </c>
      <c r="L30" s="415">
        <v>176.18999999999971</v>
      </c>
    </row>
    <row r="31" spans="3:12" ht="15.75" thickBot="1">
      <c r="C31" s="136">
        <v>10</v>
      </c>
      <c r="D31" s="286">
        <v>116</v>
      </c>
      <c r="E31" s="411">
        <v>1160</v>
      </c>
      <c r="F31" s="286">
        <v>0</v>
      </c>
      <c r="I31" s="136">
        <v>10</v>
      </c>
      <c r="J31" s="286">
        <v>176.19</v>
      </c>
      <c r="K31" s="411">
        <v>1761.9000000000003</v>
      </c>
      <c r="L31" s="286">
        <v>-2.8421709430404007E-13</v>
      </c>
    </row>
    <row r="34" spans="3:12" ht="15.75" thickBot="1"/>
    <row r="35" spans="3:12" ht="16.5" thickBot="1">
      <c r="C35" s="576" t="s">
        <v>70</v>
      </c>
      <c r="D35" s="577"/>
      <c r="E35" s="577"/>
      <c r="F35" s="578"/>
      <c r="I35" s="472" t="s">
        <v>128</v>
      </c>
      <c r="J35" s="473" t="s">
        <v>317</v>
      </c>
      <c r="K35" s="474" t="s">
        <v>318</v>
      </c>
      <c r="L35" s="474" t="s">
        <v>319</v>
      </c>
    </row>
    <row r="36" spans="3:12" ht="16.5" thickBot="1">
      <c r="C36" s="449" t="s">
        <v>122</v>
      </c>
      <c r="D36" s="450" t="s">
        <v>313</v>
      </c>
      <c r="E36" s="451" t="s">
        <v>314</v>
      </c>
      <c r="F36" s="450" t="s">
        <v>315</v>
      </c>
      <c r="I36" s="475"/>
      <c r="J36" s="476"/>
      <c r="K36" s="477"/>
      <c r="L36" s="477"/>
    </row>
    <row r="37" spans="3:12">
      <c r="C37" s="316">
        <v>0</v>
      </c>
      <c r="D37" s="317"/>
      <c r="E37" s="460"/>
      <c r="F37" s="294">
        <v>3866</v>
      </c>
      <c r="I37" s="462" t="s">
        <v>320</v>
      </c>
      <c r="J37" s="463">
        <v>10</v>
      </c>
      <c r="K37" s="401">
        <v>41764</v>
      </c>
      <c r="L37" s="403">
        <f>K37/J37</f>
        <v>4176.3999999999996</v>
      </c>
    </row>
    <row r="38" spans="3:12">
      <c r="C38" s="134">
        <v>1</v>
      </c>
      <c r="D38" s="455">
        <v>1288.6666666666667</v>
      </c>
      <c r="E38" s="461">
        <v>1288.6666666666667</v>
      </c>
      <c r="F38" s="455">
        <v>2577.333333333333</v>
      </c>
      <c r="I38" s="464" t="s">
        <v>321</v>
      </c>
      <c r="J38" s="465">
        <v>3</v>
      </c>
      <c r="K38" s="406">
        <v>3866</v>
      </c>
      <c r="L38" s="466">
        <f>K38/J38</f>
        <v>1288.6666666666667</v>
      </c>
    </row>
    <row r="39" spans="3:12">
      <c r="C39" s="134">
        <v>2</v>
      </c>
      <c r="D39" s="455">
        <v>1288.6666666666667</v>
      </c>
      <c r="E39" s="461">
        <v>2577.3333333333335</v>
      </c>
      <c r="F39" s="455">
        <v>1288.6666666666663</v>
      </c>
      <c r="I39" s="467" t="s">
        <v>322</v>
      </c>
      <c r="J39" s="468">
        <v>10</v>
      </c>
      <c r="K39" s="406">
        <v>1160</v>
      </c>
      <c r="L39" s="466">
        <f>K39/J39</f>
        <v>116</v>
      </c>
    </row>
    <row r="40" spans="3:12" ht="15.75" thickBot="1">
      <c r="C40" s="136">
        <v>3</v>
      </c>
      <c r="D40" s="286">
        <v>1288.6666666666667</v>
      </c>
      <c r="E40" s="411">
        <v>3866</v>
      </c>
      <c r="F40" s="286">
        <v>0</v>
      </c>
      <c r="I40" s="467" t="s">
        <v>71</v>
      </c>
      <c r="J40" s="468">
        <v>10</v>
      </c>
      <c r="K40" s="406">
        <v>1761.9</v>
      </c>
      <c r="L40" s="466">
        <f>K40/10</f>
        <v>176.19</v>
      </c>
    </row>
    <row r="41" spans="3:12">
      <c r="I41" s="467" t="s">
        <v>323</v>
      </c>
      <c r="J41" s="469">
        <v>10</v>
      </c>
      <c r="K41" s="408">
        <v>151.30000000000001</v>
      </c>
      <c r="L41" s="466">
        <f>K41/J41</f>
        <v>15.13</v>
      </c>
    </row>
    <row r="42" spans="3:12" ht="15.75" thickBot="1">
      <c r="I42" s="470" t="s">
        <v>73</v>
      </c>
      <c r="J42" s="471">
        <v>5</v>
      </c>
      <c r="K42" s="286">
        <v>17500</v>
      </c>
      <c r="L42" s="412">
        <f>K42/J42</f>
        <v>3500</v>
      </c>
    </row>
    <row r="43" spans="3:12" ht="16.5" thickBot="1">
      <c r="C43" s="576" t="s">
        <v>73</v>
      </c>
      <c r="D43" s="577"/>
      <c r="E43" s="577"/>
      <c r="F43" s="578"/>
    </row>
    <row r="44" spans="3:12" ht="16.5" thickBot="1">
      <c r="C44" s="449" t="s">
        <v>122</v>
      </c>
      <c r="D44" s="450" t="s">
        <v>313</v>
      </c>
      <c r="E44" s="451" t="s">
        <v>314</v>
      </c>
      <c r="F44" s="450" t="s">
        <v>315</v>
      </c>
    </row>
    <row r="45" spans="3:12">
      <c r="C45" s="232">
        <v>0</v>
      </c>
      <c r="D45" s="322"/>
      <c r="E45" s="458"/>
      <c r="F45" s="401">
        <v>17500</v>
      </c>
    </row>
    <row r="46" spans="3:12">
      <c r="C46" s="134">
        <v>1</v>
      </c>
      <c r="D46" s="415">
        <v>3500</v>
      </c>
      <c r="E46" s="459">
        <v>3500</v>
      </c>
      <c r="F46" s="415">
        <v>14000</v>
      </c>
    </row>
    <row r="47" spans="3:12">
      <c r="C47" s="134">
        <v>2</v>
      </c>
      <c r="D47" s="415">
        <v>3500</v>
      </c>
      <c r="E47" s="459">
        <v>7000</v>
      </c>
      <c r="F47" s="415">
        <v>10500</v>
      </c>
    </row>
    <row r="48" spans="3:12">
      <c r="C48" s="134">
        <v>3</v>
      </c>
      <c r="D48" s="415">
        <v>3500</v>
      </c>
      <c r="E48" s="459">
        <v>10500</v>
      </c>
      <c r="F48" s="415">
        <v>7000</v>
      </c>
    </row>
    <row r="49" spans="3:6">
      <c r="C49" s="134">
        <v>4</v>
      </c>
      <c r="D49" s="415">
        <v>3500</v>
      </c>
      <c r="E49" s="459">
        <v>14000</v>
      </c>
      <c r="F49" s="415">
        <v>3500</v>
      </c>
    </row>
    <row r="50" spans="3:6" ht="15.75" thickBot="1">
      <c r="C50" s="136">
        <v>5</v>
      </c>
      <c r="D50" s="286">
        <v>3500</v>
      </c>
      <c r="E50" s="411">
        <v>17500</v>
      </c>
      <c r="F50" s="286">
        <v>0</v>
      </c>
    </row>
  </sheetData>
  <mergeCells count="7">
    <mergeCell ref="C2:L2"/>
    <mergeCell ref="C4:F4"/>
    <mergeCell ref="C19:F19"/>
    <mergeCell ref="C35:F35"/>
    <mergeCell ref="C43:F43"/>
    <mergeCell ref="I4:L4"/>
    <mergeCell ref="I19:L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2:E17"/>
  <sheetViews>
    <sheetView workbookViewId="0">
      <selection activeCell="H20" sqref="H20"/>
    </sheetView>
  </sheetViews>
  <sheetFormatPr baseColWidth="10" defaultRowHeight="15"/>
  <cols>
    <col min="3" max="3" width="33.42578125" bestFit="1" customWidth="1"/>
    <col min="4" max="4" width="14.42578125" bestFit="1" customWidth="1"/>
  </cols>
  <sheetData>
    <row r="2" spans="3:5" ht="15.75" thickBot="1"/>
    <row r="3" spans="3:5" ht="16.5" thickBot="1">
      <c r="C3" s="652" t="s">
        <v>331</v>
      </c>
      <c r="D3" s="653"/>
      <c r="E3" s="654"/>
    </row>
    <row r="4" spans="3:5" ht="16.5" thickBot="1">
      <c r="C4" s="485" t="s">
        <v>332</v>
      </c>
      <c r="D4" s="486" t="s">
        <v>330</v>
      </c>
      <c r="E4" s="487" t="s">
        <v>78</v>
      </c>
    </row>
    <row r="5" spans="3:5">
      <c r="C5" s="488" t="s">
        <v>320</v>
      </c>
      <c r="D5" s="489">
        <v>41764</v>
      </c>
      <c r="E5" s="490">
        <f>D5/D10</f>
        <v>0.63229066839863812</v>
      </c>
    </row>
    <row r="6" spans="3:5">
      <c r="C6" s="491" t="s">
        <v>333</v>
      </c>
      <c r="D6" s="315">
        <v>3866</v>
      </c>
      <c r="E6" s="492">
        <f>D6/D10</f>
        <v>5.8529731922927278E-2</v>
      </c>
    </row>
    <row r="7" spans="3:5">
      <c r="C7" s="491" t="s">
        <v>322</v>
      </c>
      <c r="D7" s="315">
        <v>1160</v>
      </c>
      <c r="E7" s="492">
        <f>D7/D10</f>
        <v>1.7561947498860746E-2</v>
      </c>
    </row>
    <row r="8" spans="3:5">
      <c r="C8" s="493" t="s">
        <v>71</v>
      </c>
      <c r="D8" s="315">
        <v>1761.9</v>
      </c>
      <c r="E8" s="492">
        <f>D8/D10</f>
        <v>2.6674478705381682E-2</v>
      </c>
    </row>
    <row r="9" spans="3:5">
      <c r="C9" s="494" t="s">
        <v>73</v>
      </c>
      <c r="D9" s="315">
        <v>17500</v>
      </c>
      <c r="E9" s="492">
        <f>D9/D10</f>
        <v>0.26494317347419227</v>
      </c>
    </row>
    <row r="10" spans="3:5" ht="15.75" thickBot="1">
      <c r="C10" s="495" t="s">
        <v>334</v>
      </c>
      <c r="D10" s="496">
        <f>SUM(D5:D9)</f>
        <v>66051.899999999994</v>
      </c>
      <c r="E10" s="497">
        <f>SUM(E5:E9)</f>
        <v>1</v>
      </c>
    </row>
    <row r="13" spans="3:5" ht="15.75" thickBot="1"/>
    <row r="14" spans="3:5" ht="16.5" thickBot="1">
      <c r="C14" s="655" t="s">
        <v>82</v>
      </c>
      <c r="D14" s="656"/>
    </row>
    <row r="15" spans="3:5">
      <c r="C15" s="316" t="s">
        <v>335</v>
      </c>
      <c r="D15" s="498">
        <v>19365.46</v>
      </c>
    </row>
    <row r="16" spans="3:5">
      <c r="C16" s="500" t="s">
        <v>336</v>
      </c>
      <c r="D16" s="499">
        <f>D10</f>
        <v>66051.899999999994</v>
      </c>
    </row>
    <row r="17" spans="3:4" ht="15.75" thickBot="1">
      <c r="C17" s="136" t="s">
        <v>64</v>
      </c>
      <c r="D17" s="501">
        <f>SUM(D15:D16)</f>
        <v>85417.359999999986</v>
      </c>
    </row>
  </sheetData>
  <mergeCells count="2">
    <mergeCell ref="C3:E3"/>
    <mergeCell ref="C14:D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01"/>
  <sheetViews>
    <sheetView topLeftCell="A10" workbookViewId="0">
      <selection activeCell="B75" sqref="B75"/>
    </sheetView>
  </sheetViews>
  <sheetFormatPr baseColWidth="10" defaultRowHeight="15"/>
  <cols>
    <col min="2" max="2" width="41.140625" bestFit="1" customWidth="1"/>
    <col min="3" max="3" width="16.5703125" customWidth="1"/>
    <col min="4" max="4" width="16.28515625" customWidth="1"/>
    <col min="5" max="5" width="17.42578125" customWidth="1"/>
    <col min="6" max="6" width="18.140625" customWidth="1"/>
    <col min="7" max="7" width="19.140625" customWidth="1"/>
    <col min="8" max="8" width="18.5703125" customWidth="1"/>
    <col min="9" max="9" width="11.85546875" customWidth="1"/>
    <col min="10" max="11" width="12" bestFit="1" customWidth="1"/>
    <col min="12" max="14" width="11.7109375" bestFit="1" customWidth="1"/>
    <col min="15" max="15" width="17.140625" customWidth="1"/>
  </cols>
  <sheetData>
    <row r="1" spans="2:16" ht="15.75" thickBot="1"/>
    <row r="2" spans="2:16" ht="15.75" thickBot="1">
      <c r="B2" s="199" t="s">
        <v>109</v>
      </c>
      <c r="C2" s="202" t="s">
        <v>0</v>
      </c>
      <c r="D2" s="77" t="s">
        <v>1</v>
      </c>
      <c r="E2" s="77" t="s">
        <v>2</v>
      </c>
      <c r="F2" s="77" t="s">
        <v>3</v>
      </c>
      <c r="G2" s="77" t="s">
        <v>4</v>
      </c>
      <c r="H2" s="77" t="s">
        <v>5</v>
      </c>
      <c r="I2" s="77" t="s">
        <v>6</v>
      </c>
      <c r="J2" s="77" t="s">
        <v>7</v>
      </c>
      <c r="K2" s="77" t="s">
        <v>8</v>
      </c>
      <c r="L2" s="77" t="s">
        <v>9</v>
      </c>
      <c r="M2" s="77" t="s">
        <v>10</v>
      </c>
      <c r="N2" s="78" t="s">
        <v>11</v>
      </c>
      <c r="O2" t="s">
        <v>44</v>
      </c>
    </row>
    <row r="3" spans="2:16">
      <c r="B3" s="10" t="s">
        <v>12</v>
      </c>
      <c r="C3" s="203">
        <f>C4*C5</f>
        <v>10132.01723131805</v>
      </c>
      <c r="D3" s="79">
        <f t="shared" ref="D3:N3" si="0">D4*D5</f>
        <v>10132.01723131805</v>
      </c>
      <c r="E3" s="79">
        <f t="shared" si="0"/>
        <v>10132.01723131805</v>
      </c>
      <c r="F3" s="79">
        <f t="shared" si="0"/>
        <v>13171.622400713466</v>
      </c>
      <c r="G3" s="79">
        <f t="shared" si="0"/>
        <v>14850.000000000002</v>
      </c>
      <c r="H3" s="79">
        <f t="shared" si="0"/>
        <v>16210.7</v>
      </c>
      <c r="I3" s="79">
        <f t="shared" si="0"/>
        <v>18237.631016372492</v>
      </c>
      <c r="J3" s="79">
        <f t="shared" si="0"/>
        <v>16876.2</v>
      </c>
      <c r="K3" s="79">
        <f t="shared" si="0"/>
        <v>20264.0344626361</v>
      </c>
      <c r="L3" s="79">
        <f t="shared" si="0"/>
        <v>23999.877715997165</v>
      </c>
      <c r="M3" s="79">
        <f t="shared" si="0"/>
        <v>24316.84135516332</v>
      </c>
      <c r="N3" s="204">
        <f t="shared" si="0"/>
        <v>24316.84135516332</v>
      </c>
      <c r="O3" s="7">
        <f>SUM(C3:N3)</f>
        <v>202639.8</v>
      </c>
    </row>
    <row r="4" spans="2:16">
      <c r="B4" s="10" t="s">
        <v>137</v>
      </c>
      <c r="C4" s="205">
        <v>9210.9247557436811</v>
      </c>
      <c r="D4" s="164">
        <v>9210.9247557436811</v>
      </c>
      <c r="E4" s="164">
        <v>9210.9247557436811</v>
      </c>
      <c r="F4" s="164">
        <v>11974.202182466786</v>
      </c>
      <c r="G4" s="164">
        <v>13500</v>
      </c>
      <c r="H4" s="164">
        <v>14737</v>
      </c>
      <c r="I4" s="164">
        <v>16579.664560338628</v>
      </c>
      <c r="J4" s="164">
        <v>15342</v>
      </c>
      <c r="K4" s="164">
        <v>18421.849511487362</v>
      </c>
      <c r="L4" s="164">
        <v>21818.070650906513</v>
      </c>
      <c r="M4" s="164">
        <v>22106.219413784835</v>
      </c>
      <c r="N4" s="206">
        <v>22106.219413784835</v>
      </c>
      <c r="O4" s="7">
        <f>SUM(C4:N4)</f>
        <v>184218</v>
      </c>
    </row>
    <row r="5" spans="2:16">
      <c r="B5" s="10" t="s">
        <v>136</v>
      </c>
      <c r="C5" s="207">
        <v>1.1000000000000001</v>
      </c>
      <c r="D5" s="33">
        <v>1.1000000000000001</v>
      </c>
      <c r="E5" s="33">
        <v>1.1000000000000001</v>
      </c>
      <c r="F5" s="33">
        <v>1.1000000000000001</v>
      </c>
      <c r="G5" s="33">
        <v>1.1000000000000001</v>
      </c>
      <c r="H5" s="33">
        <v>1.1000000000000001</v>
      </c>
      <c r="I5" s="33">
        <v>1.1000000000000001</v>
      </c>
      <c r="J5" s="33">
        <v>1.1000000000000001</v>
      </c>
      <c r="K5" s="33">
        <v>1.1000000000000001</v>
      </c>
      <c r="L5" s="33">
        <v>1.1000000000000001</v>
      </c>
      <c r="M5" s="33">
        <v>1.1000000000000001</v>
      </c>
      <c r="N5" s="40">
        <v>1.1000000000000001</v>
      </c>
      <c r="O5" s="7">
        <f>O4-184218</f>
        <v>0</v>
      </c>
    </row>
    <row r="6" spans="2:16">
      <c r="B6" s="200" t="s">
        <v>13</v>
      </c>
      <c r="C6" s="207"/>
      <c r="D6" s="33"/>
      <c r="E6" s="33"/>
      <c r="F6" s="33"/>
      <c r="G6" s="33"/>
      <c r="H6" s="33"/>
      <c r="I6" s="33"/>
      <c r="J6" s="33"/>
      <c r="K6" s="33"/>
      <c r="L6" s="33"/>
      <c r="M6" s="33"/>
      <c r="N6" s="40"/>
      <c r="O6" s="7"/>
    </row>
    <row r="7" spans="2:16">
      <c r="B7" s="10" t="s">
        <v>14</v>
      </c>
      <c r="C7" s="207">
        <v>1681.28</v>
      </c>
      <c r="D7" s="33">
        <v>1681.28</v>
      </c>
      <c r="E7" s="33">
        <v>1681.28</v>
      </c>
      <c r="F7" s="33">
        <v>1681.28</v>
      </c>
      <c r="G7" s="33">
        <v>1681.28</v>
      </c>
      <c r="H7" s="33">
        <v>1681.28</v>
      </c>
      <c r="I7" s="33">
        <v>1681.28</v>
      </c>
      <c r="J7" s="33">
        <v>1681.28</v>
      </c>
      <c r="K7" s="33">
        <v>1681.28</v>
      </c>
      <c r="L7" s="33">
        <v>1681.28</v>
      </c>
      <c r="M7" s="33">
        <v>1681.28</v>
      </c>
      <c r="N7" s="40">
        <v>1681.28</v>
      </c>
      <c r="O7" s="7">
        <f>SUM(C7:N7)</f>
        <v>20175.36</v>
      </c>
    </row>
    <row r="8" spans="2:16">
      <c r="B8" s="10" t="s">
        <v>15</v>
      </c>
      <c r="C8" s="207">
        <v>9329.2192000000014</v>
      </c>
      <c r="D8" s="33">
        <v>10661.9648</v>
      </c>
      <c r="E8" s="33">
        <v>10661.9648</v>
      </c>
      <c r="F8" s="33">
        <v>10661.9648</v>
      </c>
      <c r="G8" s="33">
        <v>9729.0428799999991</v>
      </c>
      <c r="H8" s="33">
        <v>9729.0428799999991</v>
      </c>
      <c r="I8" s="33">
        <v>10661.9648</v>
      </c>
      <c r="J8" s="33">
        <v>11195.063040000001</v>
      </c>
      <c r="K8" s="33">
        <v>10661.9648</v>
      </c>
      <c r="L8" s="33">
        <v>11994.7104</v>
      </c>
      <c r="M8" s="33">
        <v>13327.456</v>
      </c>
      <c r="N8" s="40">
        <v>14660.2016</v>
      </c>
      <c r="O8" s="7">
        <f>SUM(C8:N8)</f>
        <v>133274.56</v>
      </c>
    </row>
    <row r="9" spans="2:16">
      <c r="B9" s="10" t="s">
        <v>16</v>
      </c>
      <c r="C9" s="208">
        <f>C7+C8</f>
        <v>11010.499200000002</v>
      </c>
      <c r="D9" s="21">
        <f t="shared" ref="D9:N9" si="1">D7+D8</f>
        <v>12343.2448</v>
      </c>
      <c r="E9" s="21">
        <f t="shared" si="1"/>
        <v>12343.2448</v>
      </c>
      <c r="F9" s="21">
        <f t="shared" si="1"/>
        <v>12343.2448</v>
      </c>
      <c r="G9" s="21">
        <f t="shared" si="1"/>
        <v>11410.32288</v>
      </c>
      <c r="H9" s="21">
        <f t="shared" si="1"/>
        <v>11410.32288</v>
      </c>
      <c r="I9" s="21">
        <f t="shared" si="1"/>
        <v>12343.2448</v>
      </c>
      <c r="J9" s="21">
        <f t="shared" si="1"/>
        <v>12876.343040000002</v>
      </c>
      <c r="K9" s="21">
        <f t="shared" si="1"/>
        <v>12343.2448</v>
      </c>
      <c r="L9" s="21">
        <f t="shared" si="1"/>
        <v>13675.990400000001</v>
      </c>
      <c r="M9" s="21">
        <f t="shared" si="1"/>
        <v>15008.736000000001</v>
      </c>
      <c r="N9" s="22">
        <f t="shared" si="1"/>
        <v>16341.481600000001</v>
      </c>
      <c r="O9" s="7">
        <f>SUM(O7:O8)</f>
        <v>153449.91999999998</v>
      </c>
    </row>
    <row r="10" spans="2:16">
      <c r="B10" s="200" t="s">
        <v>17</v>
      </c>
      <c r="C10" s="10"/>
      <c r="D10" s="34"/>
      <c r="E10" s="2"/>
      <c r="F10" s="2"/>
      <c r="G10" s="34"/>
      <c r="H10" s="34"/>
      <c r="I10" s="2"/>
      <c r="J10" s="2"/>
      <c r="K10" s="34"/>
      <c r="L10" s="34"/>
      <c r="M10" s="12"/>
      <c r="N10" s="41"/>
    </row>
    <row r="11" spans="2:16">
      <c r="B11" s="10" t="s">
        <v>18</v>
      </c>
      <c r="C11" s="207">
        <v>2122.3333333333335</v>
      </c>
      <c r="D11" s="33">
        <v>2122.3333333333335</v>
      </c>
      <c r="E11" s="33">
        <v>2122.3333333333335</v>
      </c>
      <c r="F11" s="33">
        <v>2122.3333333333335</v>
      </c>
      <c r="G11" s="33">
        <v>2122.3333333333335</v>
      </c>
      <c r="H11" s="33">
        <v>2122.3333333333335</v>
      </c>
      <c r="I11" s="33">
        <v>2122.3333333333335</v>
      </c>
      <c r="J11" s="33">
        <v>2122.3333333333335</v>
      </c>
      <c r="K11" s="33">
        <v>2122.3333333333335</v>
      </c>
      <c r="L11" s="33">
        <v>2122.3333333333335</v>
      </c>
      <c r="M11" s="33">
        <v>2122.3333333333335</v>
      </c>
      <c r="N11" s="40">
        <v>2122.3333333333335</v>
      </c>
      <c r="O11" s="7">
        <f>SUM(C11:N11)</f>
        <v>25467.999999999996</v>
      </c>
    </row>
    <row r="12" spans="2:16">
      <c r="B12" s="10" t="s">
        <v>19</v>
      </c>
      <c r="C12" s="207">
        <v>200</v>
      </c>
      <c r="D12" s="33">
        <v>200</v>
      </c>
      <c r="E12" s="33">
        <v>200</v>
      </c>
      <c r="F12" s="33">
        <v>200</v>
      </c>
      <c r="G12" s="33">
        <v>200</v>
      </c>
      <c r="H12" s="33">
        <v>200</v>
      </c>
      <c r="I12" s="33">
        <v>200</v>
      </c>
      <c r="J12" s="33">
        <v>200</v>
      </c>
      <c r="K12" s="33">
        <v>200</v>
      </c>
      <c r="L12" s="33">
        <v>200</v>
      </c>
      <c r="M12" s="33">
        <v>200</v>
      </c>
      <c r="N12" s="40">
        <v>200</v>
      </c>
      <c r="O12" s="7">
        <f>SUM(C12:N12)</f>
        <v>2400</v>
      </c>
    </row>
    <row r="13" spans="2:16">
      <c r="B13" s="10" t="s">
        <v>20</v>
      </c>
      <c r="C13" s="207">
        <v>125.185</v>
      </c>
      <c r="D13" s="33">
        <v>125.185</v>
      </c>
      <c r="E13" s="33">
        <v>125.185</v>
      </c>
      <c r="F13" s="33">
        <v>125.185</v>
      </c>
      <c r="G13" s="33">
        <v>125.185</v>
      </c>
      <c r="H13" s="33">
        <v>125.185</v>
      </c>
      <c r="I13" s="33">
        <v>125.185</v>
      </c>
      <c r="J13" s="33">
        <v>125.185</v>
      </c>
      <c r="K13" s="33">
        <v>125.185</v>
      </c>
      <c r="L13" s="33">
        <v>125.185</v>
      </c>
      <c r="M13" s="33">
        <v>125.185</v>
      </c>
      <c r="N13" s="40">
        <v>125.185</v>
      </c>
      <c r="O13" s="7">
        <f>SUM(O11:O12)</f>
        <v>27867.999999999996</v>
      </c>
    </row>
    <row r="14" spans="2:16">
      <c r="B14" s="10" t="s">
        <v>21</v>
      </c>
      <c r="C14" s="207">
        <v>25</v>
      </c>
      <c r="D14" s="33">
        <v>25</v>
      </c>
      <c r="E14" s="33">
        <v>25</v>
      </c>
      <c r="F14" s="33">
        <v>25</v>
      </c>
      <c r="G14" s="33">
        <v>25</v>
      </c>
      <c r="H14" s="33">
        <v>25</v>
      </c>
      <c r="I14" s="33">
        <v>25</v>
      </c>
      <c r="J14" s="33">
        <v>25</v>
      </c>
      <c r="K14" s="33">
        <v>25</v>
      </c>
      <c r="L14" s="33">
        <v>25</v>
      </c>
      <c r="M14" s="33">
        <v>25</v>
      </c>
      <c r="N14" s="40">
        <v>25</v>
      </c>
      <c r="O14" s="7">
        <f>SUM(C14:N14)</f>
        <v>300</v>
      </c>
    </row>
    <row r="15" spans="2:16">
      <c r="B15" s="10" t="s">
        <v>22</v>
      </c>
      <c r="C15" s="207">
        <v>112.16666666666667</v>
      </c>
      <c r="D15" s="33">
        <v>112.16666666666667</v>
      </c>
      <c r="E15" s="33">
        <v>112.16666666666667</v>
      </c>
      <c r="F15" s="33">
        <v>112.16666666666667</v>
      </c>
      <c r="G15" s="33">
        <v>112.16666666666667</v>
      </c>
      <c r="H15" s="33">
        <v>112.16666666666667</v>
      </c>
      <c r="I15" s="33">
        <v>112.16666666666667</v>
      </c>
      <c r="J15" s="33">
        <v>112.16666666666667</v>
      </c>
      <c r="K15" s="33">
        <v>112.16666666666667</v>
      </c>
      <c r="L15" s="33">
        <v>112.16666666666667</v>
      </c>
      <c r="M15" s="33">
        <v>112.16666666666667</v>
      </c>
      <c r="N15" s="40">
        <v>112.16666666666667</v>
      </c>
      <c r="O15" s="7">
        <f>SUM(C15:N15)</f>
        <v>1346</v>
      </c>
      <c r="P15">
        <f>O15/5</f>
        <v>269.2</v>
      </c>
    </row>
    <row r="16" spans="2:16">
      <c r="B16" s="10" t="s">
        <v>23</v>
      </c>
      <c r="C16" s="207">
        <v>42.833333333333329</v>
      </c>
      <c r="D16" s="33">
        <v>42.833333333333329</v>
      </c>
      <c r="E16" s="33">
        <v>42.833333333333329</v>
      </c>
      <c r="F16" s="33">
        <v>42.833333333333329</v>
      </c>
      <c r="G16" s="33">
        <v>42.833333333333329</v>
      </c>
      <c r="H16" s="33">
        <v>42.833333333333329</v>
      </c>
      <c r="I16" s="33">
        <v>42.833333333333329</v>
      </c>
      <c r="J16" s="33">
        <v>42.833333333333329</v>
      </c>
      <c r="K16" s="33">
        <v>42.833333333333329</v>
      </c>
      <c r="L16" s="33">
        <v>42.833333333333329</v>
      </c>
      <c r="M16" s="33">
        <v>42.833333333333329</v>
      </c>
      <c r="N16" s="40">
        <v>42.833333333333329</v>
      </c>
      <c r="O16" s="7">
        <f>SUM(O14:O15)</f>
        <v>1646</v>
      </c>
    </row>
    <row r="17" spans="2:15">
      <c r="B17" s="10" t="s">
        <v>24</v>
      </c>
      <c r="C17" s="208">
        <f>SUM(C11:C16)</f>
        <v>2627.5183333333334</v>
      </c>
      <c r="D17" s="21">
        <f t="shared" ref="D17:N17" si="2">SUM(D11:D16)</f>
        <v>2627.5183333333334</v>
      </c>
      <c r="E17" s="21">
        <f t="shared" si="2"/>
        <v>2627.5183333333334</v>
      </c>
      <c r="F17" s="21">
        <f t="shared" si="2"/>
        <v>2627.5183333333334</v>
      </c>
      <c r="G17" s="21">
        <f t="shared" si="2"/>
        <v>2627.5183333333334</v>
      </c>
      <c r="H17" s="21">
        <f t="shared" si="2"/>
        <v>2627.5183333333334</v>
      </c>
      <c r="I17" s="21">
        <f t="shared" si="2"/>
        <v>2627.5183333333334</v>
      </c>
      <c r="J17" s="21">
        <f t="shared" si="2"/>
        <v>2627.5183333333334</v>
      </c>
      <c r="K17" s="21">
        <f t="shared" si="2"/>
        <v>2627.5183333333334</v>
      </c>
      <c r="L17" s="21">
        <f t="shared" si="2"/>
        <v>2627.5183333333334</v>
      </c>
      <c r="M17" s="21">
        <f t="shared" si="2"/>
        <v>2627.5183333333334</v>
      </c>
      <c r="N17" s="22">
        <f t="shared" si="2"/>
        <v>2627.5183333333334</v>
      </c>
    </row>
    <row r="18" spans="2:15">
      <c r="B18" s="200" t="s">
        <v>25</v>
      </c>
      <c r="C18" s="10"/>
      <c r="D18" s="12"/>
      <c r="E18" s="34"/>
      <c r="F18" s="35"/>
      <c r="G18" s="35"/>
      <c r="H18" s="34"/>
      <c r="I18" s="34"/>
      <c r="J18" s="35"/>
      <c r="K18" s="35"/>
      <c r="L18" s="34"/>
      <c r="M18" s="12"/>
      <c r="N18" s="41"/>
    </row>
    <row r="19" spans="2:15">
      <c r="B19" s="10" t="s">
        <v>26</v>
      </c>
      <c r="C19" s="207">
        <v>333.33</v>
      </c>
      <c r="D19" s="33">
        <v>333.33</v>
      </c>
      <c r="E19" s="33">
        <v>333.33</v>
      </c>
      <c r="F19" s="33">
        <v>333.33</v>
      </c>
      <c r="G19" s="33">
        <v>333.33</v>
      </c>
      <c r="H19" s="33">
        <v>333.33</v>
      </c>
      <c r="I19" s="33">
        <v>333.33</v>
      </c>
      <c r="J19" s="33">
        <v>333.33</v>
      </c>
      <c r="K19" s="33">
        <v>333.33</v>
      </c>
      <c r="L19" s="33">
        <v>333.33</v>
      </c>
      <c r="M19" s="33">
        <v>333.33</v>
      </c>
      <c r="N19" s="40">
        <v>333.33</v>
      </c>
      <c r="O19" s="7">
        <f>SUM(C19:N19)</f>
        <v>3999.9599999999996</v>
      </c>
    </row>
    <row r="20" spans="2:15">
      <c r="B20" s="10" t="s">
        <v>27</v>
      </c>
      <c r="C20" s="207">
        <v>705.66666666666663</v>
      </c>
      <c r="D20" s="33">
        <v>705.66666666666663</v>
      </c>
      <c r="E20" s="33">
        <v>705.66666666666663</v>
      </c>
      <c r="F20" s="33">
        <v>705.66666666666663</v>
      </c>
      <c r="G20" s="33">
        <v>705.66666666666663</v>
      </c>
      <c r="H20" s="33">
        <v>705.66666666666663</v>
      </c>
      <c r="I20" s="33">
        <v>705.66666666666663</v>
      </c>
      <c r="J20" s="33">
        <v>705.66666666666663</v>
      </c>
      <c r="K20" s="33">
        <v>705.66666666666663</v>
      </c>
      <c r="L20" s="33">
        <v>705.66666666666663</v>
      </c>
      <c r="M20" s="33">
        <v>705.66666666666663</v>
      </c>
      <c r="N20" s="40">
        <v>705.66666666666663</v>
      </c>
      <c r="O20" s="7">
        <f>SUM(C20:N20)</f>
        <v>8468.0000000000018</v>
      </c>
    </row>
    <row r="21" spans="2:15">
      <c r="B21" s="10" t="s">
        <v>28</v>
      </c>
      <c r="C21" s="208">
        <f>C19+C20</f>
        <v>1038.9966666666667</v>
      </c>
      <c r="D21" s="21">
        <f t="shared" ref="D21:N21" si="3">D19+D20</f>
        <v>1038.9966666666667</v>
      </c>
      <c r="E21" s="21">
        <f t="shared" si="3"/>
        <v>1038.9966666666667</v>
      </c>
      <c r="F21" s="21">
        <f t="shared" si="3"/>
        <v>1038.9966666666667</v>
      </c>
      <c r="G21" s="21">
        <f t="shared" si="3"/>
        <v>1038.9966666666667</v>
      </c>
      <c r="H21" s="21">
        <f t="shared" si="3"/>
        <v>1038.9966666666667</v>
      </c>
      <c r="I21" s="21">
        <f t="shared" si="3"/>
        <v>1038.9966666666667</v>
      </c>
      <c r="J21" s="21">
        <f t="shared" si="3"/>
        <v>1038.9966666666667</v>
      </c>
      <c r="K21" s="21">
        <f t="shared" si="3"/>
        <v>1038.9966666666667</v>
      </c>
      <c r="L21" s="21">
        <f t="shared" si="3"/>
        <v>1038.9966666666667</v>
      </c>
      <c r="M21" s="21">
        <f t="shared" si="3"/>
        <v>1038.9966666666667</v>
      </c>
      <c r="N21" s="22">
        <f t="shared" si="3"/>
        <v>1038.9966666666667</v>
      </c>
    </row>
    <row r="22" spans="2:15">
      <c r="B22" s="10" t="s">
        <v>29</v>
      </c>
      <c r="C22" s="207">
        <f>C9+C17+C21</f>
        <v>14677.014200000001</v>
      </c>
      <c r="D22" s="33">
        <f t="shared" ref="D22:N22" si="4">D9+D17+D21</f>
        <v>16009.7598</v>
      </c>
      <c r="E22" s="33">
        <f t="shared" si="4"/>
        <v>16009.7598</v>
      </c>
      <c r="F22" s="33">
        <f t="shared" si="4"/>
        <v>16009.7598</v>
      </c>
      <c r="G22" s="33">
        <f>G9+G17+G21</f>
        <v>15076.837879999999</v>
      </c>
      <c r="H22" s="33">
        <f t="shared" si="4"/>
        <v>15076.837879999999</v>
      </c>
      <c r="I22" s="33">
        <f t="shared" si="4"/>
        <v>16009.7598</v>
      </c>
      <c r="J22" s="33">
        <f t="shared" si="4"/>
        <v>16542.858040000003</v>
      </c>
      <c r="K22" s="33">
        <f t="shared" si="4"/>
        <v>16009.7598</v>
      </c>
      <c r="L22" s="33">
        <f t="shared" si="4"/>
        <v>17342.505400000002</v>
      </c>
      <c r="M22" s="33">
        <f t="shared" si="4"/>
        <v>18675.251</v>
      </c>
      <c r="N22" s="40">
        <f t="shared" si="4"/>
        <v>20007.996599999999</v>
      </c>
    </row>
    <row r="23" spans="2:15">
      <c r="B23" s="10" t="s">
        <v>30</v>
      </c>
      <c r="C23" s="209">
        <f>C3-C22</f>
        <v>-4544.9969686819513</v>
      </c>
      <c r="D23" s="36">
        <f t="shared" ref="D23:N23" si="5">D3-D22</f>
        <v>-5877.7425686819497</v>
      </c>
      <c r="E23" s="36">
        <f t="shared" si="5"/>
        <v>-5877.7425686819497</v>
      </c>
      <c r="F23" s="36">
        <f>F3-F22</f>
        <v>-2838.1373992865338</v>
      </c>
      <c r="G23" s="36">
        <f t="shared" si="5"/>
        <v>-226.83787999999731</v>
      </c>
      <c r="H23" s="36">
        <f t="shared" si="5"/>
        <v>1133.8621200000016</v>
      </c>
      <c r="I23" s="36">
        <f t="shared" si="5"/>
        <v>2227.8712163724922</v>
      </c>
      <c r="J23" s="36">
        <f t="shared" si="5"/>
        <v>333.34195999999793</v>
      </c>
      <c r="K23" s="36">
        <f t="shared" si="5"/>
        <v>4254.2746626361004</v>
      </c>
      <c r="L23" s="36">
        <f t="shared" si="5"/>
        <v>6657.3723159971632</v>
      </c>
      <c r="M23" s="36">
        <f t="shared" si="5"/>
        <v>5641.5903551633201</v>
      </c>
      <c r="N23" s="42">
        <f t="shared" si="5"/>
        <v>4308.8447551633217</v>
      </c>
      <c r="O23" s="249">
        <f>4000/12</f>
        <v>333.33333333333331</v>
      </c>
    </row>
    <row r="24" spans="2:15" ht="15.75" thickBot="1">
      <c r="B24" s="201" t="s">
        <v>31</v>
      </c>
      <c r="C24" s="210">
        <f>C23</f>
        <v>-4544.9969686819513</v>
      </c>
      <c r="D24" s="43">
        <f>C24+D23</f>
        <v>-10422.739537363901</v>
      </c>
      <c r="E24" s="43">
        <f t="shared" ref="E24:N24" si="6">D24+E23</f>
        <v>-16300.482106045851</v>
      </c>
      <c r="F24" s="43">
        <f t="shared" si="6"/>
        <v>-19138.619505332383</v>
      </c>
      <c r="G24" s="44">
        <f t="shared" si="6"/>
        <v>-19365.457385332382</v>
      </c>
      <c r="H24" s="43">
        <f t="shared" si="6"/>
        <v>-18231.59526533238</v>
      </c>
      <c r="I24" s="43">
        <f t="shared" si="6"/>
        <v>-16003.724048959888</v>
      </c>
      <c r="J24" s="43">
        <f t="shared" si="6"/>
        <v>-15670.38208895989</v>
      </c>
      <c r="K24" s="43">
        <f t="shared" si="6"/>
        <v>-11416.10742632379</v>
      </c>
      <c r="L24" s="43">
        <f t="shared" si="6"/>
        <v>-4758.7351103266265</v>
      </c>
      <c r="M24" s="43">
        <f t="shared" si="6"/>
        <v>882.8552448366936</v>
      </c>
      <c r="N24" s="45">
        <f t="shared" si="6"/>
        <v>5191.7000000000153</v>
      </c>
    </row>
    <row r="26" spans="2:15">
      <c r="I26" s="6"/>
      <c r="L26" s="6">
        <f>L4+288.15</f>
        <v>22106.220650906514</v>
      </c>
      <c r="M26" s="7">
        <f>L4-O5</f>
        <v>21818.070650906513</v>
      </c>
    </row>
    <row r="27" spans="2:15">
      <c r="G27" s="6"/>
    </row>
    <row r="28" spans="2:15">
      <c r="B28" s="6"/>
    </row>
    <row r="29" spans="2:15">
      <c r="C29" s="6"/>
      <c r="D29" s="6"/>
      <c r="E29" s="3"/>
    </row>
    <row r="30" spans="2:15">
      <c r="H30" s="4"/>
    </row>
    <row r="31" spans="2:15">
      <c r="D31" s="6"/>
      <c r="E31" s="4"/>
      <c r="G31" s="7"/>
    </row>
    <row r="32" spans="2:15">
      <c r="D32" s="6"/>
      <c r="E32" s="4"/>
      <c r="G32" s="7"/>
    </row>
    <row r="33" spans="3:11">
      <c r="D33" s="6"/>
      <c r="E33" s="4"/>
      <c r="G33" s="7"/>
    </row>
    <row r="34" spans="3:11">
      <c r="D34" s="6"/>
      <c r="E34" s="4"/>
      <c r="G34" s="7"/>
    </row>
    <row r="35" spans="3:11">
      <c r="D35" s="6"/>
      <c r="E35" s="4"/>
      <c r="G35" s="7"/>
    </row>
    <row r="36" spans="3:11">
      <c r="D36" s="6"/>
      <c r="E36" s="4"/>
      <c r="G36" s="7"/>
    </row>
    <row r="37" spans="3:11">
      <c r="D37" s="6"/>
      <c r="E37" s="4"/>
      <c r="G37" s="7"/>
    </row>
    <row r="38" spans="3:11">
      <c r="D38" s="6"/>
      <c r="E38" s="4"/>
      <c r="G38" s="7"/>
    </row>
    <row r="39" spans="3:11">
      <c r="D39" s="6"/>
      <c r="E39" s="4"/>
      <c r="G39" s="7"/>
    </row>
    <row r="40" spans="3:11">
      <c r="D40" s="6"/>
      <c r="E40" s="4"/>
      <c r="G40" s="7"/>
    </row>
    <row r="41" spans="3:11">
      <c r="D41" s="6"/>
      <c r="E41" s="4"/>
      <c r="G41" s="7"/>
    </row>
    <row r="42" spans="3:11">
      <c r="D42" s="6"/>
      <c r="E42" s="4"/>
      <c r="G42" s="7"/>
    </row>
    <row r="43" spans="3:11">
      <c r="D43" s="6"/>
      <c r="E43" s="5"/>
      <c r="G43" s="7"/>
      <c r="K43" s="35"/>
    </row>
    <row r="46" spans="3:11">
      <c r="C46" s="7">
        <v>11106.213333333333</v>
      </c>
      <c r="D46" s="7">
        <v>133274.56</v>
      </c>
    </row>
    <row r="47" spans="3:11">
      <c r="C47" t="s">
        <v>32</v>
      </c>
      <c r="D47" s="7">
        <f>E47*$D$46</f>
        <v>9329.2192000000014</v>
      </c>
      <c r="E47" s="4">
        <v>7.0000000000000007E-2</v>
      </c>
      <c r="F47">
        <v>11053.44</v>
      </c>
      <c r="G47" s="4"/>
      <c r="H47" s="7"/>
      <c r="I47" s="4"/>
    </row>
    <row r="48" spans="3:11">
      <c r="C48" t="s">
        <v>33</v>
      </c>
      <c r="D48" s="7">
        <f t="shared" ref="D48:D58" si="7">E48*$D$46</f>
        <v>9329.2192000000014</v>
      </c>
      <c r="E48" s="4">
        <v>7.0000000000000007E-2</v>
      </c>
      <c r="F48" s="7">
        <f>F47*12</f>
        <v>132641.28</v>
      </c>
      <c r="G48" s="4"/>
      <c r="H48" s="7"/>
      <c r="I48" s="4"/>
    </row>
    <row r="49" spans="3:9">
      <c r="C49" t="s">
        <v>34</v>
      </c>
      <c r="D49" s="7">
        <f t="shared" si="7"/>
        <v>9329.2192000000014</v>
      </c>
      <c r="E49" s="4">
        <v>7.0000000000000007E-2</v>
      </c>
      <c r="F49" s="7"/>
      <c r="G49" s="4"/>
      <c r="H49" s="7"/>
      <c r="I49" s="4"/>
    </row>
    <row r="50" spans="3:9">
      <c r="C50" t="s">
        <v>35</v>
      </c>
      <c r="D50" s="7">
        <f t="shared" si="7"/>
        <v>10661.9648</v>
      </c>
      <c r="E50" s="4">
        <v>0.08</v>
      </c>
      <c r="F50" s="7"/>
      <c r="G50" s="4"/>
      <c r="H50" s="7"/>
      <c r="I50" s="4"/>
    </row>
    <row r="51" spans="3:9">
      <c r="C51" t="s">
        <v>36</v>
      </c>
      <c r="D51" s="7">
        <f t="shared" si="7"/>
        <v>9995.5919999999987</v>
      </c>
      <c r="E51" s="4">
        <v>7.4999999999999997E-2</v>
      </c>
      <c r="F51" s="7"/>
      <c r="G51" s="4"/>
      <c r="H51" s="7"/>
      <c r="I51" s="4"/>
    </row>
    <row r="52" spans="3:9">
      <c r="C52" t="s">
        <v>37</v>
      </c>
      <c r="D52" s="7">
        <f t="shared" si="7"/>
        <v>9995.5919999999987</v>
      </c>
      <c r="E52" s="4">
        <v>7.4999999999999997E-2</v>
      </c>
      <c r="F52" s="7"/>
      <c r="G52" s="4"/>
      <c r="H52" s="7"/>
      <c r="I52" s="4"/>
    </row>
    <row r="53" spans="3:9">
      <c r="C53" t="s">
        <v>38</v>
      </c>
      <c r="D53" s="7">
        <f t="shared" si="7"/>
        <v>10661.9648</v>
      </c>
      <c r="E53" s="4">
        <v>0.08</v>
      </c>
      <c r="F53" s="7"/>
      <c r="G53" s="4"/>
      <c r="H53" s="7"/>
      <c r="I53" s="4"/>
    </row>
    <row r="54" spans="3:9">
      <c r="C54" t="s">
        <v>39</v>
      </c>
      <c r="D54" s="7">
        <f t="shared" si="7"/>
        <v>11994.7104</v>
      </c>
      <c r="E54" s="4">
        <v>0.09</v>
      </c>
      <c r="F54" s="7"/>
      <c r="G54" s="4"/>
      <c r="H54" s="7"/>
      <c r="I54" s="4"/>
    </row>
    <row r="55" spans="3:9">
      <c r="C55" t="s">
        <v>40</v>
      </c>
      <c r="D55" s="7">
        <f t="shared" si="7"/>
        <v>10661.9648</v>
      </c>
      <c r="E55" s="4">
        <v>0.08</v>
      </c>
      <c r="F55" s="7"/>
      <c r="G55" s="4"/>
      <c r="H55" s="7"/>
      <c r="I55" s="4"/>
    </row>
    <row r="56" spans="3:9">
      <c r="C56" t="s">
        <v>41</v>
      </c>
      <c r="D56" s="7">
        <f t="shared" si="7"/>
        <v>11994.7104</v>
      </c>
      <c r="E56" s="4">
        <v>0.09</v>
      </c>
      <c r="F56" s="7"/>
      <c r="G56" s="4"/>
      <c r="H56" s="7"/>
      <c r="I56" s="4"/>
    </row>
    <row r="57" spans="3:9">
      <c r="C57" t="s">
        <v>42</v>
      </c>
      <c r="D57" s="7">
        <f t="shared" si="7"/>
        <v>14660.2016</v>
      </c>
      <c r="E57" s="4">
        <v>0.11</v>
      </c>
      <c r="F57" s="7"/>
      <c r="G57" s="4"/>
      <c r="H57" s="7"/>
      <c r="I57" s="4"/>
    </row>
    <row r="58" spans="3:9">
      <c r="C58" t="s">
        <v>43</v>
      </c>
      <c r="D58" s="7">
        <f t="shared" si="7"/>
        <v>14660.2016</v>
      </c>
      <c r="E58" s="4">
        <v>0.11</v>
      </c>
      <c r="F58" s="7"/>
      <c r="G58" s="4"/>
      <c r="H58" s="7"/>
      <c r="I58" s="4"/>
    </row>
    <row r="59" spans="3:9">
      <c r="D59" s="8">
        <f>SUM(D47:D58)</f>
        <v>133274.56</v>
      </c>
      <c r="E59" s="5">
        <f>SUM(E47:E58)</f>
        <v>0.99999999999999989</v>
      </c>
      <c r="F59" s="7"/>
      <c r="G59" s="5"/>
      <c r="H59" s="7"/>
      <c r="I59" s="5"/>
    </row>
    <row r="62" spans="3:9">
      <c r="C62" s="7">
        <v>11106.213333333333</v>
      </c>
      <c r="D62" s="7">
        <f>C62*12</f>
        <v>133274.56</v>
      </c>
    </row>
    <row r="63" spans="3:9">
      <c r="C63" t="s">
        <v>32</v>
      </c>
      <c r="D63" s="7">
        <f>$D$62*E63</f>
        <v>7996.4735999999994</v>
      </c>
      <c r="E63" s="4">
        <v>0.06</v>
      </c>
    </row>
    <row r="64" spans="3:9">
      <c r="C64" t="s">
        <v>33</v>
      </c>
      <c r="D64" s="7">
        <f t="shared" ref="D64:D73" si="8">$D$62*E64</f>
        <v>10661.9648</v>
      </c>
      <c r="E64" s="4">
        <v>0.08</v>
      </c>
    </row>
    <row r="65" spans="1:9">
      <c r="C65" t="s">
        <v>34</v>
      </c>
      <c r="D65" s="7">
        <f t="shared" si="8"/>
        <v>10661.9648</v>
      </c>
      <c r="E65" s="4">
        <v>0.08</v>
      </c>
    </row>
    <row r="66" spans="1:9">
      <c r="C66" t="s">
        <v>35</v>
      </c>
      <c r="D66" s="7">
        <f t="shared" si="8"/>
        <v>9329.2192000000014</v>
      </c>
      <c r="E66" s="4">
        <v>7.0000000000000007E-2</v>
      </c>
    </row>
    <row r="67" spans="1:9">
      <c r="C67" t="s">
        <v>36</v>
      </c>
      <c r="D67" s="7">
        <f t="shared" si="8"/>
        <v>10435.531322559998</v>
      </c>
      <c r="E67" s="4">
        <v>7.8300999999999996E-2</v>
      </c>
    </row>
    <row r="68" spans="1:9">
      <c r="C68" t="s">
        <v>37</v>
      </c>
      <c r="D68" s="7">
        <f t="shared" si="8"/>
        <v>10661.9648</v>
      </c>
      <c r="E68" s="4">
        <v>0.08</v>
      </c>
    </row>
    <row r="69" spans="1:9">
      <c r="C69" t="s">
        <v>38</v>
      </c>
      <c r="D69" s="7">
        <f t="shared" si="8"/>
        <v>10661.9648</v>
      </c>
      <c r="E69" s="4">
        <v>0.08</v>
      </c>
    </row>
    <row r="70" spans="1:9">
      <c r="C70" t="s">
        <v>39</v>
      </c>
      <c r="D70" s="7">
        <f t="shared" si="8"/>
        <v>11994.7104</v>
      </c>
      <c r="E70" s="4">
        <v>0.09</v>
      </c>
    </row>
    <row r="71" spans="1:9">
      <c r="C71" t="s">
        <v>40</v>
      </c>
      <c r="D71" s="7">
        <f t="shared" si="8"/>
        <v>11994.7104</v>
      </c>
      <c r="E71" s="4">
        <v>0.09</v>
      </c>
    </row>
    <row r="72" spans="1:9">
      <c r="C72" t="s">
        <v>41</v>
      </c>
      <c r="D72" s="7">
        <f t="shared" si="8"/>
        <v>11994.7104</v>
      </c>
      <c r="E72" s="4">
        <v>0.09</v>
      </c>
    </row>
    <row r="73" spans="1:9">
      <c r="C73" t="s">
        <v>42</v>
      </c>
      <c r="D73" s="7">
        <f t="shared" si="8"/>
        <v>13327.456</v>
      </c>
      <c r="E73" s="4">
        <v>0.1</v>
      </c>
    </row>
    <row r="74" spans="1:9">
      <c r="C74" t="s">
        <v>43</v>
      </c>
      <c r="D74" s="7">
        <f>$D$62*E74</f>
        <v>13327.456</v>
      </c>
      <c r="E74" s="4">
        <v>0.1</v>
      </c>
    </row>
    <row r="75" spans="1:9">
      <c r="D75" s="7">
        <f>SUM(D63:D74)</f>
        <v>133048.12652255999</v>
      </c>
      <c r="E75" s="5">
        <f>SUM(E63:E74)</f>
        <v>0.99830099999999988</v>
      </c>
    </row>
    <row r="78" spans="1:9">
      <c r="A78" s="165"/>
      <c r="B78" s="165"/>
      <c r="C78" s="165"/>
      <c r="D78" s="165"/>
      <c r="E78" s="165"/>
      <c r="F78" s="165"/>
      <c r="G78" s="165"/>
      <c r="H78" s="165"/>
      <c r="I78" s="165"/>
    </row>
    <row r="79" spans="1:9">
      <c r="A79" s="165"/>
      <c r="B79" s="165"/>
      <c r="C79" s="165"/>
      <c r="D79" s="165"/>
      <c r="E79" s="165"/>
      <c r="F79" s="165"/>
      <c r="G79" s="165"/>
      <c r="H79" s="165"/>
      <c r="I79" s="165"/>
    </row>
    <row r="80" spans="1:9">
      <c r="A80" s="165"/>
      <c r="B80" s="165"/>
      <c r="C80" s="165"/>
      <c r="D80" s="165"/>
      <c r="E80" s="165"/>
      <c r="F80" s="165"/>
      <c r="G80" s="165"/>
      <c r="H80" s="165"/>
      <c r="I80" s="165"/>
    </row>
    <row r="81" spans="1:9" ht="15.75">
      <c r="A81" s="165"/>
      <c r="B81" s="657"/>
      <c r="C81" s="657"/>
      <c r="D81" s="657"/>
      <c r="E81" s="657"/>
      <c r="F81" s="657"/>
      <c r="G81" s="657"/>
      <c r="H81" s="657"/>
      <c r="I81" s="165"/>
    </row>
    <row r="82" spans="1:9">
      <c r="A82" s="165"/>
      <c r="B82" s="2"/>
      <c r="C82" s="366"/>
      <c r="D82" s="366"/>
      <c r="E82" s="366"/>
      <c r="F82" s="366"/>
      <c r="G82" s="366"/>
      <c r="H82" s="366"/>
      <c r="I82" s="165"/>
    </row>
    <row r="83" spans="1:9" ht="18.75">
      <c r="A83" s="165"/>
      <c r="B83" s="34"/>
      <c r="C83" s="282"/>
      <c r="D83" s="282"/>
      <c r="E83" s="282"/>
      <c r="F83" s="282"/>
      <c r="G83" s="282"/>
      <c r="H83" s="282"/>
      <c r="I83" s="165"/>
    </row>
    <row r="84" spans="1:9" ht="18.75">
      <c r="A84" s="165"/>
      <c r="B84" s="34"/>
      <c r="C84" s="282"/>
      <c r="D84" s="282"/>
      <c r="E84" s="282"/>
      <c r="F84" s="282"/>
      <c r="G84" s="282"/>
      <c r="H84" s="282"/>
      <c r="I84" s="165"/>
    </row>
    <row r="85" spans="1:9" ht="15.75">
      <c r="A85" s="165"/>
      <c r="B85" s="34"/>
      <c r="C85" s="502"/>
      <c r="D85" s="502"/>
      <c r="E85" s="502"/>
      <c r="F85" s="502"/>
      <c r="G85" s="502"/>
      <c r="H85" s="502"/>
      <c r="I85" s="165"/>
    </row>
    <row r="86" spans="1:9" ht="15.75">
      <c r="A86" s="165"/>
      <c r="B86" s="34"/>
      <c r="C86" s="502"/>
      <c r="D86" s="502"/>
      <c r="E86" s="502"/>
      <c r="F86" s="502"/>
      <c r="G86" s="502"/>
      <c r="H86" s="502"/>
      <c r="I86" s="165"/>
    </row>
    <row r="87" spans="1:9">
      <c r="A87" s="165"/>
      <c r="B87" s="165"/>
      <c r="C87" s="165"/>
      <c r="D87" s="165"/>
      <c r="E87" s="165"/>
      <c r="F87" s="165"/>
      <c r="G87" s="165"/>
      <c r="H87" s="165"/>
      <c r="I87" s="165"/>
    </row>
    <row r="88" spans="1:9">
      <c r="A88" s="165"/>
      <c r="B88" s="165"/>
      <c r="C88" s="165"/>
      <c r="D88" s="165"/>
      <c r="E88" s="165"/>
      <c r="F88" s="165"/>
      <c r="G88" s="165"/>
      <c r="H88" s="165"/>
      <c r="I88" s="165"/>
    </row>
    <row r="89" spans="1:9">
      <c r="A89" s="165"/>
      <c r="B89" s="165"/>
      <c r="C89" s="165"/>
      <c r="D89" s="165"/>
      <c r="E89" s="165"/>
      <c r="F89" s="165"/>
      <c r="G89" s="165"/>
      <c r="H89" s="165"/>
      <c r="I89" s="165"/>
    </row>
    <row r="90" spans="1:9">
      <c r="A90" s="165"/>
      <c r="B90" s="165"/>
      <c r="C90" s="165"/>
      <c r="D90" s="165"/>
      <c r="E90" s="165"/>
      <c r="F90" s="165"/>
      <c r="G90" s="165"/>
      <c r="H90" s="165"/>
      <c r="I90" s="165"/>
    </row>
    <row r="91" spans="1:9" ht="18.75">
      <c r="A91" s="165"/>
      <c r="B91" s="165"/>
      <c r="C91" s="165"/>
      <c r="D91" s="503"/>
      <c r="E91" s="165"/>
      <c r="F91" s="165"/>
      <c r="G91" s="165"/>
      <c r="H91" s="165"/>
      <c r="I91" s="165"/>
    </row>
    <row r="92" spans="1:9">
      <c r="A92" s="165"/>
      <c r="B92" s="165"/>
      <c r="C92" s="165"/>
      <c r="D92" s="165"/>
      <c r="E92" s="165"/>
      <c r="F92" s="165"/>
      <c r="G92" s="165"/>
      <c r="H92" s="165"/>
      <c r="I92" s="165"/>
    </row>
    <row r="93" spans="1:9">
      <c r="A93" s="165"/>
      <c r="B93" s="165"/>
      <c r="C93" s="165"/>
      <c r="D93" s="165"/>
      <c r="E93" s="165"/>
      <c r="F93" s="165"/>
      <c r="G93" s="165"/>
      <c r="H93" s="165"/>
      <c r="I93" s="165"/>
    </row>
    <row r="94" spans="1:9">
      <c r="A94" s="165"/>
      <c r="B94" s="2"/>
      <c r="C94" s="366"/>
      <c r="D94" s="366"/>
      <c r="E94" s="366"/>
      <c r="F94" s="366"/>
      <c r="G94" s="366"/>
      <c r="H94" s="366"/>
      <c r="I94" s="165"/>
    </row>
    <row r="95" spans="1:9" ht="18.75">
      <c r="A95" s="165"/>
      <c r="B95" s="34"/>
      <c r="C95" s="282"/>
      <c r="D95" s="282"/>
      <c r="E95" s="282"/>
      <c r="F95" s="282"/>
      <c r="G95" s="282"/>
      <c r="H95" s="282"/>
      <c r="I95" s="165"/>
    </row>
    <row r="96" spans="1:9" ht="18.75">
      <c r="A96" s="165"/>
      <c r="B96" s="34"/>
      <c r="C96" s="282"/>
      <c r="D96" s="282"/>
      <c r="E96" s="282"/>
      <c r="F96" s="282"/>
      <c r="G96" s="282"/>
      <c r="H96" s="282"/>
      <c r="I96" s="165"/>
    </row>
    <row r="97" spans="1:9" ht="18.75">
      <c r="A97" s="165"/>
      <c r="B97" s="34"/>
      <c r="C97" s="504"/>
      <c r="D97" s="504"/>
      <c r="E97" s="504"/>
      <c r="F97" s="504"/>
      <c r="G97" s="504"/>
      <c r="H97" s="504"/>
      <c r="I97" s="165"/>
    </row>
    <row r="98" spans="1:9" ht="18.75">
      <c r="A98" s="165"/>
      <c r="B98" s="34"/>
      <c r="C98" s="504"/>
      <c r="D98" s="504"/>
      <c r="E98" s="504"/>
      <c r="F98" s="504"/>
      <c r="G98" s="504"/>
      <c r="H98" s="504"/>
      <c r="I98" s="165"/>
    </row>
    <row r="99" spans="1:9">
      <c r="A99" s="165"/>
      <c r="B99" s="165"/>
      <c r="C99" s="165"/>
      <c r="D99" s="165"/>
      <c r="E99" s="165"/>
      <c r="F99" s="165"/>
      <c r="G99" s="165"/>
      <c r="H99" s="165"/>
      <c r="I99" s="165"/>
    </row>
    <row r="100" spans="1:9" ht="18.75">
      <c r="A100" s="165"/>
      <c r="B100" s="165"/>
      <c r="C100" s="282"/>
      <c r="D100" s="165"/>
      <c r="E100" s="165"/>
      <c r="F100" s="165"/>
      <c r="G100" s="165"/>
      <c r="H100" s="165"/>
      <c r="I100" s="165"/>
    </row>
    <row r="101" spans="1:9">
      <c r="A101" s="165"/>
      <c r="B101" s="165"/>
      <c r="C101" s="165"/>
      <c r="D101" s="165"/>
      <c r="E101" s="165"/>
      <c r="F101" s="165"/>
      <c r="G101" s="165"/>
      <c r="H101" s="165"/>
      <c r="I101" s="165"/>
    </row>
  </sheetData>
  <mergeCells count="1">
    <mergeCell ref="B81:H81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J35"/>
  <sheetViews>
    <sheetView workbookViewId="0">
      <selection activeCell="F10" sqref="F10"/>
    </sheetView>
  </sheetViews>
  <sheetFormatPr baseColWidth="10" defaultRowHeight="15"/>
  <cols>
    <col min="2" max="2" width="22.42578125" customWidth="1"/>
    <col min="3" max="3" width="16.85546875" customWidth="1"/>
    <col min="4" max="4" width="15.5703125" customWidth="1"/>
    <col min="5" max="5" width="15.42578125" customWidth="1"/>
    <col min="6" max="6" width="17.140625" customWidth="1"/>
    <col min="8" max="8" width="23.28515625" bestFit="1" customWidth="1"/>
    <col min="10" max="10" width="17.140625" customWidth="1"/>
  </cols>
  <sheetData>
    <row r="3" spans="2:10" ht="15.75" thickBot="1"/>
    <row r="4" spans="2:10" ht="16.5" thickBot="1">
      <c r="B4" s="585" t="s">
        <v>77</v>
      </c>
      <c r="C4" s="586"/>
      <c r="D4" s="587"/>
      <c r="J4" s="166">
        <f>D6</f>
        <v>46979.546561932817</v>
      </c>
    </row>
    <row r="5" spans="2:10" ht="16.5" thickBot="1">
      <c r="B5" s="123" t="s">
        <v>128</v>
      </c>
      <c r="C5" s="53" t="s">
        <v>78</v>
      </c>
      <c r="D5" s="53" t="s">
        <v>79</v>
      </c>
      <c r="H5" s="576" t="s">
        <v>141</v>
      </c>
      <c r="I5" s="577"/>
      <c r="J5" s="656"/>
    </row>
    <row r="6" spans="2:10" ht="15.75">
      <c r="B6" s="54" t="s">
        <v>80</v>
      </c>
      <c r="C6" s="57">
        <v>0.55000000000000004</v>
      </c>
      <c r="D6" s="212">
        <f>E8*C6</f>
        <v>46979.546561932817</v>
      </c>
      <c r="F6" s="3"/>
      <c r="H6" s="133" t="s">
        <v>142</v>
      </c>
      <c r="I6" s="137">
        <v>0.5</v>
      </c>
      <c r="J6" s="239">
        <f>J4*I6</f>
        <v>23489.773280966408</v>
      </c>
    </row>
    <row r="7" spans="2:10" ht="15.75">
      <c r="B7" s="55" t="s">
        <v>81</v>
      </c>
      <c r="C7" s="58">
        <v>0.45</v>
      </c>
      <c r="D7" s="238">
        <f>E8*C7</f>
        <v>38437.810823399574</v>
      </c>
      <c r="H7" s="134" t="s">
        <v>143</v>
      </c>
      <c r="I7" s="138">
        <v>0.5</v>
      </c>
      <c r="J7" s="240">
        <f>J4*I7</f>
        <v>23489.773280966408</v>
      </c>
    </row>
    <row r="8" spans="2:10" ht="16.5" thickBot="1">
      <c r="B8" s="56" t="s">
        <v>82</v>
      </c>
      <c r="C8" s="59"/>
      <c r="D8" s="237">
        <f>SUM(D6:D7)</f>
        <v>85417.357385332391</v>
      </c>
      <c r="E8" s="52">
        <v>85417.357385332391</v>
      </c>
      <c r="H8" s="135" t="s">
        <v>144</v>
      </c>
      <c r="I8" s="136"/>
      <c r="J8" s="214">
        <f>SUM(J6:J7)</f>
        <v>46979.546561932817</v>
      </c>
    </row>
    <row r="11" spans="2:10">
      <c r="C11" s="18"/>
      <c r="D11" s="18"/>
      <c r="E11" s="18"/>
      <c r="F11" s="18"/>
    </row>
    <row r="12" spans="2:10" ht="15.75" thickBot="1">
      <c r="F12" s="1"/>
    </row>
    <row r="13" spans="2:10" ht="16.5" thickBot="1">
      <c r="B13" s="658" t="s">
        <v>83</v>
      </c>
      <c r="C13" s="659"/>
      <c r="D13" s="659"/>
      <c r="E13" s="659"/>
      <c r="F13" s="660"/>
    </row>
    <row r="14" spans="2:10" ht="16.5" thickBot="1">
      <c r="B14" s="658" t="s">
        <v>84</v>
      </c>
      <c r="C14" s="659"/>
      <c r="D14" s="659"/>
      <c r="E14" s="659"/>
      <c r="F14" s="660"/>
    </row>
    <row r="15" spans="2:10" ht="15.75">
      <c r="B15" s="23" t="s">
        <v>85</v>
      </c>
      <c r="C15" s="24"/>
      <c r="D15" s="25"/>
      <c r="E15" s="24" t="s">
        <v>86</v>
      </c>
      <c r="F15" s="143">
        <v>5</v>
      </c>
    </row>
    <row r="16" spans="2:10" ht="15.75">
      <c r="B16" s="19" t="s">
        <v>87</v>
      </c>
      <c r="C16" s="20"/>
      <c r="D16" s="141">
        <v>0.1085</v>
      </c>
      <c r="E16" s="20" t="s">
        <v>88</v>
      </c>
      <c r="F16" s="124">
        <f>D7</f>
        <v>38437.810823399574</v>
      </c>
    </row>
    <row r="17" spans="2:6" ht="15.75" thickBot="1">
      <c r="B17" s="26" t="s">
        <v>89</v>
      </c>
      <c r="C17" s="27"/>
      <c r="D17" s="142" t="s">
        <v>90</v>
      </c>
      <c r="E17" s="28"/>
      <c r="F17" s="29"/>
    </row>
    <row r="18" spans="2:6" ht="16.5" thickBot="1">
      <c r="B18" s="63" t="s">
        <v>110</v>
      </c>
      <c r="C18" s="64" t="s">
        <v>91</v>
      </c>
      <c r="D18" s="64" t="s">
        <v>92</v>
      </c>
      <c r="E18" s="242" t="s">
        <v>93</v>
      </c>
      <c r="F18" s="64" t="s">
        <v>94</v>
      </c>
    </row>
    <row r="19" spans="2:6" ht="15.75">
      <c r="B19" s="62">
        <v>0</v>
      </c>
      <c r="C19" s="139"/>
      <c r="D19" s="139"/>
      <c r="E19" s="243"/>
      <c r="F19" s="212">
        <f>D7</f>
        <v>38437.810823399574</v>
      </c>
    </row>
    <row r="20" spans="2:6" ht="15.75">
      <c r="B20" s="60">
        <v>1</v>
      </c>
      <c r="C20" s="212">
        <f>+E20-D20</f>
        <v>6190.4136738682273</v>
      </c>
      <c r="D20" s="212">
        <f>F19*$D$16</f>
        <v>4170.502474338854</v>
      </c>
      <c r="E20" s="211">
        <f>PMT($D$16,$F$15,-$F$19)</f>
        <v>10360.916148207081</v>
      </c>
      <c r="F20" s="240">
        <f>F19-C20</f>
        <v>32247.397149531345</v>
      </c>
    </row>
    <row r="21" spans="2:6" ht="15.75">
      <c r="B21" s="60">
        <v>2</v>
      </c>
      <c r="C21" s="240">
        <f>+E21-D21</f>
        <v>6862.0735574829305</v>
      </c>
      <c r="D21" s="240">
        <f>F20*$D$16</f>
        <v>3498.8425907241508</v>
      </c>
      <c r="E21" s="241">
        <f>PMT($D$16,$F$15,-$F$19)</f>
        <v>10360.916148207081</v>
      </c>
      <c r="F21" s="240">
        <f>F20-C21</f>
        <v>25385.323592048415</v>
      </c>
    </row>
    <row r="22" spans="2:6" ht="15.75">
      <c r="B22" s="60">
        <v>3</v>
      </c>
      <c r="C22" s="240">
        <f>+E22-D22</f>
        <v>7606.6085384698281</v>
      </c>
      <c r="D22" s="240">
        <f>F21*$D$16</f>
        <v>2754.3076097372532</v>
      </c>
      <c r="E22" s="241">
        <f>PMT($D$16,$F$15,-$F$19)</f>
        <v>10360.916148207081</v>
      </c>
      <c r="F22" s="240">
        <f>F21-C22</f>
        <v>17778.715053578588</v>
      </c>
    </row>
    <row r="23" spans="2:6" ht="15.75">
      <c r="B23" s="60">
        <v>4</v>
      </c>
      <c r="C23" s="240">
        <f>+E23-D23</f>
        <v>8431.9255648938051</v>
      </c>
      <c r="D23" s="240">
        <f>F22*$D$16</f>
        <v>1928.9905833132768</v>
      </c>
      <c r="E23" s="241">
        <f>PMT($D$16,$F$15,-$F$19)</f>
        <v>10360.916148207081</v>
      </c>
      <c r="F23" s="240">
        <f>F22-C23</f>
        <v>9346.7894886847826</v>
      </c>
    </row>
    <row r="24" spans="2:6" ht="16.5" thickBot="1">
      <c r="B24" s="61">
        <v>5</v>
      </c>
      <c r="C24" s="237">
        <f>+E24-D24</f>
        <v>9346.7894886847826</v>
      </c>
      <c r="D24" s="237">
        <f>F23*$D$16</f>
        <v>1014.126659522299</v>
      </c>
      <c r="E24" s="244">
        <f>PMT($D$16,$F$15,-$F$19)</f>
        <v>10360.916148207081</v>
      </c>
      <c r="F24" s="237">
        <f>F23-C24</f>
        <v>0</v>
      </c>
    </row>
    <row r="34" spans="6:6">
      <c r="F34" s="11"/>
    </row>
    <row r="35" spans="6:6">
      <c r="F35" s="11"/>
    </row>
  </sheetData>
  <mergeCells count="4">
    <mergeCell ref="B4:D4"/>
    <mergeCell ref="B13:F13"/>
    <mergeCell ref="B14:F14"/>
    <mergeCell ref="H5:J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COSTOS FIJOS</vt:lpstr>
      <vt:lpstr>COSTOS VARIABLES</vt:lpstr>
      <vt:lpstr>GASTO ADMINIST</vt:lpstr>
      <vt:lpstr>DEMANDA</vt:lpstr>
      <vt:lpstr>ACTIVOS FIJOS</vt:lpstr>
      <vt:lpstr>DEPREC</vt:lpstr>
      <vt:lpstr>INVERSION TOTAL</vt:lpstr>
      <vt:lpstr>CAPITAL DE TRABAJO</vt:lpstr>
      <vt:lpstr>TABL. AMORTIZACION</vt:lpstr>
      <vt:lpstr>INVERSION INICIAL</vt:lpstr>
      <vt:lpstr>ESTADO DE RESULTADO</vt:lpstr>
      <vt:lpstr>FLUJO DE CAJA DEL INVERSIO</vt:lpstr>
      <vt:lpstr>flujo de caja proyecto puro</vt:lpstr>
      <vt:lpstr>PUNTO DE EQ.</vt:lpstr>
      <vt:lpstr>CALCULO DE TMAR</vt:lpstr>
      <vt:lpstr>VAN CERO</vt:lpstr>
      <vt:lpstr>ANALISIS DE SENSIB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2012-02-22T19:29:10Z</dcterms:modified>
</cp:coreProperties>
</file>