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tabRatio="842" activeTab="1"/>
  </bookViews>
  <sheets>
    <sheet name="Hoja1" sheetId="1" r:id="rId1"/>
    <sheet name="FLUJO" sheetId="2" r:id="rId2"/>
    <sheet name="Ventas" sheetId="3" r:id="rId3"/>
    <sheet name="Costos" sheetId="4" r:id="rId4"/>
    <sheet name="Gastos operativos" sheetId="5" r:id="rId5"/>
    <sheet name="cuadros" sheetId="6" r:id="rId6"/>
    <sheet name="MAQUINARIA" sheetId="7" r:id="rId7"/>
    <sheet name="GASTOS ADM" sheetId="8" r:id="rId8"/>
    <sheet name="Dep" sheetId="9" r:id="rId9"/>
    <sheet name="Depreciación" sheetId="10" r:id="rId10"/>
    <sheet name="Préstamo" sheetId="11" r:id="rId11"/>
  </sheets>
  <definedNames>
    <definedName name="_xlnm.Print_Area" localSheetId="1">'FLUJO'!$A$1:$S$54</definedName>
  </definedNames>
  <calcPr fullCalcOnLoad="1"/>
</workbook>
</file>

<file path=xl/sharedStrings.xml><?xml version="1.0" encoding="utf-8"?>
<sst xmlns="http://schemas.openxmlformats.org/spreadsheetml/2006/main" count="453" uniqueCount="324">
  <si>
    <t>Ventas</t>
  </si>
  <si>
    <t>C. Variables</t>
  </si>
  <si>
    <t>C. Fijos</t>
  </si>
  <si>
    <t>Gts. Adm.</t>
  </si>
  <si>
    <t>Dep. maq.</t>
  </si>
  <si>
    <t>Intereses</t>
  </si>
  <si>
    <t>Impuesto</t>
  </si>
  <si>
    <t>Terreno</t>
  </si>
  <si>
    <t>Obra física</t>
  </si>
  <si>
    <t>Maquinaria</t>
  </si>
  <si>
    <t>Intangibles</t>
  </si>
  <si>
    <t>Flujo de caja</t>
  </si>
  <si>
    <t>Cantidad</t>
  </si>
  <si>
    <t>años</t>
  </si>
  <si>
    <t>NOTA:</t>
  </si>
  <si>
    <t>Se estima</t>
  </si>
  <si>
    <t>INVERSIONES</t>
  </si>
  <si>
    <t>COSTOS</t>
  </si>
  <si>
    <t>Mano de obra</t>
  </si>
  <si>
    <t>Costos directos</t>
  </si>
  <si>
    <t>Amort. Intangib.</t>
  </si>
  <si>
    <t>VAN</t>
  </si>
  <si>
    <t>TIR</t>
  </si>
  <si>
    <t>% incremento</t>
  </si>
  <si>
    <t>Años</t>
  </si>
  <si>
    <t>Unidades</t>
  </si>
  <si>
    <t>C. Variables por unidad</t>
  </si>
  <si>
    <t>Costos Variables por Año</t>
  </si>
  <si>
    <t>Costos Fijos por Año</t>
  </si>
  <si>
    <t>Costos Fijos</t>
  </si>
  <si>
    <t>Gastos Administrativos</t>
  </si>
  <si>
    <t>G. Administrat</t>
  </si>
  <si>
    <t>Gastos Administrativos por año</t>
  </si>
  <si>
    <t>Costos Variables</t>
  </si>
  <si>
    <t>Depreciación de Obras Físicas</t>
  </si>
  <si>
    <t>Dep. anual</t>
  </si>
  <si>
    <t>Inv. O. Físicas</t>
  </si>
  <si>
    <t>Depreciación de Maquinarias</t>
  </si>
  <si>
    <t>Inv. Maquinarias</t>
  </si>
  <si>
    <t>Amortización de Intangibles</t>
  </si>
  <si>
    <t>Inv. Intangibles</t>
  </si>
  <si>
    <t>PRÉSTAMO</t>
  </si>
  <si>
    <t>Capital</t>
  </si>
  <si>
    <t>Plazo</t>
  </si>
  <si>
    <t>de la inversión total</t>
  </si>
  <si>
    <t>Inversión Total</t>
  </si>
  <si>
    <t>Amortización</t>
  </si>
  <si>
    <t>VENTAS ANUALES</t>
  </si>
  <si>
    <t>AÑOS</t>
  </si>
  <si>
    <t>%</t>
  </si>
  <si>
    <t>TOTAL VTAS</t>
  </si>
  <si>
    <t>hasta el incremento en el año 4</t>
  </si>
  <si>
    <t>Software</t>
  </si>
  <si>
    <t>Estudios de Calidad</t>
  </si>
  <si>
    <t>semanales</t>
  </si>
  <si>
    <t>Constitución jurídica</t>
  </si>
  <si>
    <t>Patentes</t>
  </si>
  <si>
    <t>Cuota de salvamento</t>
  </si>
  <si>
    <t>Vida útil (años)</t>
  </si>
  <si>
    <t>Cutoa de salvamento</t>
  </si>
  <si>
    <t>Depreciación anual</t>
  </si>
  <si>
    <t>ACTIVOS FIJOS</t>
  </si>
  <si>
    <t>INVERSION</t>
  </si>
  <si>
    <t>Edificio Industrial</t>
  </si>
  <si>
    <t>Tasa depreciación anual (%)</t>
  </si>
  <si>
    <t>Valor a depreciarse</t>
  </si>
  <si>
    <t>ESTADO DE RESULTADOS</t>
  </si>
  <si>
    <t>INGRESOS POR VENTAS</t>
  </si>
  <si>
    <t>EGRESOS</t>
  </si>
  <si>
    <t>Variables</t>
  </si>
  <si>
    <t>Fijos</t>
  </si>
  <si>
    <t>Administrativos</t>
  </si>
  <si>
    <t>GASTOS</t>
  </si>
  <si>
    <t>DEPRECIACIÓN</t>
  </si>
  <si>
    <t>AMORTIZACIÓN</t>
  </si>
  <si>
    <t>Activos intangibles</t>
  </si>
  <si>
    <t>UTIL ANTES DE INTERES</t>
  </si>
  <si>
    <t>UTIL BRUTA</t>
  </si>
  <si>
    <t>UTIL NETA</t>
  </si>
  <si>
    <t>AMOR DEUDA</t>
  </si>
  <si>
    <t>#</t>
  </si>
  <si>
    <t>Actividad</t>
  </si>
  <si>
    <t>Cortador</t>
  </si>
  <si>
    <t>Dobladores</t>
  </si>
  <si>
    <t>Perforador</t>
  </si>
  <si>
    <t>Marcador</t>
  </si>
  <si>
    <t>Soldador</t>
  </si>
  <si>
    <t>Hornador</t>
  </si>
  <si>
    <t>Pintor</t>
  </si>
  <si>
    <t>Empacador</t>
  </si>
  <si>
    <t>Supervisor</t>
  </si>
  <si>
    <t>Secretaria</t>
  </si>
  <si>
    <t>Sueldo</t>
  </si>
  <si>
    <t>Comp. Salarial</t>
  </si>
  <si>
    <t>13ª</t>
  </si>
  <si>
    <t>14º</t>
  </si>
  <si>
    <t>Fondo de Reserva</t>
  </si>
  <si>
    <t>Vacaciones</t>
  </si>
  <si>
    <t>Aport. Pat</t>
  </si>
  <si>
    <t>Total mensual</t>
  </si>
  <si>
    <t>Total Anual</t>
  </si>
  <si>
    <t>Total x trabajadores</t>
  </si>
  <si>
    <t>Jefe de Planta y Administrativo</t>
  </si>
  <si>
    <t>EDIFICIOS INDUSTRIALES</t>
  </si>
  <si>
    <t>MAQUINARIA</t>
  </si>
  <si>
    <t>Edificios</t>
  </si>
  <si>
    <t>Eq de oficina</t>
  </si>
  <si>
    <t>TERRENO</t>
  </si>
  <si>
    <t>Archivadores</t>
  </si>
  <si>
    <t>Fax</t>
  </si>
  <si>
    <t>Aire acondicionado</t>
  </si>
  <si>
    <t xml:space="preserve">Tasa pasiva de interés </t>
  </si>
  <si>
    <t>Jefe Administrativo</t>
  </si>
  <si>
    <t>Gerente General</t>
  </si>
  <si>
    <t>Torneros</t>
  </si>
  <si>
    <t>Pulidor</t>
  </si>
  <si>
    <t>En piscinas</t>
  </si>
  <si>
    <t>TOTAL</t>
  </si>
  <si>
    <t>EQUIPOS  Y MUEBLES DE OFIC</t>
  </si>
  <si>
    <t xml:space="preserve"> </t>
  </si>
  <si>
    <t>RUBROS</t>
  </si>
  <si>
    <t>PERSONAL DE PLANTA</t>
  </si>
  <si>
    <t>AÑO</t>
  </si>
  <si>
    <t>VALOR ($)</t>
  </si>
  <si>
    <t>Equipos muebles de oficina</t>
  </si>
  <si>
    <t>ACTIVOS INTANGIBLES</t>
  </si>
  <si>
    <t>Gastos legales</t>
  </si>
  <si>
    <t>Etapa del Proceso</t>
  </si>
  <si>
    <t>Descripción</t>
  </si>
  <si>
    <t>Valor unitario</t>
  </si>
  <si>
    <t>Valor total</t>
  </si>
  <si>
    <t>SEPARACIÓN DE DESECHOS</t>
  </si>
  <si>
    <t>Separación de metales</t>
  </si>
  <si>
    <t>Banda transportadora con rodillo imantado</t>
  </si>
  <si>
    <t>Transportación</t>
  </si>
  <si>
    <t>Banda transportadora</t>
  </si>
  <si>
    <t>Desechos no reciclables</t>
  </si>
  <si>
    <t>Tolva Industrial</t>
  </si>
  <si>
    <t>Depósito de desechos clasificados</t>
  </si>
  <si>
    <t>Tolva adyacente a la banda transportadora</t>
  </si>
  <si>
    <t>FABRICA DE VIDRIO</t>
  </si>
  <si>
    <t>Cinta transportadora</t>
  </si>
  <si>
    <t>Trituración</t>
  </si>
  <si>
    <t>Máquina trituradora</t>
  </si>
  <si>
    <t>Horneado</t>
  </si>
  <si>
    <t>Horno</t>
  </si>
  <si>
    <t>Enfriamiento</t>
  </si>
  <si>
    <t>Rodillos de enfriamiento</t>
  </si>
  <si>
    <t>Pesaje</t>
  </si>
  <si>
    <t xml:space="preserve">Balanza </t>
  </si>
  <si>
    <t>Control</t>
  </si>
  <si>
    <t>Censor de gases o vapores con alarma auditiva y visual</t>
  </si>
  <si>
    <t>FABRICA DE PAPEL</t>
  </si>
  <si>
    <t>Pulpeado</t>
  </si>
  <si>
    <t>Tanques para pulpeado</t>
  </si>
  <si>
    <t>Tanques para la separación por tipo de calidad</t>
  </si>
  <si>
    <t>Caldera</t>
  </si>
  <si>
    <t xml:space="preserve">Espesador de tornillo </t>
  </si>
  <si>
    <t>Sedimentador</t>
  </si>
  <si>
    <t>Depuración Gruesa</t>
  </si>
  <si>
    <t>Tanque de dilución</t>
  </si>
  <si>
    <t xml:space="preserve">Limpiador de alta consistencia </t>
  </si>
  <si>
    <t>Tamiz vibratorio</t>
  </si>
  <si>
    <t>Filtro de alta consistencia giratorio con rejillas de agujeros de 0,35mm motor 30kw</t>
  </si>
  <si>
    <t>Filtro de alta consistencia giratorio con rejillas de agujeros de 0,35mm motor 42kw</t>
  </si>
  <si>
    <t>Filtro de alta consistencia giratorio con rejillas de agujeros de 1mm motor 42kw</t>
  </si>
  <si>
    <t>Tanque de transición de la materia prima</t>
  </si>
  <si>
    <t>Flotación</t>
  </si>
  <si>
    <t xml:space="preserve">Tanque de dilución </t>
  </si>
  <si>
    <t xml:space="preserve">Celda de flotación </t>
  </si>
  <si>
    <t>Celda de flotación de espuma</t>
  </si>
  <si>
    <t>Depuración Fina</t>
  </si>
  <si>
    <t>Tanque para transición de la materia prima</t>
  </si>
  <si>
    <t xml:space="preserve">Limpiadora centrífuga de baja consistencia  </t>
  </si>
  <si>
    <t>Lavado y Dispersión</t>
  </si>
  <si>
    <t>Espesador de tela</t>
  </si>
  <si>
    <t>Prensa de doble tela con rociadores para el lavado de la fibra</t>
  </si>
  <si>
    <t>Transportadora de pulpa de alta consistencia y de tratamiento térmico</t>
  </si>
  <si>
    <t>Desintegrador de doble disco</t>
  </si>
  <si>
    <t>Blanqueo</t>
  </si>
  <si>
    <t>Mezclador de alta consistencia</t>
  </si>
  <si>
    <t>Torre de blanqueo</t>
  </si>
  <si>
    <t xml:space="preserve">Secadora de pulpa </t>
  </si>
  <si>
    <t>Tanque de almacenamiento</t>
  </si>
  <si>
    <t>Balanza</t>
  </si>
  <si>
    <t xml:space="preserve">Censor de gases o vapores con alarma auditiva y visual  </t>
  </si>
  <si>
    <t>FABRICA DE PLÁSTICO</t>
  </si>
  <si>
    <t>Lavado</t>
  </si>
  <si>
    <t>Máquina lavadora de 120 kg/h</t>
  </si>
  <si>
    <t>Secado</t>
  </si>
  <si>
    <t>Secadora</t>
  </si>
  <si>
    <t>Molido</t>
  </si>
  <si>
    <t>Molino</t>
  </si>
  <si>
    <t>Recuperación</t>
  </si>
  <si>
    <t>Línea de recuperado, modelo SE/ WR 100 cd</t>
  </si>
  <si>
    <t>Balanza industrial</t>
  </si>
  <si>
    <t>Total Fábrica</t>
  </si>
  <si>
    <t>DESCRIPCIÓN</t>
  </si>
  <si>
    <t>CANTIDAD (toneladas)</t>
  </si>
  <si>
    <t>COSTO UNITARIO ($/ton)</t>
  </si>
  <si>
    <t xml:space="preserve">UTILIDAD </t>
  </si>
  <si>
    <t>PRECIOS ($/ton)</t>
  </si>
  <si>
    <t>TOTAL INGRESOS</t>
  </si>
  <si>
    <t>COMPUESTOS INORGÁNICOS</t>
  </si>
  <si>
    <t>PAPEL</t>
  </si>
  <si>
    <t>PLASTICO</t>
  </si>
  <si>
    <t>VIDRIO</t>
  </si>
  <si>
    <t>crecimiento sostenido</t>
  </si>
  <si>
    <t>ROL DE PERSONAL</t>
  </si>
  <si>
    <t>Sueldo mes</t>
  </si>
  <si>
    <t>Sueldos Mensuales</t>
  </si>
  <si>
    <t>Supervisores</t>
  </si>
  <si>
    <t>Operadores</t>
  </si>
  <si>
    <t>Mantenimiento y Limpieza</t>
  </si>
  <si>
    <t>Subtotal</t>
  </si>
  <si>
    <t>Recolectores</t>
  </si>
  <si>
    <t>Conductor de camioneta</t>
  </si>
  <si>
    <t>Guardias</t>
  </si>
  <si>
    <t>Presidente</t>
  </si>
  <si>
    <t>Jefe Financiero</t>
  </si>
  <si>
    <t>Jefe de Operaciones</t>
  </si>
  <si>
    <t>Jefe de Personal</t>
  </si>
  <si>
    <t>Publicidad &amp; Marketing</t>
  </si>
  <si>
    <t>Contador</t>
  </si>
  <si>
    <t>Recepcionista/Secretaria</t>
  </si>
  <si>
    <t>Programador de Logística</t>
  </si>
  <si>
    <t>Artículos</t>
  </si>
  <si>
    <t>Procedencia</t>
  </si>
  <si>
    <t>Por condición de aire central no se requiere.</t>
  </si>
  <si>
    <t>Computador</t>
  </si>
  <si>
    <t>Alguno que no sea muy utilizado.</t>
  </si>
  <si>
    <t>Los de mantenimiento</t>
  </si>
  <si>
    <t>Datashow</t>
  </si>
  <si>
    <t>El que utilizan para juntas de los administrativos</t>
  </si>
  <si>
    <t>Mesa (50x75cm)</t>
  </si>
  <si>
    <t>Escritorio para el CPU y Datashow.</t>
  </si>
  <si>
    <t>Mesas</t>
  </si>
  <si>
    <t>Se las obtiene del comedor</t>
  </si>
  <si>
    <t>Sillas</t>
  </si>
  <si>
    <t>Filtro</t>
  </si>
  <si>
    <t>Limpiador</t>
  </si>
  <si>
    <t>Tanque de transición</t>
  </si>
  <si>
    <t>VEHÍCULOS</t>
  </si>
  <si>
    <t>Triciclos</t>
  </si>
  <si>
    <t>Camionetas</t>
  </si>
  <si>
    <t>Total vehículos</t>
  </si>
  <si>
    <t>TERRENOS</t>
  </si>
  <si>
    <t>Total Terrenos</t>
  </si>
  <si>
    <t>EDIFICIOS</t>
  </si>
  <si>
    <t>Total Edificios</t>
  </si>
  <si>
    <t>MUEBLES DE OFICINA</t>
  </si>
  <si>
    <t>Aire acondicionado central</t>
  </si>
  <si>
    <t>Computadora</t>
  </si>
  <si>
    <t>Escritorios</t>
  </si>
  <si>
    <t>Impresora (Laser)</t>
  </si>
  <si>
    <t>Lámparas</t>
  </si>
  <si>
    <t>Mesa de Reuniones</t>
  </si>
  <si>
    <t>Microondas</t>
  </si>
  <si>
    <t>Muebles de visita</t>
  </si>
  <si>
    <t>Pizarra líquida</t>
  </si>
  <si>
    <t>Sillas sin brazo</t>
  </si>
  <si>
    <t>Teléfonos</t>
  </si>
  <si>
    <t>Total muebles de oficina</t>
  </si>
  <si>
    <t>Gastos Pre-Operativos (Evaluación del proyecto)</t>
  </si>
  <si>
    <t>ACTIVO FIJO</t>
  </si>
  <si>
    <t>MONTO ($)</t>
  </si>
  <si>
    <t>Maquinarias</t>
  </si>
  <si>
    <t>Terrenos</t>
  </si>
  <si>
    <t>Muebles de oficina</t>
  </si>
  <si>
    <t>Vehículos</t>
  </si>
  <si>
    <t>Gastos preoperativos</t>
  </si>
  <si>
    <t>TOTAL ACTIVOS FIJOS</t>
  </si>
  <si>
    <t>Plan Operativo</t>
  </si>
  <si>
    <t>Plan de Recursos Humanos</t>
  </si>
  <si>
    <t>Periodo</t>
  </si>
  <si>
    <t>Interes</t>
  </si>
  <si>
    <t>Cuota</t>
  </si>
  <si>
    <t>Saldo</t>
  </si>
  <si>
    <t>Interés anual</t>
  </si>
  <si>
    <t xml:space="preserve">TOTAL TONELADAS RECOLECTADAS NO SE INCLUYE PARROQUIAS, </t>
  </si>
  <si>
    <t>PARTICULARES Y OPERATIVOS</t>
  </si>
  <si>
    <t>Mercados</t>
  </si>
  <si>
    <t>Industrias</t>
  </si>
  <si>
    <t>Hogares</t>
  </si>
  <si>
    <t>Total</t>
  </si>
  <si>
    <t xml:space="preserve">   La cantidad de toneladas recolectadas de la división Hogares es resultado</t>
  </si>
  <si>
    <t xml:space="preserve">   de la suma de las zonas A y B. Fuente "VACHAGNON".</t>
  </si>
  <si>
    <t xml:space="preserve">   Fuente: Muy Ilustre Municipalidad de Guayaquil, Departamento de Aseo Urbano.</t>
  </si>
  <si>
    <t xml:space="preserve">   Elaboración: Los Autores.</t>
  </si>
  <si>
    <t>RECOLECCIÓN(tons)</t>
  </si>
  <si>
    <t>RECICLAJE (tns)</t>
  </si>
  <si>
    <t>OTROS</t>
  </si>
  <si>
    <t>Incremento de basura recolectada</t>
  </si>
  <si>
    <t>Generaciòn diaria basura</t>
  </si>
  <si>
    <t>Generaciòn anual basura</t>
  </si>
  <si>
    <t>% mercado</t>
  </si>
  <si>
    <t>Generación diaria de mercado</t>
  </si>
  <si>
    <t>Generación anual de mercado</t>
  </si>
  <si>
    <t>IMPORTACIONES 2003</t>
  </si>
  <si>
    <t>MATERIA PRIMA PARA CADA PRODUCTO</t>
  </si>
  <si>
    <t>CANTIDAD (Tn)</t>
  </si>
  <si>
    <t>PRECIO UNI IMPORTACIÓN ($/Tn)</t>
  </si>
  <si>
    <t>TOTAL IMPORTACIONES ($)</t>
  </si>
  <si>
    <t>Vidrio</t>
  </si>
  <si>
    <t>Papel</t>
  </si>
  <si>
    <t>Plástico</t>
  </si>
  <si>
    <t>Alta Densidad</t>
  </si>
  <si>
    <t>Baja densidad</t>
  </si>
  <si>
    <t>Años de retorno</t>
  </si>
  <si>
    <t>diariamente</t>
  </si>
  <si>
    <t>7,2 años</t>
  </si>
  <si>
    <t>FLUJO DE CAJA</t>
  </si>
  <si>
    <t>M.O. INDIRECTA</t>
  </si>
  <si>
    <t>M.O. ADMINISTRATIVA</t>
  </si>
  <si>
    <t>M.O. DIRECTA</t>
  </si>
  <si>
    <t>Compuestos inorgánicos</t>
  </si>
  <si>
    <t>INVERSIÓN</t>
  </si>
  <si>
    <t>RENTABILIDAD</t>
  </si>
  <si>
    <t>CRITERIO</t>
  </si>
  <si>
    <t>PRODUCTO</t>
  </si>
  <si>
    <t>K USD</t>
  </si>
  <si>
    <t>VALORES</t>
  </si>
  <si>
    <t>(1/INVERSIÓN)</t>
  </si>
  <si>
    <t>(%)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</si>
</sst>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0.0"/>
    <numFmt numFmtId="179" formatCode="_ * #,##0.0_ ;_ * \-#,##0.0_ ;_ * &quot;-&quot;??_ ;_ @_ "/>
    <numFmt numFmtId="180" formatCode="_ * #,##0_ ;_ * \-#,##0_ ;_ * &quot;-&quot;??_ ;_ @_ "/>
    <numFmt numFmtId="181" formatCode="[$$-409]#,##0.00;[Red][$$-409]#,##0.00"/>
    <numFmt numFmtId="182" formatCode="&quot;S/.&quot;\ #,##0.00"/>
    <numFmt numFmtId="183" formatCode="&quot;S/.&quot;\ #,##0"/>
    <numFmt numFmtId="184" formatCode="[$$-409]#,##0.00_ ;[Red]\-[$$-409]#,##0.00\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$&quot;#,##0.00"/>
    <numFmt numFmtId="192" formatCode="_ [$€-2]\ * #,##0.00_ ;_ [$€-2]\ * \-#,##0.00_ ;_ [$€-2]\ * &quot;-&quot;??_ "/>
    <numFmt numFmtId="193" formatCode="[$$-409]#,##0.00"/>
    <numFmt numFmtId="194" formatCode="0.000000000"/>
    <numFmt numFmtId="195" formatCode="0.0000000000"/>
    <numFmt numFmtId="196" formatCode="&quot;$&quot;\ #,##0.00"/>
    <numFmt numFmtId="197" formatCode="[$$-409]#,##0.00_ ;\-[$$-409]#,##0.00\ "/>
    <numFmt numFmtId="198" formatCode="[$$-409]#,##0.0;[Red][$$-409]#,##0.0"/>
    <numFmt numFmtId="199" formatCode="[$$-409]#,##0;[Red][$$-409]#,##0"/>
    <numFmt numFmtId="200" formatCode="#,##0.00_ ;\-#,##0.00\ "/>
    <numFmt numFmtId="201" formatCode="#,##0_ ;\-#,##0\ "/>
    <numFmt numFmtId="202" formatCode="#,##0.00_ ;[Red]\-#,##0.00\ "/>
    <numFmt numFmtId="203" formatCode="0.0%"/>
    <numFmt numFmtId="204" formatCode="#,##0_ ;[Red]\-#,##0\ "/>
    <numFmt numFmtId="205" formatCode="#,##0.00000_ ;\-#,##0.00000\ "/>
    <numFmt numFmtId="206" formatCode="#,##0.000000_ ;\-#,##0.000000\ "/>
    <numFmt numFmtId="207" formatCode="_ * #,##0.000_ ;_ * \-#,##0.000_ ;_ * &quot;-&quot;??_ ;_ @_ "/>
    <numFmt numFmtId="208" formatCode="0.000E+00"/>
    <numFmt numFmtId="209" formatCode="0.0000E+00"/>
    <numFmt numFmtId="210" formatCode="_-* #,##0.000\ _€_-;\-* #,##0.000\ _€_-;_-* &quot;-&quot;??\ _€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#,##0.0"/>
    <numFmt numFmtId="216" formatCode="#,##0.000"/>
    <numFmt numFmtId="217" formatCode="[$$-409]#,##0"/>
    <numFmt numFmtId="218" formatCode="_ * #,##0.0000_ ;_ * \-#,##0.0000_ ;_ * &quot;-&quot;??_ ;_ @_ "/>
    <numFmt numFmtId="219" formatCode="_ * #,##0.00000_ ;_ * \-#,##0.00000_ ;_ * &quot;-&quot;??_ ;_ @_ "/>
    <numFmt numFmtId="220" formatCode="_ * #,##0.000000_ ;_ * \-#,##0.000000_ ;_ * &quot;-&quot;??_ ;_ @_ "/>
    <numFmt numFmtId="221" formatCode="#,##0\ &quot;tns&quot;"/>
    <numFmt numFmtId="222" formatCode="0.000000E+00"/>
    <numFmt numFmtId="223" formatCode="0.00000E+00"/>
    <numFmt numFmtId="224" formatCode="#,##0.0000"/>
    <numFmt numFmtId="225" formatCode="#,##0.00000"/>
    <numFmt numFmtId="226" formatCode="#,##0.000000"/>
  </numFmts>
  <fonts count="2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48"/>
      <name val="Arial"/>
      <family val="2"/>
    </font>
    <font>
      <b/>
      <sz val="10"/>
      <color indexed="61"/>
      <name val="Arial"/>
      <family val="2"/>
    </font>
    <font>
      <b/>
      <sz val="12"/>
      <color indexed="16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8"/>
      <name val="Garamond"/>
      <family val="1"/>
    </font>
    <font>
      <sz val="10"/>
      <name val="Times New Roman"/>
      <family val="1"/>
    </font>
    <font>
      <b/>
      <sz val="7"/>
      <name val="Arial"/>
      <family val="2"/>
    </font>
    <font>
      <b/>
      <sz val="11"/>
      <name val="Arial"/>
      <family val="0"/>
    </font>
    <font>
      <sz val="9.75"/>
      <name val="Arial"/>
      <family val="2"/>
    </font>
    <font>
      <sz val="9.25"/>
      <name val="Arial"/>
      <family val="0"/>
    </font>
    <font>
      <b/>
      <sz val="14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9" fontId="0" fillId="0" borderId="0" xfId="22" applyAlignment="1">
      <alignment/>
    </xf>
    <xf numFmtId="171" fontId="1" fillId="0" borderId="0" xfId="18" applyFont="1" applyAlignment="1">
      <alignment/>
    </xf>
    <xf numFmtId="9" fontId="1" fillId="0" borderId="0" xfId="22" applyFont="1" applyAlignment="1">
      <alignment/>
    </xf>
    <xf numFmtId="0" fontId="1" fillId="0" borderId="0" xfId="0" applyFont="1" applyAlignment="1">
      <alignment/>
    </xf>
    <xf numFmtId="171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0" applyNumberFormat="1" applyAlignment="1">
      <alignment/>
    </xf>
    <xf numFmtId="180" fontId="1" fillId="0" borderId="1" xfId="22" applyNumberFormat="1" applyFont="1" applyBorder="1" applyAlignment="1">
      <alignment horizontal="center"/>
    </xf>
    <xf numFmtId="180" fontId="1" fillId="0" borderId="1" xfId="18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9" fontId="1" fillId="2" borderId="1" xfId="22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22" applyBorder="1" applyAlignment="1">
      <alignment/>
    </xf>
    <xf numFmtId="171" fontId="0" fillId="0" borderId="0" xfId="22" applyNumberFormat="1" applyBorder="1" applyAlignment="1">
      <alignment/>
    </xf>
    <xf numFmtId="171" fontId="0" fillId="0" borderId="0" xfId="22" applyNumberFormat="1" applyAlignment="1">
      <alignment/>
    </xf>
    <xf numFmtId="171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71" fontId="0" fillId="0" borderId="1" xfId="18" applyBorder="1" applyAlignment="1">
      <alignment horizontal="center"/>
    </xf>
    <xf numFmtId="0" fontId="8" fillId="0" borderId="0" xfId="0" applyFont="1" applyAlignment="1">
      <alignment/>
    </xf>
    <xf numFmtId="9" fontId="0" fillId="0" borderId="1" xfId="22" applyFont="1" applyBorder="1" applyAlignment="1">
      <alignment horizontal="center"/>
    </xf>
    <xf numFmtId="9" fontId="0" fillId="0" borderId="3" xfId="22" applyBorder="1" applyAlignment="1">
      <alignment/>
    </xf>
    <xf numFmtId="0" fontId="9" fillId="0" borderId="8" xfId="0" applyFont="1" applyBorder="1" applyAlignment="1">
      <alignment/>
    </xf>
    <xf numFmtId="171" fontId="9" fillId="0" borderId="9" xfId="18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181" fontId="1" fillId="0" borderId="1" xfId="18" applyNumberFormat="1" applyFont="1" applyBorder="1" applyAlignment="1">
      <alignment/>
    </xf>
    <xf numFmtId="181" fontId="1" fillId="0" borderId="0" xfId="18" applyNumberFormat="1" applyFont="1" applyBorder="1" applyAlignment="1">
      <alignment/>
    </xf>
    <xf numFmtId="3" fontId="1" fillId="0" borderId="10" xfId="22" applyNumberFormat="1" applyFont="1" applyBorder="1" applyAlignment="1">
      <alignment/>
    </xf>
    <xf numFmtId="171" fontId="1" fillId="0" borderId="0" xfId="18" applyFont="1" applyFill="1" applyBorder="1" applyAlignment="1">
      <alignment/>
    </xf>
    <xf numFmtId="171" fontId="1" fillId="0" borderId="5" xfId="18" applyFont="1" applyFill="1" applyBorder="1" applyAlignment="1">
      <alignment/>
    </xf>
    <xf numFmtId="0" fontId="0" fillId="0" borderId="11" xfId="0" applyFill="1" applyBorder="1" applyAlignment="1">
      <alignment/>
    </xf>
    <xf numFmtId="171" fontId="0" fillId="0" borderId="0" xfId="18" applyBorder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9" fontId="5" fillId="0" borderId="14" xfId="22" applyFont="1" applyBorder="1" applyAlignment="1">
      <alignment horizontal="center"/>
    </xf>
    <xf numFmtId="193" fontId="5" fillId="0" borderId="14" xfId="0" applyNumberFormat="1" applyFont="1" applyBorder="1" applyAlignment="1">
      <alignment/>
    </xf>
    <xf numFmtId="193" fontId="5" fillId="0" borderId="0" xfId="0" applyNumberFormat="1" applyFont="1" applyAlignment="1">
      <alignment/>
    </xf>
    <xf numFmtId="9" fontId="5" fillId="0" borderId="15" xfId="22" applyFont="1" applyBorder="1" applyAlignment="1">
      <alignment horizontal="center"/>
    </xf>
    <xf numFmtId="193" fontId="5" fillId="0" borderId="15" xfId="0" applyNumberFormat="1" applyFont="1" applyBorder="1" applyAlignment="1">
      <alignment/>
    </xf>
    <xf numFmtId="9" fontId="5" fillId="0" borderId="16" xfId="22" applyFont="1" applyBorder="1" applyAlignment="1">
      <alignment horizontal="center"/>
    </xf>
    <xf numFmtId="0" fontId="5" fillId="0" borderId="16" xfId="0" applyFont="1" applyBorder="1" applyAlignment="1">
      <alignment/>
    </xf>
    <xf numFmtId="193" fontId="5" fillId="0" borderId="17" xfId="0" applyNumberFormat="1" applyFont="1" applyBorder="1" applyAlignment="1">
      <alignment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0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10" fillId="3" borderId="1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96" fontId="5" fillId="0" borderId="21" xfId="0" applyNumberFormat="1" applyFont="1" applyFill="1" applyBorder="1" applyAlignment="1">
      <alignment/>
    </xf>
    <xf numFmtId="196" fontId="5" fillId="0" borderId="2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196" fontId="5" fillId="0" borderId="3" xfId="0" applyNumberFormat="1" applyFont="1" applyFill="1" applyBorder="1" applyAlignment="1">
      <alignment/>
    </xf>
    <xf numFmtId="196" fontId="5" fillId="0" borderId="1" xfId="0" applyNumberFormat="1" applyFont="1" applyFill="1" applyBorder="1" applyAlignment="1">
      <alignment/>
    </xf>
    <xf numFmtId="196" fontId="5" fillId="0" borderId="25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196" fontId="5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196" fontId="5" fillId="0" borderId="29" xfId="0" applyNumberFormat="1" applyFont="1" applyFill="1" applyBorder="1" applyAlignment="1">
      <alignment/>
    </xf>
    <xf numFmtId="196" fontId="5" fillId="0" borderId="3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/>
    </xf>
    <xf numFmtId="9" fontId="3" fillId="0" borderId="26" xfId="22" applyFont="1" applyBorder="1" applyAlignment="1">
      <alignment/>
    </xf>
    <xf numFmtId="0" fontId="10" fillId="0" borderId="1" xfId="0" applyFont="1" applyFill="1" applyBorder="1" applyAlignment="1">
      <alignment horizontal="left"/>
    </xf>
    <xf numFmtId="171" fontId="5" fillId="0" borderId="25" xfId="18" applyFont="1" applyBorder="1" applyAlignment="1">
      <alignment/>
    </xf>
    <xf numFmtId="171" fontId="5" fillId="0" borderId="26" xfId="18" applyFont="1" applyBorder="1" applyAlignment="1">
      <alignment/>
    </xf>
    <xf numFmtId="171" fontId="5" fillId="0" borderId="30" xfId="18" applyFont="1" applyBorder="1" applyAlignment="1">
      <alignment/>
    </xf>
    <xf numFmtId="197" fontId="12" fillId="0" borderId="0" xfId="0" applyNumberFormat="1" applyFont="1" applyAlignment="1">
      <alignment/>
    </xf>
    <xf numFmtId="196" fontId="3" fillId="0" borderId="31" xfId="0" applyNumberFormat="1" applyFont="1" applyBorder="1" applyAlignment="1">
      <alignment vertical="center" wrapText="1"/>
    </xf>
    <xf numFmtId="196" fontId="3" fillId="0" borderId="23" xfId="0" applyNumberFormat="1" applyFont="1" applyBorder="1" applyAlignment="1">
      <alignment vertical="center" wrapText="1"/>
    </xf>
    <xf numFmtId="196" fontId="3" fillId="0" borderId="27" xfId="0" applyNumberFormat="1" applyFont="1" applyBorder="1" applyAlignment="1">
      <alignment vertical="center" wrapText="1"/>
    </xf>
    <xf numFmtId="191" fontId="5" fillId="0" borderId="32" xfId="0" applyNumberFormat="1" applyFont="1" applyBorder="1" applyAlignment="1">
      <alignment/>
    </xf>
    <xf numFmtId="191" fontId="5" fillId="0" borderId="33" xfId="0" applyNumberFormat="1" applyFont="1" applyBorder="1" applyAlignment="1">
      <alignment/>
    </xf>
    <xf numFmtId="191" fontId="5" fillId="0" borderId="34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5" fillId="0" borderId="37" xfId="0" applyFont="1" applyBorder="1" applyAlignment="1">
      <alignment/>
    </xf>
    <xf numFmtId="0" fontId="3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5" fillId="0" borderId="42" xfId="0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1" xfId="0" applyFont="1" applyBorder="1" applyAlignment="1">
      <alignment/>
    </xf>
    <xf numFmtId="171" fontId="11" fillId="0" borderId="21" xfId="18" applyFont="1" applyBorder="1" applyAlignment="1">
      <alignment/>
    </xf>
    <xf numFmtId="171" fontId="11" fillId="0" borderId="22" xfId="18" applyFont="1" applyBorder="1" applyAlignment="1">
      <alignment/>
    </xf>
    <xf numFmtId="0" fontId="11" fillId="0" borderId="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/>
    </xf>
    <xf numFmtId="171" fontId="11" fillId="0" borderId="1" xfId="18" applyFont="1" applyBorder="1" applyAlignment="1">
      <alignment/>
    </xf>
    <xf numFmtId="171" fontId="11" fillId="0" borderId="26" xfId="18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1" fontId="1" fillId="0" borderId="47" xfId="18" applyFont="1" applyBorder="1" applyAlignment="1">
      <alignment/>
    </xf>
    <xf numFmtId="0" fontId="13" fillId="0" borderId="0" xfId="0" applyFont="1" applyBorder="1" applyAlignment="1">
      <alignment/>
    </xf>
    <xf numFmtId="171" fontId="13" fillId="0" borderId="48" xfId="18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7" xfId="0" applyFont="1" applyBorder="1" applyAlignment="1">
      <alignment/>
    </xf>
    <xf numFmtId="171" fontId="1" fillId="0" borderId="47" xfId="18" applyFont="1" applyBorder="1" applyAlignment="1">
      <alignment horizontal="center"/>
    </xf>
    <xf numFmtId="171" fontId="11" fillId="0" borderId="0" xfId="18" applyFont="1" applyBorder="1" applyAlignment="1">
      <alignment/>
    </xf>
    <xf numFmtId="171" fontId="13" fillId="0" borderId="48" xfId="18" applyFont="1" applyBorder="1" applyAlignment="1">
      <alignment horizontal="center"/>
    </xf>
    <xf numFmtId="0" fontId="11" fillId="0" borderId="2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1" fontId="11" fillId="0" borderId="48" xfId="18" applyFont="1" applyBorder="1" applyAlignment="1">
      <alignment/>
    </xf>
    <xf numFmtId="171" fontId="3" fillId="4" borderId="49" xfId="18" applyFont="1" applyFill="1" applyBorder="1" applyAlignment="1">
      <alignment/>
    </xf>
    <xf numFmtId="9" fontId="0" fillId="0" borderId="0" xfId="22" applyAlignment="1">
      <alignment/>
    </xf>
    <xf numFmtId="171" fontId="0" fillId="0" borderId="1" xfId="18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9" fontId="11" fillId="0" borderId="21" xfId="22" applyFont="1" applyBorder="1" applyAlignment="1">
      <alignment horizontal="center"/>
    </xf>
    <xf numFmtId="0" fontId="14" fillId="0" borderId="7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9" fontId="11" fillId="0" borderId="1" xfId="22" applyFont="1" applyBorder="1" applyAlignment="1">
      <alignment horizontal="center"/>
    </xf>
    <xf numFmtId="0" fontId="14" fillId="0" borderId="28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171" fontId="11" fillId="0" borderId="29" xfId="18" applyFont="1" applyBorder="1" applyAlignment="1">
      <alignment/>
    </xf>
    <xf numFmtId="9" fontId="11" fillId="0" borderId="29" xfId="22" applyFont="1" applyBorder="1" applyAlignment="1">
      <alignment horizontal="center"/>
    </xf>
    <xf numFmtId="171" fontId="11" fillId="0" borderId="30" xfId="18" applyFont="1" applyBorder="1" applyAlignment="1">
      <alignment/>
    </xf>
    <xf numFmtId="0" fontId="1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11" fillId="0" borderId="0" xfId="22" applyFont="1" applyBorder="1" applyAlignment="1">
      <alignment horizontal="center"/>
    </xf>
    <xf numFmtId="193" fontId="1" fillId="0" borderId="0" xfId="18" applyNumberFormat="1" applyFont="1" applyBorder="1" applyAlignment="1">
      <alignment/>
    </xf>
    <xf numFmtId="0" fontId="10" fillId="3" borderId="50" xfId="0" applyFont="1" applyFill="1" applyBorder="1" applyAlignment="1">
      <alignment horizontal="center" vertical="center" wrapText="1"/>
    </xf>
    <xf numFmtId="199" fontId="5" fillId="0" borderId="0" xfId="0" applyNumberFormat="1" applyFont="1" applyAlignment="1">
      <alignment/>
    </xf>
    <xf numFmtId="178" fontId="0" fillId="0" borderId="18" xfId="0" applyNumberFormat="1" applyBorder="1" applyAlignment="1">
      <alignment/>
    </xf>
    <xf numFmtId="178" fontId="0" fillId="0" borderId="35" xfId="0" applyNumberFormat="1" applyFill="1" applyBorder="1" applyAlignment="1">
      <alignment/>
    </xf>
    <xf numFmtId="2" fontId="1" fillId="0" borderId="12" xfId="0" applyNumberFormat="1" applyFont="1" applyBorder="1" applyAlignment="1">
      <alignment/>
    </xf>
    <xf numFmtId="180" fontId="0" fillId="0" borderId="1" xfId="0" applyNumberFormat="1" applyBorder="1" applyAlignment="1">
      <alignment/>
    </xf>
    <xf numFmtId="9" fontId="5" fillId="0" borderId="0" xfId="22" applyFont="1" applyAlignment="1">
      <alignment/>
    </xf>
    <xf numFmtId="193" fontId="3" fillId="0" borderId="0" xfId="0" applyNumberFormat="1" applyFont="1" applyAlignment="1">
      <alignment/>
    </xf>
    <xf numFmtId="0" fontId="3" fillId="0" borderId="37" xfId="0" applyFont="1" applyBorder="1" applyAlignment="1">
      <alignment horizontal="center"/>
    </xf>
    <xf numFmtId="193" fontId="5" fillId="0" borderId="42" xfId="0" applyNumberFormat="1" applyFont="1" applyBorder="1" applyAlignment="1">
      <alignment/>
    </xf>
    <xf numFmtId="0" fontId="5" fillId="0" borderId="51" xfId="0" applyFont="1" applyBorder="1" applyAlignment="1">
      <alignment/>
    </xf>
    <xf numFmtId="193" fontId="5" fillId="0" borderId="51" xfId="0" applyNumberFormat="1" applyFont="1" applyBorder="1" applyAlignment="1">
      <alignment/>
    </xf>
    <xf numFmtId="0" fontId="5" fillId="0" borderId="52" xfId="0" applyFont="1" applyBorder="1" applyAlignment="1">
      <alignment/>
    </xf>
    <xf numFmtId="0" fontId="13" fillId="0" borderId="0" xfId="0" applyFont="1" applyAlignment="1">
      <alignment/>
    </xf>
    <xf numFmtId="171" fontId="11" fillId="0" borderId="0" xfId="18" applyFont="1" applyAlignment="1">
      <alignment/>
    </xf>
    <xf numFmtId="193" fontId="5" fillId="0" borderId="2" xfId="0" applyNumberFormat="1" applyFont="1" applyBorder="1" applyAlignment="1">
      <alignment/>
    </xf>
    <xf numFmtId="193" fontId="5" fillId="0" borderId="11" xfId="0" applyNumberFormat="1" applyFont="1" applyBorder="1" applyAlignment="1">
      <alignment/>
    </xf>
    <xf numFmtId="193" fontId="5" fillId="0" borderId="53" xfId="0" applyNumberFormat="1" applyFont="1" applyBorder="1" applyAlignment="1">
      <alignment/>
    </xf>
    <xf numFmtId="193" fontId="5" fillId="0" borderId="54" xfId="0" applyNumberFormat="1" applyFont="1" applyBorder="1" applyAlignment="1">
      <alignment/>
    </xf>
    <xf numFmtId="193" fontId="5" fillId="0" borderId="55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9" fontId="5" fillId="0" borderId="14" xfId="22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9" fontId="5" fillId="0" borderId="15" xfId="22" applyFont="1" applyBorder="1" applyAlignment="1">
      <alignment horizontal="right"/>
    </xf>
    <xf numFmtId="10" fontId="0" fillId="0" borderId="0" xfId="22" applyNumberFormat="1" applyAlignment="1">
      <alignment/>
    </xf>
    <xf numFmtId="10" fontId="0" fillId="0" borderId="0" xfId="0" applyNumberFormat="1" applyAlignment="1">
      <alignment/>
    </xf>
    <xf numFmtId="10" fontId="0" fillId="0" borderId="0" xfId="22" applyNumberFormat="1" applyFont="1" applyAlignment="1">
      <alignment/>
    </xf>
    <xf numFmtId="9" fontId="0" fillId="0" borderId="0" xfId="22" applyFont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9" fontId="20" fillId="0" borderId="42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9" fontId="2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10" fontId="20" fillId="0" borderId="4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right"/>
    </xf>
    <xf numFmtId="3" fontId="11" fillId="0" borderId="25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right"/>
    </xf>
    <xf numFmtId="3" fontId="11" fillId="0" borderId="26" xfId="0" applyNumberFormat="1" applyFont="1" applyFill="1" applyBorder="1" applyAlignment="1">
      <alignment horizontal="right"/>
    </xf>
    <xf numFmtId="0" fontId="13" fillId="0" borderId="57" xfId="0" applyFont="1" applyFill="1" applyBorder="1" applyAlignment="1">
      <alignment horizontal="left"/>
    </xf>
    <xf numFmtId="3" fontId="11" fillId="0" borderId="29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5" fillId="0" borderId="0" xfId="0" applyNumberFormat="1" applyFont="1" applyAlignment="1">
      <alignment/>
    </xf>
    <xf numFmtId="0" fontId="0" fillId="5" borderId="48" xfId="0" applyFont="1" applyFill="1" applyBorder="1" applyAlignment="1">
      <alignment/>
    </xf>
    <xf numFmtId="0" fontId="13" fillId="5" borderId="48" xfId="0" applyFont="1" applyFill="1" applyBorder="1" applyAlignment="1">
      <alignment horizontal="center"/>
    </xf>
    <xf numFmtId="0" fontId="0" fillId="5" borderId="48" xfId="0" applyFont="1" applyFill="1" applyBorder="1" applyAlignment="1">
      <alignment horizontal="center"/>
    </xf>
    <xf numFmtId="4" fontId="11" fillId="5" borderId="48" xfId="0" applyNumberFormat="1" applyFont="1" applyFill="1" applyBorder="1" applyAlignment="1">
      <alignment horizontal="center"/>
    </xf>
    <xf numFmtId="3" fontId="0" fillId="6" borderId="0" xfId="0" applyNumberFormat="1" applyFill="1" applyAlignment="1">
      <alignment/>
    </xf>
    <xf numFmtId="0" fontId="20" fillId="0" borderId="36" xfId="0" applyFont="1" applyFill="1" applyBorder="1" applyAlignment="1">
      <alignment horizontal="center" vertical="center" wrapText="1"/>
    </xf>
    <xf numFmtId="184" fontId="3" fillId="0" borderId="55" xfId="18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16" xfId="18" applyNumberFormat="1" applyFont="1" applyBorder="1" applyAlignment="1">
      <alignment/>
    </xf>
    <xf numFmtId="3" fontId="3" fillId="0" borderId="40" xfId="0" applyNumberFormat="1" applyFont="1" applyBorder="1" applyAlignment="1">
      <alignment horizontal="left"/>
    </xf>
    <xf numFmtId="3" fontId="5" fillId="0" borderId="4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180" fontId="0" fillId="0" borderId="1" xfId="18" applyNumberFormat="1" applyBorder="1" applyAlignment="1">
      <alignment horizontal="center"/>
    </xf>
    <xf numFmtId="180" fontId="0" fillId="0" borderId="26" xfId="18" applyNumberFormat="1" applyBorder="1" applyAlignment="1">
      <alignment horizontal="center"/>
    </xf>
    <xf numFmtId="180" fontId="0" fillId="0" borderId="29" xfId="18" applyNumberFormat="1" applyBorder="1" applyAlignment="1">
      <alignment horizontal="center"/>
    </xf>
    <xf numFmtId="180" fontId="0" fillId="0" borderId="30" xfId="18" applyNumberFormat="1" applyBorder="1" applyAlignment="1">
      <alignment horizontal="center"/>
    </xf>
    <xf numFmtId="180" fontId="0" fillId="0" borderId="3" xfId="18" applyNumberFormat="1" applyBorder="1" applyAlignment="1">
      <alignment horizontal="center"/>
    </xf>
    <xf numFmtId="180" fontId="0" fillId="0" borderId="25" xfId="18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180" fontId="0" fillId="0" borderId="24" xfId="18" applyNumberFormat="1" applyBorder="1" applyAlignment="1">
      <alignment horizontal="center"/>
    </xf>
    <xf numFmtId="180" fontId="0" fillId="0" borderId="7" xfId="18" applyNumberFormat="1" applyBorder="1" applyAlignment="1">
      <alignment horizontal="center"/>
    </xf>
    <xf numFmtId="180" fontId="0" fillId="0" borderId="28" xfId="18" applyNumberFormat="1" applyBorder="1" applyAlignment="1">
      <alignment horizontal="center"/>
    </xf>
    <xf numFmtId="180" fontId="0" fillId="0" borderId="23" xfId="18" applyNumberFormat="1" applyBorder="1" applyAlignment="1">
      <alignment horizontal="center"/>
    </xf>
    <xf numFmtId="180" fontId="0" fillId="0" borderId="27" xfId="18" applyNumberFormat="1" applyBorder="1" applyAlignment="1">
      <alignment horizontal="center"/>
    </xf>
    <xf numFmtId="0" fontId="1" fillId="0" borderId="45" xfId="0" applyFont="1" applyBorder="1" applyAlignment="1">
      <alignment horizontal="center"/>
    </xf>
    <xf numFmtId="180" fontId="0" fillId="0" borderId="59" xfId="18" applyNumberFormat="1" applyBorder="1" applyAlignment="1">
      <alignment horizontal="center"/>
    </xf>
    <xf numFmtId="180" fontId="0" fillId="0" borderId="60" xfId="18" applyNumberFormat="1" applyBorder="1" applyAlignment="1">
      <alignment horizontal="center"/>
    </xf>
    <xf numFmtId="180" fontId="0" fillId="0" borderId="61" xfId="18" applyNumberFormat="1" applyBorder="1" applyAlignment="1">
      <alignment horizontal="center"/>
    </xf>
    <xf numFmtId="217" fontId="0" fillId="0" borderId="0" xfId="0" applyNumberFormat="1" applyAlignment="1">
      <alignment/>
    </xf>
    <xf numFmtId="217" fontId="3" fillId="0" borderId="12" xfId="0" applyNumberFormat="1" applyFont="1" applyFill="1" applyBorder="1" applyAlignment="1">
      <alignment/>
    </xf>
    <xf numFmtId="180" fontId="0" fillId="7" borderId="31" xfId="18" applyNumberFormat="1" applyFill="1" applyBorder="1" applyAlignment="1">
      <alignment horizontal="center"/>
    </xf>
    <xf numFmtId="217" fontId="3" fillId="7" borderId="12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left"/>
    </xf>
    <xf numFmtId="0" fontId="3" fillId="0" borderId="62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217" fontId="1" fillId="0" borderId="18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9" fontId="13" fillId="0" borderId="45" xfId="22" applyFont="1" applyFill="1" applyBorder="1" applyAlignment="1">
      <alignment horizontal="center"/>
    </xf>
    <xf numFmtId="9" fontId="1" fillId="0" borderId="12" xfId="22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9" fontId="11" fillId="0" borderId="22" xfId="22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9" fontId="11" fillId="0" borderId="26" xfId="22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9" fontId="11" fillId="0" borderId="30" xfId="22" applyFont="1" applyFill="1" applyBorder="1" applyAlignment="1">
      <alignment/>
    </xf>
    <xf numFmtId="2" fontId="11" fillId="0" borderId="22" xfId="22" applyNumberFormat="1" applyFont="1" applyFill="1" applyBorder="1" applyAlignment="1">
      <alignment/>
    </xf>
    <xf numFmtId="2" fontId="11" fillId="0" borderId="26" xfId="22" applyNumberFormat="1" applyFont="1" applyFill="1" applyBorder="1" applyAlignment="1">
      <alignment/>
    </xf>
    <xf numFmtId="2" fontId="11" fillId="0" borderId="30" xfId="22" applyNumberFormat="1" applyFont="1" applyFill="1" applyBorder="1" applyAlignment="1">
      <alignment/>
    </xf>
    <xf numFmtId="9" fontId="11" fillId="0" borderId="20" xfId="0" applyNumberFormat="1" applyFont="1" applyFill="1" applyBorder="1" applyAlignment="1">
      <alignment/>
    </xf>
    <xf numFmtId="208" fontId="11" fillId="0" borderId="7" xfId="0" applyNumberFormat="1" applyFont="1" applyFill="1" applyBorder="1" applyAlignment="1">
      <alignment/>
    </xf>
    <xf numFmtId="208" fontId="11" fillId="0" borderId="28" xfId="0" applyNumberFormat="1" applyFont="1" applyFill="1" applyBorder="1" applyAlignment="1">
      <alignment/>
    </xf>
    <xf numFmtId="2" fontId="11" fillId="0" borderId="63" xfId="22" applyNumberFormat="1" applyFont="1" applyFill="1" applyBorder="1" applyAlignment="1">
      <alignment/>
    </xf>
    <xf numFmtId="2" fontId="11" fillId="0" borderId="10" xfId="22" applyNumberFormat="1" applyFont="1" applyFill="1" applyBorder="1" applyAlignment="1">
      <alignment/>
    </xf>
    <xf numFmtId="2" fontId="11" fillId="0" borderId="57" xfId="22" applyNumberFormat="1" applyFont="1" applyFill="1" applyBorder="1" applyAlignment="1">
      <alignment/>
    </xf>
    <xf numFmtId="2" fontId="0" fillId="0" borderId="64" xfId="0" applyNumberFormat="1" applyBorder="1" applyAlignment="1">
      <alignment/>
    </xf>
    <xf numFmtId="2" fontId="0" fillId="0" borderId="65" xfId="0" applyNumberFormat="1" applyBorder="1" applyAlignment="1">
      <alignment/>
    </xf>
    <xf numFmtId="2" fontId="0" fillId="0" borderId="66" xfId="0" applyNumberFormat="1" applyBorder="1" applyAlignment="1">
      <alignment/>
    </xf>
    <xf numFmtId="0" fontId="11" fillId="0" borderId="0" xfId="0" applyFont="1" applyAlignment="1">
      <alignment/>
    </xf>
    <xf numFmtId="0" fontId="3" fillId="8" borderId="12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0" fillId="8" borderId="20" xfId="0" applyFont="1" applyFill="1" applyBorder="1" applyAlignment="1">
      <alignment/>
    </xf>
    <xf numFmtId="171" fontId="0" fillId="8" borderId="22" xfId="0" applyNumberFormat="1" applyFont="1" applyFill="1" applyBorder="1" applyAlignment="1">
      <alignment/>
    </xf>
    <xf numFmtId="10" fontId="0" fillId="8" borderId="22" xfId="22" applyNumberFormat="1" applyFont="1" applyFill="1" applyBorder="1" applyAlignment="1">
      <alignment/>
    </xf>
    <xf numFmtId="0" fontId="0" fillId="8" borderId="7" xfId="0" applyFont="1" applyFill="1" applyBorder="1" applyAlignment="1">
      <alignment/>
    </xf>
    <xf numFmtId="171" fontId="0" fillId="8" borderId="26" xfId="0" applyNumberFormat="1" applyFont="1" applyFill="1" applyBorder="1" applyAlignment="1">
      <alignment/>
    </xf>
    <xf numFmtId="10" fontId="0" fillId="8" borderId="26" xfId="22" applyNumberFormat="1" applyFont="1" applyFill="1" applyBorder="1" applyAlignment="1">
      <alignment/>
    </xf>
    <xf numFmtId="171" fontId="0" fillId="8" borderId="62" xfId="0" applyNumberFormat="1" applyFont="1" applyFill="1" applyBorder="1" applyAlignment="1">
      <alignment/>
    </xf>
    <xf numFmtId="10" fontId="0" fillId="8" borderId="62" xfId="22" applyNumberFormat="1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7" fillId="8" borderId="27" xfId="0" applyFont="1" applyFill="1" applyBorder="1" applyAlignment="1">
      <alignment horizontal="right"/>
    </xf>
    <xf numFmtId="193" fontId="3" fillId="8" borderId="12" xfId="0" applyNumberFormat="1" applyFont="1" applyFill="1" applyBorder="1" applyAlignment="1">
      <alignment/>
    </xf>
    <xf numFmtId="10" fontId="3" fillId="8" borderId="12" xfId="22" applyNumberFormat="1" applyFont="1" applyFill="1" applyBorder="1" applyAlignment="1">
      <alignment/>
    </xf>
    <xf numFmtId="0" fontId="11" fillId="8" borderId="46" xfId="0" applyFont="1" applyFill="1" applyBorder="1" applyAlignment="1">
      <alignment/>
    </xf>
    <xf numFmtId="0" fontId="11" fillId="8" borderId="0" xfId="0" applyFont="1" applyFill="1" applyBorder="1" applyAlignment="1">
      <alignment/>
    </xf>
    <xf numFmtId="171" fontId="11" fillId="8" borderId="0" xfId="18" applyFont="1" applyFill="1" applyBorder="1" applyAlignment="1">
      <alignment/>
    </xf>
    <xf numFmtId="171" fontId="11" fillId="8" borderId="48" xfId="18" applyFont="1" applyFill="1" applyBorder="1" applyAlignment="1">
      <alignment/>
    </xf>
    <xf numFmtId="171" fontId="3" fillId="8" borderId="49" xfId="18" applyFont="1" applyFill="1" applyBorder="1" applyAlignment="1">
      <alignment/>
    </xf>
    <xf numFmtId="0" fontId="11" fillId="8" borderId="48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11" fillId="8" borderId="52" xfId="0" applyFont="1" applyFill="1" applyBorder="1" applyAlignment="1">
      <alignment/>
    </xf>
    <xf numFmtId="0" fontId="1" fillId="8" borderId="7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/>
    </xf>
    <xf numFmtId="0" fontId="0" fillId="8" borderId="26" xfId="0" applyFont="1" applyFill="1" applyBorder="1" applyAlignment="1">
      <alignment/>
    </xf>
    <xf numFmtId="171" fontId="0" fillId="8" borderId="1" xfId="18" applyFont="1" applyFill="1" applyBorder="1" applyAlignment="1">
      <alignment/>
    </xf>
    <xf numFmtId="171" fontId="0" fillId="8" borderId="26" xfId="18" applyFont="1" applyFill="1" applyBorder="1" applyAlignment="1">
      <alignment/>
    </xf>
    <xf numFmtId="0" fontId="15" fillId="8" borderId="7" xfId="0" applyFont="1" applyFill="1" applyBorder="1" applyAlignment="1">
      <alignment horizontal="right"/>
    </xf>
    <xf numFmtId="171" fontId="1" fillId="8" borderId="67" xfId="18" applyFont="1" applyFill="1" applyBorder="1" applyAlignment="1">
      <alignment/>
    </xf>
    <xf numFmtId="171" fontId="1" fillId="8" borderId="68" xfId="18" applyFont="1" applyFill="1" applyBorder="1" applyAlignment="1">
      <alignment/>
    </xf>
    <xf numFmtId="0" fontId="0" fillId="8" borderId="69" xfId="0" applyFont="1" applyFill="1" applyBorder="1" applyAlignment="1">
      <alignment/>
    </xf>
    <xf numFmtId="0" fontId="0" fillId="8" borderId="37" xfId="0" applyFont="1" applyFill="1" applyBorder="1" applyAlignment="1">
      <alignment/>
    </xf>
    <xf numFmtId="171" fontId="0" fillId="8" borderId="37" xfId="18" applyFont="1" applyFill="1" applyBorder="1" applyAlignment="1">
      <alignment/>
    </xf>
    <xf numFmtId="171" fontId="0" fillId="8" borderId="16" xfId="18" applyFont="1" applyFill="1" applyBorder="1" applyAlignment="1">
      <alignment/>
    </xf>
    <xf numFmtId="171" fontId="0" fillId="8" borderId="17" xfId="18" applyFont="1" applyFill="1" applyBorder="1" applyAlignment="1">
      <alignment/>
    </xf>
    <xf numFmtId="0" fontId="16" fillId="8" borderId="40" xfId="0" applyFont="1" applyFill="1" applyBorder="1" applyAlignment="1">
      <alignment horizontal="right"/>
    </xf>
    <xf numFmtId="0" fontId="5" fillId="8" borderId="16" xfId="0" applyFont="1" applyFill="1" applyBorder="1" applyAlignment="1">
      <alignment/>
    </xf>
    <xf numFmtId="171" fontId="5" fillId="8" borderId="16" xfId="18" applyFont="1" applyFill="1" applyBorder="1" applyAlignment="1">
      <alignment/>
    </xf>
    <xf numFmtId="171" fontId="3" fillId="8" borderId="16" xfId="18" applyFont="1" applyFill="1" applyBorder="1" applyAlignment="1">
      <alignment/>
    </xf>
    <xf numFmtId="171" fontId="3" fillId="8" borderId="17" xfId="18" applyFont="1" applyFill="1" applyBorder="1" applyAlignment="1">
      <alignment/>
    </xf>
    <xf numFmtId="193" fontId="3" fillId="8" borderId="29" xfId="18" applyNumberFormat="1" applyFont="1" applyFill="1" applyBorder="1" applyAlignment="1">
      <alignment/>
    </xf>
    <xf numFmtId="193" fontId="3" fillId="8" borderId="30" xfId="18" applyNumberFormat="1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vertical="center" wrapText="1"/>
    </xf>
    <xf numFmtId="0" fontId="5" fillId="8" borderId="22" xfId="0" applyFont="1" applyFill="1" applyBorder="1" applyAlignment="1">
      <alignment vertical="center" wrapText="1"/>
    </xf>
    <xf numFmtId="0" fontId="5" fillId="8" borderId="7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5" fillId="8" borderId="26" xfId="0" applyFont="1" applyFill="1" applyBorder="1" applyAlignment="1">
      <alignment vertical="center" wrapText="1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vertical="center" wrapText="1"/>
    </xf>
    <xf numFmtId="0" fontId="5" fillId="8" borderId="30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0" fillId="8" borderId="20" xfId="0" applyFont="1" applyFill="1" applyBorder="1" applyAlignment="1">
      <alignment/>
    </xf>
    <xf numFmtId="193" fontId="0" fillId="8" borderId="21" xfId="0" applyNumberFormat="1" applyFont="1" applyFill="1" applyBorder="1" applyAlignment="1">
      <alignment/>
    </xf>
    <xf numFmtId="0" fontId="0" fillId="8" borderId="7" xfId="0" applyFont="1" applyFill="1" applyBorder="1" applyAlignment="1">
      <alignment/>
    </xf>
    <xf numFmtId="193" fontId="0" fillId="8" borderId="37" xfId="0" applyNumberFormat="1" applyFont="1" applyFill="1" applyBorder="1" applyAlignment="1">
      <alignment/>
    </xf>
    <xf numFmtId="193" fontId="3" fillId="8" borderId="8" xfId="0" applyNumberFormat="1" applyFont="1" applyFill="1" applyBorder="1" applyAlignment="1">
      <alignment/>
    </xf>
    <xf numFmtId="10" fontId="3" fillId="8" borderId="9" xfId="22" applyNumberFormat="1" applyFont="1" applyFill="1" applyBorder="1" applyAlignment="1">
      <alignment/>
    </xf>
    <xf numFmtId="0" fontId="3" fillId="5" borderId="18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14" fillId="8" borderId="20" xfId="0" applyFont="1" applyFill="1" applyBorder="1" applyAlignment="1">
      <alignment/>
    </xf>
    <xf numFmtId="3" fontId="0" fillId="8" borderId="21" xfId="0" applyNumberFormat="1" applyFont="1" applyFill="1" applyBorder="1" applyAlignment="1">
      <alignment/>
    </xf>
    <xf numFmtId="171" fontId="11" fillId="8" borderId="21" xfId="18" applyFont="1" applyFill="1" applyBorder="1" applyAlignment="1">
      <alignment/>
    </xf>
    <xf numFmtId="9" fontId="11" fillId="8" borderId="21" xfId="22" applyFont="1" applyFill="1" applyBorder="1" applyAlignment="1">
      <alignment horizontal="center"/>
    </xf>
    <xf numFmtId="171" fontId="11" fillId="8" borderId="22" xfId="18" applyFont="1" applyFill="1" applyBorder="1" applyAlignment="1">
      <alignment/>
    </xf>
    <xf numFmtId="0" fontId="14" fillId="8" borderId="7" xfId="0" applyFont="1" applyFill="1" applyBorder="1" applyAlignment="1">
      <alignment/>
    </xf>
    <xf numFmtId="3" fontId="0" fillId="8" borderId="1" xfId="0" applyNumberFormat="1" applyFont="1" applyFill="1" applyBorder="1" applyAlignment="1">
      <alignment/>
    </xf>
    <xf numFmtId="171" fontId="11" fillId="8" borderId="1" xfId="18" applyFont="1" applyFill="1" applyBorder="1" applyAlignment="1">
      <alignment/>
    </xf>
    <xf numFmtId="9" fontId="11" fillId="8" borderId="1" xfId="22" applyFont="1" applyFill="1" applyBorder="1" applyAlignment="1">
      <alignment horizontal="center"/>
    </xf>
    <xf numFmtId="171" fontId="11" fillId="8" borderId="26" xfId="18" applyFont="1" applyFill="1" applyBorder="1" applyAlignment="1">
      <alignment/>
    </xf>
    <xf numFmtId="0" fontId="14" fillId="8" borderId="28" xfId="0" applyFont="1" applyFill="1" applyBorder="1" applyAlignment="1">
      <alignment/>
    </xf>
    <xf numFmtId="3" fontId="0" fillId="8" borderId="29" xfId="0" applyNumberFormat="1" applyFont="1" applyFill="1" applyBorder="1" applyAlignment="1">
      <alignment/>
    </xf>
    <xf numFmtId="171" fontId="11" fillId="8" borderId="29" xfId="18" applyFont="1" applyFill="1" applyBorder="1" applyAlignment="1">
      <alignment/>
    </xf>
    <xf numFmtId="9" fontId="11" fillId="8" borderId="29" xfId="22" applyFont="1" applyFill="1" applyBorder="1" applyAlignment="1">
      <alignment horizontal="center"/>
    </xf>
    <xf numFmtId="171" fontId="11" fillId="8" borderId="30" xfId="18" applyFont="1" applyFill="1" applyBorder="1" applyAlignment="1">
      <alignment/>
    </xf>
    <xf numFmtId="0" fontId="14" fillId="8" borderId="0" xfId="0" applyFont="1" applyFill="1" applyBorder="1" applyAlignment="1">
      <alignment/>
    </xf>
    <xf numFmtId="9" fontId="11" fillId="8" borderId="0" xfId="22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 vertical="center" wrapText="1"/>
    </xf>
    <xf numFmtId="221" fontId="1" fillId="5" borderId="12" xfId="0" applyNumberFormat="1" applyFont="1" applyFill="1" applyBorder="1" applyAlignment="1">
      <alignment/>
    </xf>
    <xf numFmtId="193" fontId="1" fillId="5" borderId="12" xfId="18" applyNumberFormat="1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 vertical="center" wrapText="1"/>
    </xf>
    <xf numFmtId="0" fontId="11" fillId="0" borderId="7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6" fillId="8" borderId="27" xfId="0" applyFont="1" applyFill="1" applyBorder="1" applyAlignment="1">
      <alignment horizontal="right"/>
    </xf>
    <xf numFmtId="0" fontId="16" fillId="8" borderId="71" xfId="0" applyFont="1" applyFill="1" applyBorder="1" applyAlignment="1">
      <alignment horizontal="right"/>
    </xf>
    <xf numFmtId="0" fontId="16" fillId="8" borderId="72" xfId="0" applyFont="1" applyFill="1" applyBorder="1" applyAlignment="1">
      <alignment horizontal="right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1" fillId="0" borderId="2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4" borderId="4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48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1" fillId="5" borderId="73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3" fillId="8" borderId="46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right"/>
    </xf>
    <xf numFmtId="0" fontId="3" fillId="5" borderId="46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0" fillId="8" borderId="74" xfId="0" applyFont="1" applyFill="1" applyBorder="1" applyAlignment="1">
      <alignment/>
    </xf>
    <xf numFmtId="0" fontId="13" fillId="8" borderId="75" xfId="0" applyFont="1" applyFill="1" applyBorder="1" applyAlignment="1">
      <alignment horizontal="center"/>
    </xf>
    <xf numFmtId="0" fontId="0" fillId="8" borderId="75" xfId="0" applyFont="1" applyFill="1" applyBorder="1" applyAlignment="1">
      <alignment horizontal="center"/>
    </xf>
    <xf numFmtId="0" fontId="0" fillId="8" borderId="48" xfId="0" applyFont="1" applyFill="1" applyBorder="1" applyAlignment="1">
      <alignment horizontal="center"/>
    </xf>
    <xf numFmtId="4" fontId="11" fillId="8" borderId="48" xfId="0" applyNumberFormat="1" applyFont="1" applyFill="1" applyBorder="1" applyAlignment="1">
      <alignment horizontal="center"/>
    </xf>
    <xf numFmtId="4" fontId="11" fillId="8" borderId="74" xfId="0" applyNumberFormat="1" applyFont="1" applyFill="1" applyBorder="1" applyAlignment="1">
      <alignment horizontal="center"/>
    </xf>
    <xf numFmtId="0" fontId="13" fillId="8" borderId="76" xfId="0" applyFont="1" applyFill="1" applyBorder="1" applyAlignment="1">
      <alignment horizontal="center"/>
    </xf>
    <xf numFmtId="4" fontId="11" fillId="8" borderId="47" xfId="0" applyNumberFormat="1" applyFont="1" applyFill="1" applyBorder="1" applyAlignment="1">
      <alignment horizontal="center"/>
    </xf>
    <xf numFmtId="4" fontId="11" fillId="8" borderId="77" xfId="0" applyNumberFormat="1" applyFont="1" applyFill="1" applyBorder="1" applyAlignment="1">
      <alignment horizontal="center"/>
    </xf>
    <xf numFmtId="4" fontId="11" fillId="9" borderId="47" xfId="0" applyNumberFormat="1" applyFont="1" applyFill="1" applyBorder="1" applyAlignment="1">
      <alignment horizontal="center"/>
    </xf>
    <xf numFmtId="0" fontId="13" fillId="5" borderId="78" xfId="0" applyFont="1" applyFill="1" applyBorder="1" applyAlignment="1">
      <alignment horizontal="center"/>
    </xf>
    <xf numFmtId="0" fontId="13" fillId="5" borderId="70" xfId="0" applyFont="1" applyFill="1" applyBorder="1" applyAlignment="1">
      <alignment horizontal="center"/>
    </xf>
    <xf numFmtId="0" fontId="13" fillId="5" borderId="79" xfId="0" applyFont="1" applyFill="1" applyBorder="1" applyAlignment="1">
      <alignment horizontal="center"/>
    </xf>
    <xf numFmtId="0" fontId="1" fillId="5" borderId="80" xfId="0" applyFont="1" applyFill="1" applyBorder="1" applyAlignment="1">
      <alignment/>
    </xf>
    <xf numFmtId="0" fontId="13" fillId="5" borderId="81" xfId="0" applyFont="1" applyFill="1" applyBorder="1" applyAlignment="1">
      <alignment horizontal="center"/>
    </xf>
    <xf numFmtId="0" fontId="0" fillId="5" borderId="77" xfId="0" applyFont="1" applyFill="1" applyBorder="1" applyAlignment="1">
      <alignment/>
    </xf>
    <xf numFmtId="0" fontId="0" fillId="5" borderId="75" xfId="0" applyFont="1" applyFill="1" applyBorder="1" applyAlignment="1">
      <alignment/>
    </xf>
    <xf numFmtId="0" fontId="0" fillId="5" borderId="74" xfId="0" applyFont="1" applyFill="1" applyBorder="1" applyAlignment="1">
      <alignment/>
    </xf>
    <xf numFmtId="0" fontId="13" fillId="5" borderId="75" xfId="0" applyFont="1" applyFill="1" applyBorder="1" applyAlignment="1">
      <alignment horizontal="center"/>
    </xf>
    <xf numFmtId="0" fontId="13" fillId="5" borderId="74" xfId="0" applyFont="1" applyFill="1" applyBorder="1" applyAlignment="1">
      <alignment horizontal="center"/>
    </xf>
    <xf numFmtId="0" fontId="24" fillId="8" borderId="2" xfId="0" applyFont="1" applyFill="1" applyBorder="1" applyAlignment="1">
      <alignment horizontal="center" vertical="center"/>
    </xf>
    <xf numFmtId="0" fontId="24" fillId="8" borderId="42" xfId="0" applyFont="1" applyFill="1" applyBorder="1" applyAlignment="1">
      <alignment horizontal="center" vertical="center"/>
    </xf>
    <xf numFmtId="0" fontId="24" fillId="8" borderId="55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/>
    </xf>
    <xf numFmtId="0" fontId="3" fillId="8" borderId="82" xfId="0" applyFont="1" applyFill="1" applyBorder="1" applyAlignment="1">
      <alignment horizontal="center"/>
    </xf>
    <xf numFmtId="0" fontId="3" fillId="8" borderId="83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 vertical="center"/>
    </xf>
    <xf numFmtId="0" fontId="24" fillId="8" borderId="51" xfId="0" applyFont="1" applyFill="1" applyBorder="1" applyAlignment="1">
      <alignment horizontal="center" vertical="center"/>
    </xf>
    <xf numFmtId="0" fontId="24" fillId="8" borderId="52" xfId="0" applyFont="1" applyFill="1" applyBorder="1" applyAlignment="1">
      <alignment horizontal="center" vertical="center"/>
    </xf>
    <xf numFmtId="0" fontId="3" fillId="8" borderId="69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62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3" fillId="8" borderId="28" xfId="0" applyFont="1" applyFill="1" applyBorder="1" applyAlignment="1">
      <alignment horizontal="left"/>
    </xf>
    <xf numFmtId="0" fontId="3" fillId="8" borderId="26" xfId="0" applyFont="1" applyFill="1" applyBorder="1" applyAlignment="1">
      <alignment/>
    </xf>
    <xf numFmtId="3" fontId="5" fillId="8" borderId="8" xfId="0" applyNumberFormat="1" applyFont="1" applyFill="1" applyBorder="1" applyAlignment="1">
      <alignment/>
    </xf>
    <xf numFmtId="3" fontId="5" fillId="8" borderId="56" xfId="18" applyNumberFormat="1" applyFont="1" applyFill="1" applyBorder="1" applyAlignment="1">
      <alignment/>
    </xf>
    <xf numFmtId="3" fontId="5" fillId="8" borderId="84" xfId="18" applyNumberFormat="1" applyFont="1" applyFill="1" applyBorder="1" applyAlignment="1">
      <alignment/>
    </xf>
    <xf numFmtId="3" fontId="5" fillId="8" borderId="9" xfId="18" applyNumberFormat="1" applyFont="1" applyFill="1" applyBorder="1" applyAlignment="1">
      <alignment/>
    </xf>
    <xf numFmtId="3" fontId="5" fillId="8" borderId="56" xfId="0" applyNumberFormat="1" applyFont="1" applyFill="1" applyBorder="1" applyAlignment="1">
      <alignment/>
    </xf>
    <xf numFmtId="3" fontId="5" fillId="8" borderId="84" xfId="0" applyNumberFormat="1" applyFont="1" applyFill="1" applyBorder="1" applyAlignment="1">
      <alignment/>
    </xf>
    <xf numFmtId="3" fontId="5" fillId="8" borderId="9" xfId="0" applyNumberFormat="1" applyFont="1" applyFill="1" applyBorder="1" applyAlignment="1">
      <alignment/>
    </xf>
    <xf numFmtId="0" fontId="3" fillId="8" borderId="30" xfId="0" applyFont="1" applyFill="1" applyBorder="1" applyAlignment="1">
      <alignment/>
    </xf>
    <xf numFmtId="0" fontId="3" fillId="8" borderId="1" xfId="0" applyFont="1" applyFill="1" applyBorder="1" applyAlignment="1">
      <alignment horizontal="left"/>
    </xf>
    <xf numFmtId="0" fontId="3" fillId="8" borderId="29" xfId="0" applyFont="1" applyFill="1" applyBorder="1" applyAlignment="1">
      <alignment horizontal="left"/>
    </xf>
    <xf numFmtId="0" fontId="10" fillId="5" borderId="21" xfId="0" applyFont="1" applyFill="1" applyBorder="1" applyAlignment="1">
      <alignment horizontal="left"/>
    </xf>
    <xf numFmtId="0" fontId="3" fillId="5" borderId="22" xfId="0" applyFont="1" applyFill="1" applyBorder="1" applyAlignment="1">
      <alignment/>
    </xf>
    <xf numFmtId="3" fontId="5" fillId="5" borderId="20" xfId="18" applyNumberFormat="1" applyFont="1" applyFill="1" applyBorder="1" applyAlignment="1">
      <alignment/>
    </xf>
    <xf numFmtId="3" fontId="5" fillId="5" borderId="21" xfId="18" applyNumberFormat="1" applyFont="1" applyFill="1" applyBorder="1" applyAlignment="1">
      <alignment/>
    </xf>
    <xf numFmtId="0" fontId="10" fillId="5" borderId="1" xfId="0" applyFont="1" applyFill="1" applyBorder="1" applyAlignment="1">
      <alignment horizontal="left"/>
    </xf>
    <xf numFmtId="0" fontId="3" fillId="5" borderId="26" xfId="0" applyFont="1" applyFill="1" applyBorder="1" applyAlignment="1">
      <alignment/>
    </xf>
    <xf numFmtId="3" fontId="5" fillId="5" borderId="24" xfId="18" applyNumberFormat="1" applyFont="1" applyFill="1" applyBorder="1" applyAlignment="1">
      <alignment/>
    </xf>
    <xf numFmtId="3" fontId="5" fillId="5" borderId="3" xfId="18" applyNumberFormat="1" applyFont="1" applyFill="1" applyBorder="1" applyAlignment="1">
      <alignment/>
    </xf>
    <xf numFmtId="3" fontId="5" fillId="5" borderId="38" xfId="18" applyNumberFormat="1" applyFont="1" applyFill="1" applyBorder="1" applyAlignment="1">
      <alignment/>
    </xf>
    <xf numFmtId="3" fontId="5" fillId="5" borderId="25" xfId="18" applyNumberFormat="1" applyFont="1" applyFill="1" applyBorder="1" applyAlignment="1">
      <alignment/>
    </xf>
    <xf numFmtId="3" fontId="5" fillId="5" borderId="7" xfId="0" applyNumberFormat="1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3" fontId="5" fillId="5" borderId="10" xfId="0" applyNumberFormat="1" applyFont="1" applyFill="1" applyBorder="1" applyAlignment="1">
      <alignment/>
    </xf>
    <xf numFmtId="3" fontId="5" fillId="5" borderId="26" xfId="0" applyNumberFormat="1" applyFont="1" applyFill="1" applyBorder="1" applyAlignment="1">
      <alignment/>
    </xf>
    <xf numFmtId="3" fontId="5" fillId="5" borderId="1" xfId="18" applyNumberFormat="1" applyFont="1" applyFill="1" applyBorder="1" applyAlignment="1">
      <alignment/>
    </xf>
    <xf numFmtId="3" fontId="5" fillId="5" borderId="10" xfId="18" applyNumberFormat="1" applyFont="1" applyFill="1" applyBorder="1" applyAlignment="1">
      <alignment/>
    </xf>
    <xf numFmtId="3" fontId="5" fillId="5" borderId="26" xfId="18" applyNumberFormat="1" applyFont="1" applyFill="1" applyBorder="1" applyAlignment="1">
      <alignment/>
    </xf>
    <xf numFmtId="3" fontId="5" fillId="5" borderId="69" xfId="0" applyNumberFormat="1" applyFont="1" applyFill="1" applyBorder="1" applyAlignment="1">
      <alignment/>
    </xf>
    <xf numFmtId="3" fontId="5" fillId="5" borderId="37" xfId="18" applyNumberFormat="1" applyFont="1" applyFill="1" applyBorder="1" applyAlignment="1">
      <alignment/>
    </xf>
    <xf numFmtId="3" fontId="5" fillId="5" borderId="6" xfId="18" applyNumberFormat="1" applyFont="1" applyFill="1" applyBorder="1" applyAlignment="1">
      <alignment/>
    </xf>
    <xf numFmtId="3" fontId="5" fillId="5" borderId="62" xfId="18" applyNumberFormat="1" applyFont="1" applyFill="1" applyBorder="1" applyAlignment="1">
      <alignment/>
    </xf>
    <xf numFmtId="3" fontId="5" fillId="5" borderId="39" xfId="0" applyNumberFormat="1" applyFont="1" applyFill="1" applyBorder="1" applyAlignment="1">
      <alignment/>
    </xf>
    <xf numFmtId="3" fontId="5" fillId="5" borderId="14" xfId="0" applyNumberFormat="1" applyFont="1" applyFill="1" applyBorder="1" applyAlignment="1">
      <alignment/>
    </xf>
    <xf numFmtId="3" fontId="5" fillId="5" borderId="54" xfId="0" applyNumberFormat="1" applyFont="1" applyFill="1" applyBorder="1" applyAlignment="1">
      <alignment/>
    </xf>
    <xf numFmtId="3" fontId="5" fillId="5" borderId="43" xfId="0" applyNumberFormat="1" applyFont="1" applyFill="1" applyBorder="1" applyAlignment="1">
      <alignment/>
    </xf>
    <xf numFmtId="3" fontId="5" fillId="5" borderId="24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3" fontId="5" fillId="5" borderId="38" xfId="0" applyNumberFormat="1" applyFont="1" applyFill="1" applyBorder="1" applyAlignment="1">
      <alignment/>
    </xf>
    <xf numFmtId="3" fontId="5" fillId="5" borderId="25" xfId="0" applyNumberFormat="1" applyFont="1" applyFill="1" applyBorder="1" applyAlignment="1">
      <alignment/>
    </xf>
    <xf numFmtId="3" fontId="5" fillId="5" borderId="31" xfId="0" applyNumberFormat="1" applyFont="1" applyFill="1" applyBorder="1" applyAlignment="1">
      <alignment/>
    </xf>
    <xf numFmtId="9" fontId="3" fillId="5" borderId="26" xfId="22" applyFont="1" applyFill="1" applyBorder="1" applyAlignment="1">
      <alignment/>
    </xf>
    <xf numFmtId="3" fontId="5" fillId="5" borderId="28" xfId="0" applyNumberFormat="1" applyFont="1" applyFill="1" applyBorder="1" applyAlignment="1">
      <alignment/>
    </xf>
    <xf numFmtId="3" fontId="5" fillId="5" borderId="29" xfId="0" applyNumberFormat="1" applyFont="1" applyFill="1" applyBorder="1" applyAlignment="1">
      <alignment/>
    </xf>
    <xf numFmtId="0" fontId="3" fillId="8" borderId="42" xfId="0" applyFont="1" applyFill="1" applyBorder="1" applyAlignment="1">
      <alignment/>
    </xf>
    <xf numFmtId="184" fontId="3" fillId="8" borderId="55" xfId="18" applyNumberFormat="1" applyFont="1" applyFill="1" applyBorder="1" applyAlignment="1">
      <alignment/>
    </xf>
    <xf numFmtId="0" fontId="3" fillId="8" borderId="0" xfId="0" applyFont="1" applyFill="1" applyBorder="1" applyAlignment="1">
      <alignment/>
    </xf>
    <xf numFmtId="9" fontId="5" fillId="8" borderId="48" xfId="0" applyNumberFormat="1" applyFont="1" applyFill="1" applyBorder="1" applyAlignment="1">
      <alignment/>
    </xf>
    <xf numFmtId="0" fontId="5" fillId="8" borderId="51" xfId="0" applyFont="1" applyFill="1" applyBorder="1" applyAlignment="1">
      <alignment/>
    </xf>
    <xf numFmtId="189" fontId="5" fillId="8" borderId="5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COMPOSICIÓN DE DESECHOS SÓLIDOS</a:t>
            </a:r>
          </a:p>
        </c:rich>
      </c:tx>
      <c:layout>
        <c:manualLayout>
          <c:xMode val="factor"/>
          <c:yMode val="factor"/>
          <c:x val="0.042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23325"/>
          <c:w val="0.614"/>
          <c:h val="0.72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Hoja1!$A$35:$A$39</c:f>
              <c:strCache/>
            </c:strRef>
          </c:cat>
          <c:val>
            <c:numRef>
              <c:f>Hoja1!$B$35:$B$39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31</xdr:row>
      <xdr:rowOff>95250</xdr:rowOff>
    </xdr:from>
    <xdr:to>
      <xdr:col>11</xdr:col>
      <xdr:colOff>438150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6086475" y="5448300"/>
        <a:ext cx="42767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67</xdr:row>
      <xdr:rowOff>19050</xdr:rowOff>
    </xdr:from>
    <xdr:to>
      <xdr:col>6</xdr:col>
      <xdr:colOff>0</xdr:colOff>
      <xdr:row>69</xdr:row>
      <xdr:rowOff>0</xdr:rowOff>
    </xdr:to>
    <xdr:sp>
      <xdr:nvSpPr>
        <xdr:cNvPr id="2" name="Line 2"/>
        <xdr:cNvSpPr>
          <a:spLocks/>
        </xdr:cNvSpPr>
      </xdr:nvSpPr>
      <xdr:spPr>
        <a:xfrm>
          <a:off x="4695825" y="11782425"/>
          <a:ext cx="1266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19" sqref="A1:E19"/>
    </sheetView>
  </sheetViews>
  <sheetFormatPr defaultColWidth="11.421875" defaultRowHeight="12.75"/>
  <cols>
    <col min="1" max="1" width="20.421875" style="0" bestFit="1" customWidth="1"/>
    <col min="2" max="2" width="12.421875" style="0" customWidth="1"/>
    <col min="3" max="3" width="12.00390625" style="0" customWidth="1"/>
    <col min="4" max="4" width="11.7109375" style="0" bestFit="1" customWidth="1"/>
    <col min="5" max="5" width="13.7109375" style="0" bestFit="1" customWidth="1"/>
    <col min="6" max="6" width="19.140625" style="0" customWidth="1"/>
    <col min="7" max="7" width="11.140625" style="0" bestFit="1" customWidth="1"/>
    <col min="8" max="8" width="14.57421875" style="0" bestFit="1" customWidth="1"/>
    <col min="9" max="9" width="8.00390625" style="0" bestFit="1" customWidth="1"/>
    <col min="10" max="10" width="14.57421875" style="0" bestFit="1" customWidth="1"/>
    <col min="11" max="11" width="11.140625" style="0" bestFit="1" customWidth="1"/>
    <col min="12" max="12" width="14.57421875" style="0" bestFit="1" customWidth="1"/>
    <col min="13" max="13" width="7.421875" style="0" bestFit="1" customWidth="1"/>
  </cols>
  <sheetData>
    <row r="1" spans="1:5" ht="13.5" thickTop="1">
      <c r="A1" s="434" t="s">
        <v>279</v>
      </c>
      <c r="B1" s="435"/>
      <c r="C1" s="435"/>
      <c r="D1" s="435"/>
      <c r="E1" s="436"/>
    </row>
    <row r="2" spans="1:5" ht="13.5" thickBot="1">
      <c r="A2" s="437"/>
      <c r="B2" s="438" t="s">
        <v>280</v>
      </c>
      <c r="C2" s="438"/>
      <c r="D2" s="438"/>
      <c r="E2" s="439"/>
    </row>
    <row r="3" spans="1:5" ht="13.5" thickTop="1">
      <c r="A3" s="440"/>
      <c r="B3" s="229"/>
      <c r="C3" s="229"/>
      <c r="D3" s="229"/>
      <c r="E3" s="441"/>
    </row>
    <row r="4" spans="1:5" ht="12.75">
      <c r="A4" s="442" t="s">
        <v>24</v>
      </c>
      <c r="B4" s="230" t="s">
        <v>281</v>
      </c>
      <c r="C4" s="230" t="s">
        <v>282</v>
      </c>
      <c r="D4" s="230" t="s">
        <v>283</v>
      </c>
      <c r="E4" s="443" t="s">
        <v>284</v>
      </c>
    </row>
    <row r="5" spans="1:5" ht="12.75">
      <c r="A5" s="426"/>
      <c r="B5" s="231"/>
      <c r="C5" s="427"/>
      <c r="D5" s="427"/>
      <c r="E5" s="424"/>
    </row>
    <row r="6" spans="1:9" ht="12.75">
      <c r="A6" s="425">
        <v>1993</v>
      </c>
      <c r="B6" s="232">
        <v>47226.92</v>
      </c>
      <c r="C6" s="428">
        <v>20401.13</v>
      </c>
      <c r="D6" s="428">
        <v>308083.31</v>
      </c>
      <c r="E6" s="429">
        <v>375711.36</v>
      </c>
      <c r="F6" s="200"/>
      <c r="G6" s="200"/>
      <c r="H6" s="200"/>
      <c r="I6" s="201"/>
    </row>
    <row r="7" spans="1:9" ht="12.75">
      <c r="A7" s="425">
        <v>1994</v>
      </c>
      <c r="B7" s="232">
        <v>55550.59</v>
      </c>
      <c r="C7" s="428">
        <v>21270.58</v>
      </c>
      <c r="D7" s="428">
        <v>309214.85</v>
      </c>
      <c r="E7" s="429">
        <v>386036.02</v>
      </c>
      <c r="F7" s="200"/>
      <c r="G7" s="200"/>
      <c r="H7" s="200"/>
      <c r="I7" s="201"/>
    </row>
    <row r="8" spans="1:9" ht="12.75">
      <c r="A8" s="425">
        <v>1995</v>
      </c>
      <c r="B8" s="232">
        <v>63492.45</v>
      </c>
      <c r="C8" s="428">
        <v>27460.53</v>
      </c>
      <c r="D8" s="428">
        <v>384554.52</v>
      </c>
      <c r="E8" s="429">
        <v>475507.5</v>
      </c>
      <c r="F8" s="200"/>
      <c r="G8" s="200"/>
      <c r="H8" s="200"/>
      <c r="I8" s="201"/>
    </row>
    <row r="9" spans="1:9" ht="12.75">
      <c r="A9" s="425">
        <v>1996</v>
      </c>
      <c r="B9" s="232">
        <v>52682.34</v>
      </c>
      <c r="C9" s="428">
        <v>37366.64</v>
      </c>
      <c r="D9" s="428">
        <v>433155.04</v>
      </c>
      <c r="E9" s="429">
        <v>523204.02</v>
      </c>
      <c r="F9" s="200"/>
      <c r="G9" s="200"/>
      <c r="H9" s="200"/>
      <c r="I9" s="201"/>
    </row>
    <row r="10" spans="1:9" ht="12.75">
      <c r="A10" s="425">
        <v>1997</v>
      </c>
      <c r="B10" s="232">
        <v>47261.82</v>
      </c>
      <c r="C10" s="428">
        <v>20142.91</v>
      </c>
      <c r="D10" s="428">
        <v>496051.45</v>
      </c>
      <c r="E10" s="429">
        <v>563456.18</v>
      </c>
      <c r="F10" s="200"/>
      <c r="G10" s="200"/>
      <c r="H10" s="200"/>
      <c r="I10" s="201"/>
    </row>
    <row r="11" spans="1:9" ht="12.75">
      <c r="A11" s="425">
        <v>1998</v>
      </c>
      <c r="B11" s="232">
        <v>44194.85</v>
      </c>
      <c r="C11" s="428">
        <v>35441.38</v>
      </c>
      <c r="D11" s="428">
        <v>523264.05</v>
      </c>
      <c r="E11" s="429">
        <v>602900.28</v>
      </c>
      <c r="F11" s="200"/>
      <c r="G11" s="200"/>
      <c r="H11" s="200"/>
      <c r="I11" s="201"/>
    </row>
    <row r="12" spans="1:9" ht="12.75">
      <c r="A12" s="425">
        <v>1999</v>
      </c>
      <c r="B12" s="232">
        <v>53573.73</v>
      </c>
      <c r="C12" s="428">
        <v>41780</v>
      </c>
      <c r="D12" s="428">
        <v>500042.35</v>
      </c>
      <c r="E12" s="429">
        <v>595396.08</v>
      </c>
      <c r="F12" s="200"/>
      <c r="G12" s="200"/>
      <c r="H12" s="200"/>
      <c r="I12" s="201"/>
    </row>
    <row r="13" spans="1:9" ht="12.75">
      <c r="A13" s="425">
        <v>2000</v>
      </c>
      <c r="B13" s="232">
        <v>46764.91</v>
      </c>
      <c r="C13" s="428">
        <v>56628.23</v>
      </c>
      <c r="D13" s="428">
        <v>496269.12</v>
      </c>
      <c r="E13" s="429">
        <v>599662.26</v>
      </c>
      <c r="F13" s="200"/>
      <c r="G13" s="200"/>
      <c r="H13" s="200"/>
      <c r="I13" s="201"/>
    </row>
    <row r="14" spans="1:9" ht="12.75">
      <c r="A14" s="425">
        <v>2001</v>
      </c>
      <c r="B14" s="232">
        <v>33775.63</v>
      </c>
      <c r="C14" s="428">
        <v>42706.29</v>
      </c>
      <c r="D14" s="428">
        <v>537884.84</v>
      </c>
      <c r="E14" s="429">
        <v>614366.76</v>
      </c>
      <c r="F14" s="200"/>
      <c r="G14" s="200"/>
      <c r="H14" s="200"/>
      <c r="I14" s="201"/>
    </row>
    <row r="15" spans="1:9" ht="12.75">
      <c r="A15" s="425">
        <v>2002</v>
      </c>
      <c r="B15" s="232">
        <v>35126.66</v>
      </c>
      <c r="C15" s="428">
        <v>44414.54</v>
      </c>
      <c r="D15" s="428">
        <v>564779.08</v>
      </c>
      <c r="E15" s="429">
        <v>644320.28</v>
      </c>
      <c r="F15" s="200"/>
      <c r="G15" s="200"/>
      <c r="H15" s="200"/>
      <c r="I15" s="201"/>
    </row>
    <row r="16" spans="1:9" ht="13.5" thickBot="1">
      <c r="A16" s="430">
        <v>2003</v>
      </c>
      <c r="B16" s="433">
        <v>36882.99</v>
      </c>
      <c r="C16" s="431">
        <v>46635.27</v>
      </c>
      <c r="D16" s="431">
        <v>587370.25</v>
      </c>
      <c r="E16" s="432">
        <v>670888.51</v>
      </c>
      <c r="F16" s="200"/>
      <c r="G16" s="200"/>
      <c r="H16" s="200"/>
      <c r="I16" s="201"/>
    </row>
    <row r="17" spans="1:9" ht="13.5" thickTop="1">
      <c r="A17" s="396" t="s">
        <v>285</v>
      </c>
      <c r="B17" s="396"/>
      <c r="C17" s="396"/>
      <c r="D17" s="396"/>
      <c r="E17" s="396"/>
      <c r="F17" s="202"/>
      <c r="G17" s="202"/>
      <c r="H17" s="202"/>
      <c r="I17" s="201"/>
    </row>
    <row r="18" spans="1:5" ht="12.75">
      <c r="A18" s="300" t="s">
        <v>286</v>
      </c>
      <c r="B18" s="300"/>
      <c r="C18" s="300"/>
      <c r="D18" s="300"/>
      <c r="E18" s="203"/>
    </row>
    <row r="19" spans="1:5" ht="12.75">
      <c r="A19" s="300" t="s">
        <v>287</v>
      </c>
      <c r="B19" s="300"/>
      <c r="C19" s="300"/>
      <c r="D19" s="300"/>
      <c r="E19" s="300"/>
    </row>
    <row r="20" spans="1:5" ht="12.75">
      <c r="A20" s="300" t="s">
        <v>288</v>
      </c>
      <c r="B20" s="300"/>
      <c r="C20" s="300"/>
      <c r="D20" s="34"/>
      <c r="E20" s="34"/>
    </row>
    <row r="22" spans="2:5" ht="12.75">
      <c r="B22" s="60">
        <f>+AVERAGE(B6:B16)*0.7</f>
        <v>32870.27481818182</v>
      </c>
      <c r="C22" s="60">
        <f>+AVERAGE(C6:C16)*0.14</f>
        <v>5017.695454545455</v>
      </c>
      <c r="D22" s="60">
        <f>+AVERAGE(D6:D16)*0.4286</f>
        <v>200299.15212690906</v>
      </c>
      <c r="E22" s="60">
        <f>SUM(B22:D22)</f>
        <v>238187.12239963634</v>
      </c>
    </row>
    <row r="23" ht="12.75">
      <c r="E23">
        <f>6000/E22</f>
        <v>0.025190278716802537</v>
      </c>
    </row>
    <row r="24" ht="13.5" thickBot="1"/>
    <row r="25" spans="1:6" ht="33.75" customHeight="1" thickBot="1">
      <c r="A25" s="160" t="s">
        <v>197</v>
      </c>
      <c r="B25" s="160" t="s">
        <v>198</v>
      </c>
      <c r="C25" s="160" t="s">
        <v>199</v>
      </c>
      <c r="D25" s="160" t="s">
        <v>200</v>
      </c>
      <c r="E25" s="160" t="s">
        <v>201</v>
      </c>
      <c r="F25" s="160" t="s">
        <v>202</v>
      </c>
    </row>
    <row r="26" spans="1:6" ht="12.75">
      <c r="A26" s="161" t="s">
        <v>203</v>
      </c>
      <c r="B26" s="162">
        <f>+C35</f>
        <v>1286.453701430581</v>
      </c>
      <c r="C26" s="135">
        <v>450</v>
      </c>
      <c r="D26" s="163">
        <v>0.15</v>
      </c>
      <c r="E26" s="135">
        <f>+C26/(1-D26)</f>
        <v>529.4117647058823</v>
      </c>
      <c r="F26" s="136">
        <f>+B26*E26</f>
        <v>681063.7242867781</v>
      </c>
    </row>
    <row r="27" spans="1:6" ht="12.75">
      <c r="A27" s="164" t="s">
        <v>204</v>
      </c>
      <c r="B27" s="165">
        <f>+C36</f>
        <v>219.6651636174561</v>
      </c>
      <c r="C27" s="140">
        <v>1500</v>
      </c>
      <c r="D27" s="166">
        <v>0.25</v>
      </c>
      <c r="E27" s="140">
        <f>+C27/(1-D27)</f>
        <v>2000</v>
      </c>
      <c r="F27" s="141">
        <f>+B27*E27</f>
        <v>439330.3272349122</v>
      </c>
    </row>
    <row r="28" spans="1:6" ht="12.75">
      <c r="A28" s="164" t="s">
        <v>205</v>
      </c>
      <c r="B28" s="165">
        <f>+C37</f>
        <v>143.63591895191465</v>
      </c>
      <c r="C28" s="140">
        <v>600</v>
      </c>
      <c r="D28" s="166">
        <v>0.15</v>
      </c>
      <c r="E28" s="140">
        <f>+C28/(1-D28)</f>
        <v>705.8823529411765</v>
      </c>
      <c r="F28" s="141">
        <f>+B28*E28</f>
        <v>101390.06043664564</v>
      </c>
    </row>
    <row r="29" spans="1:6" ht="13.5" thickBot="1">
      <c r="A29" s="167" t="s">
        <v>206</v>
      </c>
      <c r="B29" s="168">
        <f>+C38</f>
        <v>36.529069924458966</v>
      </c>
      <c r="C29" s="169">
        <v>950</v>
      </c>
      <c r="D29" s="170">
        <v>0.25</v>
      </c>
      <c r="E29" s="169">
        <f>+C29/(1-D29)</f>
        <v>1266.6666666666667</v>
      </c>
      <c r="F29" s="171">
        <f>+B29*E29</f>
        <v>46270.155237648025</v>
      </c>
    </row>
    <row r="30" spans="1:7" ht="12.75">
      <c r="A30" s="172"/>
      <c r="B30" s="173"/>
      <c r="C30" s="152"/>
      <c r="D30" s="174"/>
      <c r="E30" s="152"/>
      <c r="F30" s="175">
        <f>SUM(F26:F29)</f>
        <v>1268054.267195984</v>
      </c>
      <c r="G30" s="175"/>
    </row>
    <row r="31" spans="1:8" ht="12.75">
      <c r="A31" s="1"/>
      <c r="B31" s="1"/>
      <c r="C31" s="1"/>
      <c r="D31" s="1"/>
      <c r="E31" s="1"/>
      <c r="F31" s="204"/>
      <c r="G31" s="204"/>
      <c r="H31" s="205"/>
    </row>
    <row r="32" spans="1:8" ht="13.5" thickBot="1">
      <c r="A32" s="1"/>
      <c r="B32" s="1"/>
      <c r="C32" s="1"/>
      <c r="D32" s="1"/>
      <c r="E32" s="1"/>
      <c r="F32" s="204"/>
      <c r="G32" s="312"/>
      <c r="H32" s="312"/>
    </row>
    <row r="33" spans="1:7" ht="18.75" thickBot="1">
      <c r="A33" s="206" t="s">
        <v>197</v>
      </c>
      <c r="B33" s="206" t="s">
        <v>289</v>
      </c>
      <c r="C33" s="207" t="s">
        <v>290</v>
      </c>
      <c r="D33" s="234" t="s">
        <v>309</v>
      </c>
      <c r="E33" s="1"/>
      <c r="F33" s="1"/>
      <c r="G33" s="1"/>
    </row>
    <row r="34" spans="1:7" ht="13.5" thickBot="1">
      <c r="A34" s="208"/>
      <c r="B34" s="209"/>
      <c r="C34" s="215">
        <v>0.049</v>
      </c>
      <c r="D34" s="211">
        <v>260</v>
      </c>
      <c r="E34" s="1"/>
      <c r="F34" s="1"/>
      <c r="G34" s="1"/>
    </row>
    <row r="35" spans="1:7" ht="12.75">
      <c r="A35" s="161" t="s">
        <v>203</v>
      </c>
      <c r="B35" s="162">
        <v>26254.157172052674</v>
      </c>
      <c r="C35" s="162">
        <f>+B35*$C$34</f>
        <v>1286.453701430581</v>
      </c>
      <c r="D35" s="227">
        <f>+C35/$D$34</f>
        <v>4.947898851656081</v>
      </c>
      <c r="E35" s="162">
        <f>+B35*0.33</f>
        <v>8663.871866777383</v>
      </c>
      <c r="F35" s="35">
        <f>+C35/E35</f>
        <v>0.1484848484848485</v>
      </c>
      <c r="G35" s="1"/>
    </row>
    <row r="36" spans="1:6" ht="12.75">
      <c r="A36" s="164" t="s">
        <v>204</v>
      </c>
      <c r="B36" s="165">
        <v>4482.962522805226</v>
      </c>
      <c r="C36" s="165">
        <f>+B36*$C$34</f>
        <v>219.6651636174561</v>
      </c>
      <c r="D36" s="227">
        <f>+C36/$D$34</f>
        <v>0.8448660139132927</v>
      </c>
      <c r="E36" s="165">
        <f>+B36*0.33</f>
        <v>1479.3776325257247</v>
      </c>
      <c r="F36" s="35">
        <f>+C36/E36</f>
        <v>0.1484848484848485</v>
      </c>
    </row>
    <row r="37" spans="1:6" ht="12.75">
      <c r="A37" s="164" t="s">
        <v>205</v>
      </c>
      <c r="B37" s="165">
        <v>2931.3452847329518</v>
      </c>
      <c r="C37" s="165">
        <f>+B37*$C$34</f>
        <v>143.63591895191465</v>
      </c>
      <c r="D37" s="227">
        <f>+C37/$D$34</f>
        <v>0.5524458421227486</v>
      </c>
      <c r="E37" s="165">
        <f>+B37*0.33</f>
        <v>967.3439439618742</v>
      </c>
      <c r="F37" s="35">
        <f>+C37/E37</f>
        <v>0.14848484848484847</v>
      </c>
    </row>
    <row r="38" spans="1:6" ht="12.75">
      <c r="A38" s="164" t="s">
        <v>206</v>
      </c>
      <c r="B38" s="165">
        <v>745.4912229481421</v>
      </c>
      <c r="C38" s="165">
        <f>+B38*$C$34</f>
        <v>36.529069924458966</v>
      </c>
      <c r="D38" s="227">
        <f>+C38/$D$34</f>
        <v>0.14049642278638064</v>
      </c>
      <c r="E38" s="165">
        <f>+B38*0.33</f>
        <v>246.0121035728869</v>
      </c>
      <c r="F38" s="35">
        <f>+C38/E38</f>
        <v>0.1484848484848485</v>
      </c>
    </row>
    <row r="39" spans="1:6" ht="13.5" thickBot="1">
      <c r="A39" s="167" t="s">
        <v>291</v>
      </c>
      <c r="B39" s="212">
        <v>2469.033797461001</v>
      </c>
      <c r="C39" s="212">
        <f>+B39*$C$34</f>
        <v>120.98265607558906</v>
      </c>
      <c r="D39" s="227">
        <f>+C39/$D$34</f>
        <v>0.46531790798303485</v>
      </c>
      <c r="E39" s="212">
        <f>+B39*0.33</f>
        <v>814.7811531621304</v>
      </c>
      <c r="F39" s="35">
        <f>+C39/E39</f>
        <v>0.1484848484848485</v>
      </c>
    </row>
    <row r="40" spans="2:6" ht="13.5" thickBot="1">
      <c r="B40" s="233">
        <f>+B16</f>
        <v>36882.99</v>
      </c>
      <c r="C40" s="48">
        <f>SUM(C35:C38)</f>
        <v>1686.2838539244108</v>
      </c>
      <c r="D40" s="59">
        <f>SUM(D35:D38)</f>
        <v>6.485707130478503</v>
      </c>
      <c r="E40" s="48">
        <f>+B40*0.018</f>
        <v>663.8938199999999</v>
      </c>
      <c r="F40">
        <f>+C40/E40</f>
        <v>2.539990286284652</v>
      </c>
    </row>
    <row r="41" spans="3:4" ht="12.75">
      <c r="C41" t="s">
        <v>292</v>
      </c>
      <c r="D41" s="210">
        <f>+D40/630</f>
        <v>0.010294773222981751</v>
      </c>
    </row>
    <row r="42" ht="13.5" thickBot="1"/>
    <row r="43" spans="1:4" ht="18.75" thickBot="1">
      <c r="A43" s="206" t="s">
        <v>197</v>
      </c>
      <c r="B43" s="206" t="s">
        <v>289</v>
      </c>
      <c r="C43" s="207" t="s">
        <v>290</v>
      </c>
      <c r="D43" s="1"/>
    </row>
    <row r="44" spans="1:4" ht="13.5" thickBot="1">
      <c r="A44" s="208"/>
      <c r="B44" s="209"/>
      <c r="C44" s="210">
        <v>0.137</v>
      </c>
      <c r="D44" s="1"/>
    </row>
    <row r="45" spans="1:5" ht="12.75">
      <c r="A45" s="161" t="s">
        <v>203</v>
      </c>
      <c r="B45" s="162">
        <v>33424.35643560638</v>
      </c>
      <c r="C45" s="162">
        <f>+B45*$C$44</f>
        <v>4579.1368316780745</v>
      </c>
      <c r="D45" s="211">
        <f>+C45/260</f>
        <v>17.612064737223363</v>
      </c>
      <c r="E45" s="158"/>
    </row>
    <row r="46" spans="1:5" ht="12.75">
      <c r="A46" s="164" t="s">
        <v>204</v>
      </c>
      <c r="B46" s="165">
        <v>5707.291849734586</v>
      </c>
      <c r="C46" s="165">
        <f>+B46*$C$44</f>
        <v>781.8989834136383</v>
      </c>
      <c r="D46" s="211">
        <f>+C46/260</f>
        <v>3.0073037823601476</v>
      </c>
      <c r="E46" s="158"/>
    </row>
    <row r="47" spans="1:5" ht="12.75">
      <c r="A47" s="164" t="s">
        <v>205</v>
      </c>
      <c r="B47" s="165">
        <v>3731.9167776235204</v>
      </c>
      <c r="C47" s="165">
        <f>+B47*$C$44</f>
        <v>511.27259853442234</v>
      </c>
      <c r="D47" s="211">
        <f>+C47/260</f>
        <v>1.9664330712862397</v>
      </c>
      <c r="E47" s="158"/>
    </row>
    <row r="48" spans="1:5" ht="12.75">
      <c r="A48" s="164" t="s">
        <v>206</v>
      </c>
      <c r="B48" s="165">
        <v>949.0902409146593</v>
      </c>
      <c r="C48" s="165">
        <f>+B48*$C$44</f>
        <v>130.02536300530832</v>
      </c>
      <c r="D48" s="211">
        <f>+C48/260</f>
        <v>0.5000975500204167</v>
      </c>
      <c r="E48" s="158"/>
    </row>
    <row r="49" spans="1:5" ht="13.5" thickBot="1">
      <c r="A49" s="167" t="s">
        <v>291</v>
      </c>
      <c r="B49" s="212">
        <v>3143.344696120862</v>
      </c>
      <c r="C49" s="212">
        <f>+B49*$C$44</f>
        <v>430.6382233685581</v>
      </c>
      <c r="D49" s="211">
        <f>+C49/260</f>
        <v>1.656300859109839</v>
      </c>
      <c r="E49" s="158"/>
    </row>
    <row r="50" spans="2:5" ht="12.75">
      <c r="B50" s="48">
        <f>SUM(B45:B49)</f>
        <v>46956.00000000001</v>
      </c>
      <c r="C50" s="48">
        <f>SUM(C45:C48)</f>
        <v>6002.3337766314435</v>
      </c>
      <c r="D50" s="211">
        <f>SUM(D45:D48)</f>
        <v>23.085899140890167</v>
      </c>
      <c r="E50" s="48"/>
    </row>
    <row r="51" spans="3:4" ht="12.75">
      <c r="C51" t="s">
        <v>292</v>
      </c>
      <c r="D51" s="213">
        <f>+D50/630</f>
        <v>0.03664428435061931</v>
      </c>
    </row>
    <row r="52" spans="1:2" ht="12.75">
      <c r="A52" s="172" t="s">
        <v>293</v>
      </c>
      <c r="B52" s="214">
        <v>2000</v>
      </c>
    </row>
    <row r="53" spans="1:2" ht="13.5" thickBot="1">
      <c r="A53" s="172" t="s">
        <v>294</v>
      </c>
      <c r="B53" s="214">
        <f>+B52*260</f>
        <v>520000</v>
      </c>
    </row>
    <row r="54" spans="1:2" ht="12.75">
      <c r="A54" s="172" t="s">
        <v>295</v>
      </c>
      <c r="B54" s="215">
        <f>+F17</f>
        <v>0</v>
      </c>
    </row>
    <row r="55" spans="1:6" ht="12.75">
      <c r="A55" s="172" t="s">
        <v>296</v>
      </c>
      <c r="B55" s="59">
        <f>+B52*B54</f>
        <v>0</v>
      </c>
      <c r="C55" s="214">
        <f>+B55*0.3</f>
        <v>0</v>
      </c>
      <c r="F55" s="216"/>
    </row>
    <row r="56" spans="1:6" ht="12.75">
      <c r="A56" s="172" t="s">
        <v>297</v>
      </c>
      <c r="B56" s="214">
        <f>+B55*260</f>
        <v>0</v>
      </c>
      <c r="C56" s="214">
        <f>+B56*0.3</f>
        <v>0</v>
      </c>
      <c r="F56" s="216"/>
    </row>
    <row r="57" ht="12.75">
      <c r="F57" s="216"/>
    </row>
    <row r="58" ht="12.75">
      <c r="F58" s="216"/>
    </row>
    <row r="59" spans="1:5" ht="16.5" thickBot="1">
      <c r="A59" s="388" t="s">
        <v>298</v>
      </c>
      <c r="B59" s="388"/>
      <c r="C59" s="388"/>
      <c r="D59" s="388"/>
      <c r="E59" s="388"/>
    </row>
    <row r="60" spans="1:7" ht="34.5" thickBot="1">
      <c r="A60" s="395" t="s">
        <v>299</v>
      </c>
      <c r="B60" s="311"/>
      <c r="C60" s="217" t="s">
        <v>300</v>
      </c>
      <c r="D60" s="217" t="s">
        <v>301</v>
      </c>
      <c r="E60" s="218" t="s">
        <v>302</v>
      </c>
      <c r="G60" s="16"/>
    </row>
    <row r="61" spans="1:7" ht="12.75">
      <c r="A61" s="391" t="s">
        <v>303</v>
      </c>
      <c r="B61" s="392"/>
      <c r="C61" s="219">
        <v>5882.590999999999</v>
      </c>
      <c r="D61" s="219">
        <v>1100</v>
      </c>
      <c r="E61" s="220">
        <f>+C61*D61</f>
        <v>6470850.1</v>
      </c>
      <c r="G61" s="16"/>
    </row>
    <row r="62" spans="1:7" ht="12.75">
      <c r="A62" s="393" t="s">
        <v>304</v>
      </c>
      <c r="B62" s="394"/>
      <c r="C62" s="222">
        <v>17453.962000000007</v>
      </c>
      <c r="D62" s="222">
        <v>1800</v>
      </c>
      <c r="E62" s="223">
        <f>+C62*D62</f>
        <v>31417131.600000013</v>
      </c>
      <c r="G62" s="16"/>
    </row>
    <row r="63" spans="1:5" ht="12.75">
      <c r="A63" s="389" t="s">
        <v>305</v>
      </c>
      <c r="B63" s="221" t="s">
        <v>306</v>
      </c>
      <c r="C63" s="222">
        <v>19281.297000000002</v>
      </c>
      <c r="D63" s="222">
        <v>870</v>
      </c>
      <c r="E63" s="223">
        <f>+C63*D63</f>
        <v>16774728.390000002</v>
      </c>
    </row>
    <row r="64" spans="1:5" ht="13.5" thickBot="1">
      <c r="A64" s="390"/>
      <c r="B64" s="224" t="s">
        <v>307</v>
      </c>
      <c r="C64" s="225">
        <v>18328.281000000003</v>
      </c>
      <c r="D64" s="225">
        <v>725</v>
      </c>
      <c r="E64" s="226">
        <f>+C64*D64</f>
        <v>13288003.725000001</v>
      </c>
    </row>
    <row r="65" ht="12.75">
      <c r="E65" s="273">
        <f>SUM(E61:E64)</f>
        <v>67950713.81500001</v>
      </c>
    </row>
    <row r="66" ht="13.5" thickBot="1"/>
    <row r="67" spans="7:13" ht="13.5" thickBot="1">
      <c r="G67" s="399" t="s">
        <v>321</v>
      </c>
      <c r="H67" s="400"/>
      <c r="I67" s="399" t="s">
        <v>322</v>
      </c>
      <c r="J67" s="400"/>
      <c r="K67" s="399"/>
      <c r="L67" s="400"/>
      <c r="M67" s="397" t="s">
        <v>117</v>
      </c>
    </row>
    <row r="68" spans="6:13" ht="13.5" thickBot="1">
      <c r="F68" s="274" t="s">
        <v>318</v>
      </c>
      <c r="G68" s="281" t="s">
        <v>316</v>
      </c>
      <c r="H68" s="282" t="s">
        <v>317</v>
      </c>
      <c r="I68" s="281"/>
      <c r="J68" s="282" t="s">
        <v>317</v>
      </c>
      <c r="K68" s="281" t="s">
        <v>316</v>
      </c>
      <c r="L68" s="282" t="s">
        <v>317</v>
      </c>
      <c r="M68" s="398"/>
    </row>
    <row r="69" spans="6:13" ht="13.5" thickBot="1">
      <c r="F69" s="275" t="s">
        <v>319</v>
      </c>
      <c r="G69" s="280" t="s">
        <v>320</v>
      </c>
      <c r="H69" s="279" t="s">
        <v>49</v>
      </c>
      <c r="I69" s="280">
        <v>0.25</v>
      </c>
      <c r="J69" s="279">
        <v>0.75</v>
      </c>
      <c r="K69" s="280">
        <v>0.25</v>
      </c>
      <c r="L69" s="279">
        <v>0.75</v>
      </c>
      <c r="M69" s="398"/>
    </row>
    <row r="70" spans="6:13" ht="12.75">
      <c r="F70" s="276" t="s">
        <v>315</v>
      </c>
      <c r="G70" s="272">
        <v>0</v>
      </c>
      <c r="H70" s="283">
        <v>0.15</v>
      </c>
      <c r="I70" s="272" t="e">
        <f>1/G70</f>
        <v>#DIV/0!</v>
      </c>
      <c r="J70" s="288">
        <v>0.15</v>
      </c>
      <c r="K70" s="291" t="e">
        <f>+I70*$I$69</f>
        <v>#DIV/0!</v>
      </c>
      <c r="L70" s="294">
        <f>+J70*$J$69</f>
        <v>0.11249999999999999</v>
      </c>
      <c r="M70" s="297" t="e">
        <f>SUM(K70:L70)</f>
        <v>#DIV/0!</v>
      </c>
    </row>
    <row r="71" spans="6:13" ht="12.75">
      <c r="F71" s="277" t="s">
        <v>304</v>
      </c>
      <c r="G71" s="284">
        <f>+MAQUINARIA!F48</f>
        <v>70190.64099999999</v>
      </c>
      <c r="H71" s="285">
        <v>0.25</v>
      </c>
      <c r="I71" s="292">
        <f>1/G71</f>
        <v>1.4246913630550833E-05</v>
      </c>
      <c r="J71" s="289">
        <v>0.25</v>
      </c>
      <c r="K71" s="292">
        <f>+I71*$I$69</f>
        <v>3.561728407637708E-06</v>
      </c>
      <c r="L71" s="295">
        <f>+J71*$J$69</f>
        <v>0.1875</v>
      </c>
      <c r="M71" s="298">
        <f>SUM(K71:L71)</f>
        <v>0.18750356172840763</v>
      </c>
    </row>
    <row r="72" spans="6:13" ht="12.75">
      <c r="F72" s="277" t="s">
        <v>305</v>
      </c>
      <c r="G72" s="284">
        <f>+MAQUINARIA!F58</f>
        <v>54984.333333333336</v>
      </c>
      <c r="H72" s="285">
        <v>0.15</v>
      </c>
      <c r="I72" s="292">
        <f>1/G72</f>
        <v>1.8186998720847757E-05</v>
      </c>
      <c r="J72" s="289">
        <v>0.15</v>
      </c>
      <c r="K72" s="292">
        <f>+I72*$I$69</f>
        <v>4.546749680211939E-06</v>
      </c>
      <c r="L72" s="295">
        <f>+J72*$J$69</f>
        <v>0.11249999999999999</v>
      </c>
      <c r="M72" s="298">
        <f>SUM(K72:L72)</f>
        <v>0.1125045467496802</v>
      </c>
    </row>
    <row r="73" spans="6:13" ht="13.5" thickBot="1">
      <c r="F73" s="278" t="s">
        <v>303</v>
      </c>
      <c r="G73" s="286">
        <f>+MAQUINARIA!F17</f>
        <v>4560.1</v>
      </c>
      <c r="H73" s="287">
        <v>0.25</v>
      </c>
      <c r="I73" s="293">
        <f>1/G73</f>
        <v>0.00021929343654744412</v>
      </c>
      <c r="J73" s="290">
        <v>0.25</v>
      </c>
      <c r="K73" s="293">
        <f>+I73*$I$69</f>
        <v>5.482335913686103E-05</v>
      </c>
      <c r="L73" s="296">
        <f>+J73*$J$69</f>
        <v>0.1875</v>
      </c>
      <c r="M73" s="299">
        <f>SUM(K73:L73)</f>
        <v>0.18755482335913687</v>
      </c>
    </row>
  </sheetData>
  <mergeCells count="16">
    <mergeCell ref="M67:M69"/>
    <mergeCell ref="G67:H67"/>
    <mergeCell ref="I67:J67"/>
    <mergeCell ref="K67:L67"/>
    <mergeCell ref="G32:H32"/>
    <mergeCell ref="A19:E19"/>
    <mergeCell ref="A20:C20"/>
    <mergeCell ref="A1:E1"/>
    <mergeCell ref="B2:D2"/>
    <mergeCell ref="A17:E17"/>
    <mergeCell ref="A18:D18"/>
    <mergeCell ref="A59:E59"/>
    <mergeCell ref="A63:A64"/>
    <mergeCell ref="A61:B61"/>
    <mergeCell ref="A62:B62"/>
    <mergeCell ref="A60:B60"/>
  </mergeCells>
  <printOptions/>
  <pageMargins left="0.75" right="0.75" top="1" bottom="1" header="0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30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23.28125" style="0" customWidth="1"/>
    <col min="2" max="2" width="11.28125" style="0" customWidth="1"/>
  </cols>
  <sheetData>
    <row r="2" ht="15.75">
      <c r="A2" s="41" t="s">
        <v>34</v>
      </c>
    </row>
    <row r="3" spans="1:2" ht="12.75">
      <c r="A3" s="34" t="s">
        <v>36</v>
      </c>
      <c r="B3" s="16">
        <f>+FLUJO!D31</f>
        <v>-44000</v>
      </c>
    </row>
    <row r="4" spans="1:2" ht="12.75">
      <c r="A4" s="31" t="s">
        <v>35</v>
      </c>
      <c r="B4" s="35">
        <v>-0.02</v>
      </c>
    </row>
    <row r="5" spans="1:17" ht="12.75">
      <c r="A5" s="28" t="s">
        <v>24</v>
      </c>
      <c r="B5" s="3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</row>
    <row r="6" spans="1:17" ht="12.75">
      <c r="A6" s="29" t="s">
        <v>1</v>
      </c>
      <c r="B6" s="2"/>
      <c r="C6" s="11">
        <f>+$B$3*$B$4</f>
        <v>880</v>
      </c>
      <c r="D6" s="11">
        <f aca="true" t="shared" si="0" ref="D6:Q6">+$B$3*$B$4</f>
        <v>880</v>
      </c>
      <c r="E6" s="11">
        <f t="shared" si="0"/>
        <v>880</v>
      </c>
      <c r="F6" s="11">
        <f t="shared" si="0"/>
        <v>880</v>
      </c>
      <c r="G6" s="11">
        <f t="shared" si="0"/>
        <v>880</v>
      </c>
      <c r="H6" s="11">
        <f t="shared" si="0"/>
        <v>880</v>
      </c>
      <c r="I6" s="11">
        <f t="shared" si="0"/>
        <v>880</v>
      </c>
      <c r="J6" s="11">
        <f t="shared" si="0"/>
        <v>880</v>
      </c>
      <c r="K6" s="11">
        <f t="shared" si="0"/>
        <v>880</v>
      </c>
      <c r="L6" s="11">
        <f t="shared" si="0"/>
        <v>880</v>
      </c>
      <c r="M6" s="11">
        <f t="shared" si="0"/>
        <v>880</v>
      </c>
      <c r="N6" s="11">
        <f t="shared" si="0"/>
        <v>880</v>
      </c>
      <c r="O6" s="11">
        <f t="shared" si="0"/>
        <v>880</v>
      </c>
      <c r="P6" s="11">
        <f t="shared" si="0"/>
        <v>880</v>
      </c>
      <c r="Q6" s="11">
        <f t="shared" si="0"/>
        <v>880</v>
      </c>
    </row>
    <row r="7" spans="1:2" ht="12.75">
      <c r="A7" s="23"/>
      <c r="B7" s="35"/>
    </row>
    <row r="8" spans="1:2" ht="12.75">
      <c r="A8" s="23"/>
      <c r="B8" s="35"/>
    </row>
    <row r="9" spans="1:2" ht="15.75">
      <c r="A9" s="41" t="s">
        <v>37</v>
      </c>
      <c r="B9" s="35"/>
    </row>
    <row r="10" spans="1:2" ht="12.75">
      <c r="A10" s="34" t="s">
        <v>38</v>
      </c>
      <c r="B10" s="36">
        <f>+FLUJO!D32</f>
        <v>-139295.07433333332</v>
      </c>
    </row>
    <row r="11" spans="1:2" ht="12.75">
      <c r="A11" s="23" t="s">
        <v>4</v>
      </c>
      <c r="B11" s="7">
        <v>-0.1</v>
      </c>
    </row>
    <row r="12" spans="1:17" ht="12" customHeight="1">
      <c r="A12" s="28" t="s">
        <v>24</v>
      </c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</row>
    <row r="13" spans="1:17" ht="12" customHeight="1">
      <c r="A13" s="29" t="s">
        <v>1</v>
      </c>
      <c r="B13" s="2"/>
      <c r="C13" s="11">
        <f>+$B$10*$B$11</f>
        <v>13929.507433333332</v>
      </c>
      <c r="D13" s="11">
        <f aca="true" t="shared" si="1" ref="D13:Q13">+$B$10*$B$11</f>
        <v>13929.507433333332</v>
      </c>
      <c r="E13" s="11">
        <f t="shared" si="1"/>
        <v>13929.507433333332</v>
      </c>
      <c r="F13" s="11">
        <f t="shared" si="1"/>
        <v>13929.507433333332</v>
      </c>
      <c r="G13" s="11">
        <f t="shared" si="1"/>
        <v>13929.507433333332</v>
      </c>
      <c r="H13" s="11">
        <f t="shared" si="1"/>
        <v>13929.507433333332</v>
      </c>
      <c r="I13" s="11">
        <f t="shared" si="1"/>
        <v>13929.507433333332</v>
      </c>
      <c r="J13" s="11">
        <f t="shared" si="1"/>
        <v>13929.507433333332</v>
      </c>
      <c r="K13" s="11">
        <f t="shared" si="1"/>
        <v>13929.507433333332</v>
      </c>
      <c r="L13" s="11">
        <f t="shared" si="1"/>
        <v>13929.507433333332</v>
      </c>
      <c r="M13" s="11">
        <f t="shared" si="1"/>
        <v>13929.507433333332</v>
      </c>
      <c r="N13" s="11">
        <f t="shared" si="1"/>
        <v>13929.507433333332</v>
      </c>
      <c r="O13" s="11">
        <f t="shared" si="1"/>
        <v>13929.507433333332</v>
      </c>
      <c r="P13" s="11">
        <f t="shared" si="1"/>
        <v>13929.507433333332</v>
      </c>
      <c r="Q13" s="11">
        <f t="shared" si="1"/>
        <v>13929.507433333332</v>
      </c>
    </row>
    <row r="14" spans="1:2" ht="12" customHeight="1">
      <c r="A14" s="23"/>
      <c r="B14" s="7"/>
    </row>
    <row r="15" spans="1:2" ht="12" customHeight="1">
      <c r="A15" s="23"/>
      <c r="B15" s="7"/>
    </row>
    <row r="16" spans="1:2" ht="15.75">
      <c r="A16" s="41" t="s">
        <v>39</v>
      </c>
      <c r="B16" s="7"/>
    </row>
    <row r="17" spans="1:2" ht="12.75">
      <c r="A17" s="34" t="s">
        <v>40</v>
      </c>
      <c r="B17" s="37">
        <f>+B30</f>
        <v>64500</v>
      </c>
    </row>
    <row r="18" spans="1:5" ht="12.75">
      <c r="A18" s="31" t="s">
        <v>20</v>
      </c>
      <c r="B18" s="7">
        <v>0.2</v>
      </c>
      <c r="C18" s="10">
        <f>+B30*B18</f>
        <v>12900</v>
      </c>
      <c r="D18" s="12" t="s">
        <v>13</v>
      </c>
      <c r="E18" s="13">
        <f>+B30/C18</f>
        <v>5</v>
      </c>
    </row>
    <row r="19" spans="1:17" ht="12.75">
      <c r="A19" s="28" t="s">
        <v>24</v>
      </c>
      <c r="B19" s="3">
        <v>0</v>
      </c>
      <c r="C19" s="3">
        <v>1</v>
      </c>
      <c r="D19" s="3">
        <v>2</v>
      </c>
      <c r="E19" s="3">
        <v>3</v>
      </c>
      <c r="F19" s="3">
        <v>4</v>
      </c>
      <c r="G19" s="3">
        <v>5</v>
      </c>
      <c r="H19" s="3">
        <v>6</v>
      </c>
      <c r="I19" s="3">
        <v>7</v>
      </c>
      <c r="J19" s="3">
        <v>8</v>
      </c>
      <c r="K19" s="3">
        <v>9</v>
      </c>
      <c r="L19" s="3">
        <v>10</v>
      </c>
      <c r="M19" s="3">
        <v>10</v>
      </c>
      <c r="N19" s="3">
        <v>10</v>
      </c>
      <c r="O19" s="3">
        <v>10</v>
      </c>
      <c r="P19" s="3">
        <v>10</v>
      </c>
      <c r="Q19" s="3">
        <v>10</v>
      </c>
    </row>
    <row r="20" spans="1:17" ht="12.75">
      <c r="A20" s="28" t="s">
        <v>49</v>
      </c>
      <c r="B20" s="42"/>
      <c r="C20" s="42">
        <v>0.2</v>
      </c>
      <c r="D20" s="42">
        <v>0.2</v>
      </c>
      <c r="E20" s="42">
        <v>0.2</v>
      </c>
      <c r="F20" s="42">
        <v>0.2</v>
      </c>
      <c r="G20" s="42">
        <v>0.2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</row>
    <row r="21" spans="1:17" ht="12.75">
      <c r="A21" s="29" t="s">
        <v>1</v>
      </c>
      <c r="B21" s="28"/>
      <c r="C21" s="28">
        <f aca="true" t="shared" si="2" ref="C21:L21">+$B$17*C20</f>
        <v>12900</v>
      </c>
      <c r="D21" s="28">
        <f t="shared" si="2"/>
        <v>12900</v>
      </c>
      <c r="E21" s="28">
        <f t="shared" si="2"/>
        <v>12900</v>
      </c>
      <c r="F21" s="28">
        <f t="shared" si="2"/>
        <v>12900</v>
      </c>
      <c r="G21" s="28">
        <f t="shared" si="2"/>
        <v>12900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  <c r="M21" s="28">
        <f>+$B$17*M20</f>
        <v>0</v>
      </c>
      <c r="N21" s="28">
        <f>+$B$17*N20</f>
        <v>0</v>
      </c>
      <c r="O21" s="28">
        <f>+$B$17*O20</f>
        <v>0</v>
      </c>
      <c r="P21" s="28">
        <f>+$B$17*P20</f>
        <v>0</v>
      </c>
      <c r="Q21" s="28">
        <f>+$B$17*Q20</f>
        <v>0</v>
      </c>
    </row>
    <row r="22" spans="1:5" ht="12.75">
      <c r="A22" s="23"/>
      <c r="B22" s="7"/>
      <c r="C22" s="10"/>
      <c r="D22" s="12"/>
      <c r="E22" s="13"/>
    </row>
    <row r="23" spans="1:2" ht="12.75">
      <c r="A23" s="23"/>
      <c r="B23" s="7"/>
    </row>
    <row r="24" ht="13.5" thickBot="1">
      <c r="A24" s="1"/>
    </row>
    <row r="25" spans="1:3" ht="32.25" thickBot="1">
      <c r="A25" s="72" t="s">
        <v>125</v>
      </c>
      <c r="B25" s="72" t="s">
        <v>123</v>
      </c>
      <c r="C25" s="1"/>
    </row>
    <row r="26" spans="1:2" ht="15.75">
      <c r="A26" s="116" t="s">
        <v>55</v>
      </c>
      <c r="B26" s="117">
        <v>4000</v>
      </c>
    </row>
    <row r="27" spans="1:2" ht="15.75">
      <c r="A27" s="116" t="s">
        <v>56</v>
      </c>
      <c r="B27" s="70">
        <v>3000</v>
      </c>
    </row>
    <row r="28" spans="1:2" ht="15.75">
      <c r="A28" s="116" t="s">
        <v>52</v>
      </c>
      <c r="B28" s="70">
        <v>50000</v>
      </c>
    </row>
    <row r="29" spans="1:2" ht="15.75">
      <c r="A29" s="118" t="s">
        <v>53</v>
      </c>
      <c r="B29" s="119">
        <v>7500</v>
      </c>
    </row>
    <row r="30" spans="1:2" ht="15.75">
      <c r="A30" s="120"/>
      <c r="B30" s="121">
        <f>SUM(B26:B29)</f>
        <v>64500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62"/>
  <sheetViews>
    <sheetView workbookViewId="0" topLeftCell="P7">
      <selection activeCell="S17" sqref="S17:X34"/>
    </sheetView>
  </sheetViews>
  <sheetFormatPr defaultColWidth="11.421875" defaultRowHeight="12.75"/>
  <cols>
    <col min="1" max="1" width="16.00390625" style="0" bestFit="1" customWidth="1"/>
    <col min="2" max="2" width="11.57421875" style="0" customWidth="1"/>
    <col min="3" max="3" width="13.421875" style="0" customWidth="1"/>
    <col min="4" max="4" width="12.7109375" style="0" customWidth="1"/>
    <col min="5" max="5" width="16.8515625" style="0" bestFit="1" customWidth="1"/>
    <col min="6" max="6" width="12.57421875" style="0" customWidth="1"/>
    <col min="7" max="7" width="12.7109375" style="0" customWidth="1"/>
    <col min="8" max="8" width="13.140625" style="0" customWidth="1"/>
    <col min="9" max="9" width="15.00390625" style="0" bestFit="1" customWidth="1"/>
    <col min="10" max="10" width="13.28125" style="0" customWidth="1"/>
    <col min="11" max="14" width="15.00390625" style="0" bestFit="1" customWidth="1"/>
    <col min="15" max="15" width="13.421875" style="0" bestFit="1" customWidth="1"/>
    <col min="16" max="17" width="13.57421875" style="0" bestFit="1" customWidth="1"/>
    <col min="19" max="19" width="8.140625" style="0" bestFit="1" customWidth="1"/>
    <col min="20" max="24" width="13.7109375" style="0" customWidth="1"/>
  </cols>
  <sheetData>
    <row r="2" spans="2:7" ht="12.75">
      <c r="B2" s="10" t="s">
        <v>41</v>
      </c>
      <c r="E2" s="10" t="s">
        <v>42</v>
      </c>
      <c r="F2" s="9">
        <v>0.7</v>
      </c>
      <c r="G2" s="10" t="s">
        <v>44</v>
      </c>
    </row>
    <row r="3" spans="5:6" ht="13.5" thickBot="1">
      <c r="E3" s="24" t="s">
        <v>45</v>
      </c>
      <c r="F3" s="38">
        <f>SUM(F4:F7)</f>
        <v>226795.07433333332</v>
      </c>
    </row>
    <row r="4" spans="2:6" ht="13.5" thickBot="1">
      <c r="B4" s="44" t="s">
        <v>42</v>
      </c>
      <c r="C4" s="45">
        <f>+F3*F2</f>
        <v>158756.5520333333</v>
      </c>
      <c r="E4" s="29" t="s">
        <v>7</v>
      </c>
      <c r="F4" s="11">
        <v>20000</v>
      </c>
    </row>
    <row r="5" spans="2:6" ht="12.75">
      <c r="B5" s="5" t="s">
        <v>278</v>
      </c>
      <c r="C5" s="43">
        <v>0.05</v>
      </c>
      <c r="E5" s="29" t="s">
        <v>8</v>
      </c>
      <c r="F5" s="11">
        <v>44000</v>
      </c>
    </row>
    <row r="6" spans="2:6" ht="12.75">
      <c r="B6" s="2" t="s">
        <v>43</v>
      </c>
      <c r="C6" s="2">
        <v>10</v>
      </c>
      <c r="E6" s="29" t="s">
        <v>9</v>
      </c>
      <c r="F6" s="11">
        <v>139295.07433333332</v>
      </c>
    </row>
    <row r="7" spans="5:6" ht="13.5" customHeight="1">
      <c r="E7" s="29" t="s">
        <v>10</v>
      </c>
      <c r="F7" s="11">
        <v>23500</v>
      </c>
    </row>
    <row r="10" spans="3:10" ht="12.75">
      <c r="C10" s="14"/>
      <c r="D10" s="14"/>
      <c r="E10" s="14"/>
      <c r="F10" s="14"/>
      <c r="G10" s="14"/>
      <c r="H10" s="14"/>
      <c r="I10" s="14"/>
      <c r="J10" s="14"/>
    </row>
    <row r="11" spans="1:17" ht="12.75">
      <c r="A11" s="2" t="s">
        <v>274</v>
      </c>
      <c r="B11" s="39">
        <v>0</v>
      </c>
      <c r="C11" s="39">
        <v>1</v>
      </c>
      <c r="D11" s="39">
        <v>2</v>
      </c>
      <c r="E11" s="39">
        <v>3</v>
      </c>
      <c r="F11" s="39">
        <v>4</v>
      </c>
      <c r="G11" s="39">
        <v>5</v>
      </c>
      <c r="H11" s="39">
        <v>6</v>
      </c>
      <c r="I11" s="39">
        <v>7</v>
      </c>
      <c r="J11" s="39">
        <v>8</v>
      </c>
      <c r="K11" s="39">
        <v>9</v>
      </c>
      <c r="L11" s="39">
        <v>10</v>
      </c>
      <c r="M11" s="39">
        <v>11</v>
      </c>
      <c r="N11" s="39">
        <v>12</v>
      </c>
      <c r="O11" s="39">
        <v>13</v>
      </c>
      <c r="P11" s="39">
        <v>14</v>
      </c>
      <c r="Q11" s="39">
        <v>15</v>
      </c>
    </row>
    <row r="12" spans="1:17" ht="12.75">
      <c r="A12" s="2" t="s">
        <v>42</v>
      </c>
      <c r="B12" s="40">
        <f>+$C$4</f>
        <v>158756.5520333333</v>
      </c>
      <c r="C12" s="40">
        <f>+$C$4</f>
        <v>158756.5520333333</v>
      </c>
      <c r="D12" s="40">
        <f>+$C$4</f>
        <v>158756.5520333333</v>
      </c>
      <c r="E12" s="40">
        <f>+D12-D14</f>
        <v>142880.89682999998</v>
      </c>
      <c r="F12" s="40">
        <f aca="true" t="shared" si="0" ref="F12:Q12">+E12-E14</f>
        <v>127005.24162666666</v>
      </c>
      <c r="G12" s="40">
        <f t="shared" si="0"/>
        <v>111129.58642333333</v>
      </c>
      <c r="H12" s="40">
        <f t="shared" si="0"/>
        <v>95253.93122</v>
      </c>
      <c r="I12" s="40">
        <f t="shared" si="0"/>
        <v>79378.27601666667</v>
      </c>
      <c r="J12" s="40">
        <f t="shared" si="0"/>
        <v>63502.62081333334</v>
      </c>
      <c r="K12" s="40">
        <f t="shared" si="0"/>
        <v>47626.965610000014</v>
      </c>
      <c r="L12" s="40">
        <f t="shared" si="0"/>
        <v>31751.310406666682</v>
      </c>
      <c r="M12" s="40">
        <f t="shared" si="0"/>
        <v>15875.65520333335</v>
      </c>
      <c r="N12" s="40">
        <f t="shared" si="0"/>
        <v>1.8189894035458565E-11</v>
      </c>
      <c r="O12" s="40">
        <f t="shared" si="0"/>
        <v>1.8189894035458565E-11</v>
      </c>
      <c r="P12" s="40">
        <f t="shared" si="0"/>
        <v>1.8189894035458565E-11</v>
      </c>
      <c r="Q12" s="40">
        <f t="shared" si="0"/>
        <v>1.8189894035458565E-11</v>
      </c>
    </row>
    <row r="13" spans="1:17" ht="12.75">
      <c r="A13" s="2" t="s">
        <v>275</v>
      </c>
      <c r="B13" s="40">
        <f>+B12*$C$5</f>
        <v>7937.827601666666</v>
      </c>
      <c r="C13" s="40">
        <f aca="true" t="shared" si="1" ref="C13:Q13">+C12*$C$5</f>
        <v>7937.827601666666</v>
      </c>
      <c r="D13" s="40">
        <f t="shared" si="1"/>
        <v>7937.827601666666</v>
      </c>
      <c r="E13" s="40">
        <f t="shared" si="1"/>
        <v>7144.044841499999</v>
      </c>
      <c r="F13" s="40">
        <f t="shared" si="1"/>
        <v>6350.262081333333</v>
      </c>
      <c r="G13" s="40">
        <f t="shared" si="1"/>
        <v>5556.4793211666665</v>
      </c>
      <c r="H13" s="40">
        <f t="shared" si="1"/>
        <v>4762.696561</v>
      </c>
      <c r="I13" s="40">
        <f t="shared" si="1"/>
        <v>3968.913800833334</v>
      </c>
      <c r="J13" s="40">
        <f t="shared" si="1"/>
        <v>3175.131040666667</v>
      </c>
      <c r="K13" s="40">
        <f t="shared" si="1"/>
        <v>2381.348280500001</v>
      </c>
      <c r="L13" s="40">
        <f t="shared" si="1"/>
        <v>1587.5655203333342</v>
      </c>
      <c r="M13" s="40">
        <f t="shared" si="1"/>
        <v>793.7827601666676</v>
      </c>
      <c r="N13" s="40">
        <f t="shared" si="1"/>
        <v>9.094947017729282E-13</v>
      </c>
      <c r="O13" s="40">
        <f t="shared" si="1"/>
        <v>9.094947017729282E-13</v>
      </c>
      <c r="P13" s="40">
        <f t="shared" si="1"/>
        <v>9.094947017729282E-13</v>
      </c>
      <c r="Q13" s="40">
        <f t="shared" si="1"/>
        <v>9.094947017729282E-13</v>
      </c>
    </row>
    <row r="14" spans="1:17" ht="12.75">
      <c r="A14" s="2" t="s">
        <v>46</v>
      </c>
      <c r="B14" s="40">
        <v>0</v>
      </c>
      <c r="C14" s="40">
        <v>0</v>
      </c>
      <c r="D14" s="40">
        <f>+$C$4/$C$6</f>
        <v>15875.655203333332</v>
      </c>
      <c r="E14" s="40">
        <f aca="true" t="shared" si="2" ref="E14:L14">+$C$4/$C$6</f>
        <v>15875.655203333332</v>
      </c>
      <c r="F14" s="40">
        <f t="shared" si="2"/>
        <v>15875.655203333332</v>
      </c>
      <c r="G14" s="40">
        <f t="shared" si="2"/>
        <v>15875.655203333332</v>
      </c>
      <c r="H14" s="40">
        <f t="shared" si="2"/>
        <v>15875.655203333332</v>
      </c>
      <c r="I14" s="40">
        <f t="shared" si="2"/>
        <v>15875.655203333332</v>
      </c>
      <c r="J14" s="40">
        <f t="shared" si="2"/>
        <v>15875.655203333332</v>
      </c>
      <c r="K14" s="40">
        <f t="shared" si="2"/>
        <v>15875.655203333332</v>
      </c>
      <c r="L14" s="40">
        <f t="shared" si="2"/>
        <v>15875.655203333332</v>
      </c>
      <c r="M14" s="40">
        <f>+$C$4/$C$6</f>
        <v>15875.655203333332</v>
      </c>
      <c r="N14" s="40"/>
      <c r="O14" s="40"/>
      <c r="P14" s="40"/>
      <c r="Q14" s="40"/>
    </row>
    <row r="15" spans="1:17" ht="12.75">
      <c r="A15" s="2" t="s">
        <v>276</v>
      </c>
      <c r="B15" s="40">
        <f>+B13+B14</f>
        <v>7937.827601666666</v>
      </c>
      <c r="C15" s="40">
        <f aca="true" t="shared" si="3" ref="C15:Q15">+C13+C14</f>
        <v>7937.827601666666</v>
      </c>
      <c r="D15" s="40">
        <f t="shared" si="3"/>
        <v>23813.482805</v>
      </c>
      <c r="E15" s="40">
        <f t="shared" si="3"/>
        <v>23019.70004483333</v>
      </c>
      <c r="F15" s="40">
        <f t="shared" si="3"/>
        <v>22225.917284666666</v>
      </c>
      <c r="G15" s="40">
        <f t="shared" si="3"/>
        <v>21432.134524499997</v>
      </c>
      <c r="H15" s="40">
        <f t="shared" si="3"/>
        <v>20638.351764333333</v>
      </c>
      <c r="I15" s="40">
        <f t="shared" si="3"/>
        <v>19844.569004166668</v>
      </c>
      <c r="J15" s="40">
        <f t="shared" si="3"/>
        <v>19050.786244</v>
      </c>
      <c r="K15" s="40">
        <f t="shared" si="3"/>
        <v>18257.003483833334</v>
      </c>
      <c r="L15" s="40">
        <f t="shared" si="3"/>
        <v>17463.220723666665</v>
      </c>
      <c r="M15" s="40">
        <f t="shared" si="3"/>
        <v>16669.4379635</v>
      </c>
      <c r="N15" s="40">
        <f t="shared" si="3"/>
        <v>9.094947017729282E-13</v>
      </c>
      <c r="O15" s="40">
        <f t="shared" si="3"/>
        <v>9.094947017729282E-13</v>
      </c>
      <c r="P15" s="40">
        <f t="shared" si="3"/>
        <v>9.094947017729282E-13</v>
      </c>
      <c r="Q15" s="40">
        <f t="shared" si="3"/>
        <v>9.094947017729282E-13</v>
      </c>
    </row>
    <row r="16" spans="1:17" ht="13.5" thickBot="1">
      <c r="A16" s="2" t="s">
        <v>277</v>
      </c>
      <c r="B16" s="40">
        <f>+B12-B14</f>
        <v>158756.5520333333</v>
      </c>
      <c r="C16" s="40">
        <f aca="true" t="shared" si="4" ref="C16:Q16">+C12-C14</f>
        <v>158756.5520333333</v>
      </c>
      <c r="D16" s="40">
        <f t="shared" si="4"/>
        <v>142880.89682999998</v>
      </c>
      <c r="E16" s="40">
        <f t="shared" si="4"/>
        <v>127005.24162666666</v>
      </c>
      <c r="F16" s="40">
        <f t="shared" si="4"/>
        <v>111129.58642333333</v>
      </c>
      <c r="G16" s="40">
        <f t="shared" si="4"/>
        <v>95253.93122</v>
      </c>
      <c r="H16" s="40">
        <f t="shared" si="4"/>
        <v>79378.27601666667</v>
      </c>
      <c r="I16" s="40">
        <f t="shared" si="4"/>
        <v>63502.62081333334</v>
      </c>
      <c r="J16" s="40">
        <f t="shared" si="4"/>
        <v>47626.965610000014</v>
      </c>
      <c r="K16" s="40">
        <f t="shared" si="4"/>
        <v>31751.310406666682</v>
      </c>
      <c r="L16" s="40">
        <f t="shared" si="4"/>
        <v>15875.65520333335</v>
      </c>
      <c r="M16" s="40">
        <f t="shared" si="4"/>
        <v>1.8189894035458565E-11</v>
      </c>
      <c r="N16" s="40">
        <f t="shared" si="4"/>
        <v>1.8189894035458565E-11</v>
      </c>
      <c r="O16" s="40">
        <f t="shared" si="4"/>
        <v>1.8189894035458565E-11</v>
      </c>
      <c r="P16" s="40">
        <f t="shared" si="4"/>
        <v>1.8189894035458565E-11</v>
      </c>
      <c r="Q16" s="40">
        <f t="shared" si="4"/>
        <v>1.8189894035458565E-11</v>
      </c>
    </row>
    <row r="17" spans="2:24" ht="13.5" thickBot="1">
      <c r="B17" s="55"/>
      <c r="C17" s="1"/>
      <c r="D17" s="1"/>
      <c r="E17" s="1"/>
      <c r="S17" s="253" t="s">
        <v>274</v>
      </c>
      <c r="T17" s="253" t="s">
        <v>42</v>
      </c>
      <c r="U17" s="250" t="s">
        <v>46</v>
      </c>
      <c r="V17" s="251" t="s">
        <v>275</v>
      </c>
      <c r="W17" s="252" t="s">
        <v>276</v>
      </c>
      <c r="X17" s="262" t="s">
        <v>277</v>
      </c>
    </row>
    <row r="18" spans="1:24" ht="12.75">
      <c r="A18" s="1"/>
      <c r="S18" s="254">
        <v>0</v>
      </c>
      <c r="T18" s="268">
        <f>+$C$4</f>
        <v>158756.5520333333</v>
      </c>
      <c r="U18" s="257">
        <v>0</v>
      </c>
      <c r="V18" s="248">
        <f aca="true" t="shared" si="5" ref="V18:V33">+T18*$C$5</f>
        <v>7937.827601666666</v>
      </c>
      <c r="W18" s="249">
        <f aca="true" t="shared" si="6" ref="W18:W33">+V18+U18</f>
        <v>7937.827601666666</v>
      </c>
      <c r="X18" s="263">
        <f aca="true" t="shared" si="7" ref="X18:X33">+T18-U18</f>
        <v>158756.5520333333</v>
      </c>
    </row>
    <row r="19" spans="1:24" ht="12.75">
      <c r="A19" s="1"/>
      <c r="S19" s="255">
        <v>1</v>
      </c>
      <c r="T19" s="260">
        <f>+$C$4</f>
        <v>158756.5520333333</v>
      </c>
      <c r="U19" s="258">
        <v>0</v>
      </c>
      <c r="V19" s="244">
        <f t="shared" si="5"/>
        <v>7937.827601666666</v>
      </c>
      <c r="W19" s="245">
        <f t="shared" si="6"/>
        <v>7937.827601666666</v>
      </c>
      <c r="X19" s="264">
        <f t="shared" si="7"/>
        <v>158756.5520333333</v>
      </c>
    </row>
    <row r="20" spans="1:24" ht="13.5" customHeight="1">
      <c r="A20" s="1"/>
      <c r="S20" s="255">
        <v>2</v>
      </c>
      <c r="T20" s="260">
        <f>+$C$4</f>
        <v>158756.5520333333</v>
      </c>
      <c r="U20" s="258">
        <f aca="true" t="shared" si="8" ref="U20:U29">+$C$4/$C$6</f>
        <v>15875.655203333332</v>
      </c>
      <c r="V20" s="244">
        <f t="shared" si="5"/>
        <v>7937.827601666666</v>
      </c>
      <c r="W20" s="245">
        <f t="shared" si="6"/>
        <v>23813.482805</v>
      </c>
      <c r="X20" s="264">
        <f t="shared" si="7"/>
        <v>142880.89682999998</v>
      </c>
    </row>
    <row r="21" spans="1:24" ht="12.75">
      <c r="A21" s="1"/>
      <c r="S21" s="255">
        <v>3</v>
      </c>
      <c r="T21" s="260">
        <f aca="true" t="shared" si="9" ref="T21:T33">+T20-U20</f>
        <v>142880.89682999998</v>
      </c>
      <c r="U21" s="258">
        <f t="shared" si="8"/>
        <v>15875.655203333332</v>
      </c>
      <c r="V21" s="244">
        <f t="shared" si="5"/>
        <v>7144.044841499999</v>
      </c>
      <c r="W21" s="245">
        <f t="shared" si="6"/>
        <v>23019.70004483333</v>
      </c>
      <c r="X21" s="264">
        <f t="shared" si="7"/>
        <v>127005.24162666666</v>
      </c>
    </row>
    <row r="22" spans="1:24" ht="12.75">
      <c r="A22" s="1"/>
      <c r="S22" s="255">
        <v>4</v>
      </c>
      <c r="T22" s="260">
        <f t="shared" si="9"/>
        <v>127005.24162666666</v>
      </c>
      <c r="U22" s="258">
        <f t="shared" si="8"/>
        <v>15875.655203333332</v>
      </c>
      <c r="V22" s="244">
        <f t="shared" si="5"/>
        <v>6350.262081333333</v>
      </c>
      <c r="W22" s="245">
        <f t="shared" si="6"/>
        <v>22225.917284666666</v>
      </c>
      <c r="X22" s="264">
        <f t="shared" si="7"/>
        <v>111129.58642333333</v>
      </c>
    </row>
    <row r="23" spans="1:24" ht="12.75">
      <c r="A23" s="56"/>
      <c r="S23" s="255">
        <v>5</v>
      </c>
      <c r="T23" s="260">
        <f t="shared" si="9"/>
        <v>111129.58642333333</v>
      </c>
      <c r="U23" s="258">
        <f t="shared" si="8"/>
        <v>15875.655203333332</v>
      </c>
      <c r="V23" s="244">
        <f t="shared" si="5"/>
        <v>5556.4793211666665</v>
      </c>
      <c r="W23" s="245">
        <f t="shared" si="6"/>
        <v>21432.134524499997</v>
      </c>
      <c r="X23" s="264">
        <f t="shared" si="7"/>
        <v>95253.93122</v>
      </c>
    </row>
    <row r="24" spans="1:24" ht="12.75">
      <c r="A24" s="56"/>
      <c r="S24" s="255">
        <v>6</v>
      </c>
      <c r="T24" s="260">
        <f t="shared" si="9"/>
        <v>95253.93122</v>
      </c>
      <c r="U24" s="258">
        <f t="shared" si="8"/>
        <v>15875.655203333332</v>
      </c>
      <c r="V24" s="244">
        <f t="shared" si="5"/>
        <v>4762.696561</v>
      </c>
      <c r="W24" s="245">
        <f t="shared" si="6"/>
        <v>20638.351764333333</v>
      </c>
      <c r="X24" s="264">
        <f t="shared" si="7"/>
        <v>79378.27601666667</v>
      </c>
    </row>
    <row r="25" spans="1:24" ht="12.75">
      <c r="A25" s="56"/>
      <c r="S25" s="255">
        <v>7</v>
      </c>
      <c r="T25" s="260">
        <f t="shared" si="9"/>
        <v>79378.27601666667</v>
      </c>
      <c r="U25" s="258">
        <f t="shared" si="8"/>
        <v>15875.655203333332</v>
      </c>
      <c r="V25" s="244">
        <f t="shared" si="5"/>
        <v>3968.913800833334</v>
      </c>
      <c r="W25" s="245">
        <f t="shared" si="6"/>
        <v>19844.569004166668</v>
      </c>
      <c r="X25" s="264">
        <f t="shared" si="7"/>
        <v>63502.62081333334</v>
      </c>
    </row>
    <row r="26" spans="1:24" ht="12.75">
      <c r="A26" s="56"/>
      <c r="S26" s="255">
        <v>8</v>
      </c>
      <c r="T26" s="260">
        <f t="shared" si="9"/>
        <v>63502.62081333334</v>
      </c>
      <c r="U26" s="258">
        <f t="shared" si="8"/>
        <v>15875.655203333332</v>
      </c>
      <c r="V26" s="244">
        <f t="shared" si="5"/>
        <v>3175.131040666667</v>
      </c>
      <c r="W26" s="245">
        <f t="shared" si="6"/>
        <v>19050.786244</v>
      </c>
      <c r="X26" s="264">
        <f t="shared" si="7"/>
        <v>47626.965610000014</v>
      </c>
    </row>
    <row r="27" spans="1:24" ht="12.75">
      <c r="A27" s="56"/>
      <c r="S27" s="255">
        <v>9</v>
      </c>
      <c r="T27" s="260">
        <f t="shared" si="9"/>
        <v>47626.965610000014</v>
      </c>
      <c r="U27" s="258">
        <f t="shared" si="8"/>
        <v>15875.655203333332</v>
      </c>
      <c r="V27" s="244">
        <f t="shared" si="5"/>
        <v>2381.348280500001</v>
      </c>
      <c r="W27" s="245">
        <f t="shared" si="6"/>
        <v>18257.003483833334</v>
      </c>
      <c r="X27" s="264">
        <f t="shared" si="7"/>
        <v>31751.310406666682</v>
      </c>
    </row>
    <row r="28" spans="1:24" ht="12.75">
      <c r="A28" s="56"/>
      <c r="S28" s="255">
        <v>10</v>
      </c>
      <c r="T28" s="260">
        <f t="shared" si="9"/>
        <v>31751.310406666682</v>
      </c>
      <c r="U28" s="258">
        <f t="shared" si="8"/>
        <v>15875.655203333332</v>
      </c>
      <c r="V28" s="244">
        <f t="shared" si="5"/>
        <v>1587.5655203333342</v>
      </c>
      <c r="W28" s="245">
        <f t="shared" si="6"/>
        <v>17463.220723666665</v>
      </c>
      <c r="X28" s="264">
        <f t="shared" si="7"/>
        <v>15875.65520333335</v>
      </c>
    </row>
    <row r="29" spans="1:24" ht="12.75">
      <c r="A29" s="56"/>
      <c r="S29" s="255">
        <v>11</v>
      </c>
      <c r="T29" s="260">
        <f t="shared" si="9"/>
        <v>15875.65520333335</v>
      </c>
      <c r="U29" s="258">
        <f t="shared" si="8"/>
        <v>15875.655203333332</v>
      </c>
      <c r="V29" s="244">
        <f t="shared" si="5"/>
        <v>793.7827601666676</v>
      </c>
      <c r="W29" s="245">
        <f t="shared" si="6"/>
        <v>16669.4379635</v>
      </c>
      <c r="X29" s="264">
        <f t="shared" si="7"/>
        <v>1.8189894035458565E-11</v>
      </c>
    </row>
    <row r="30" spans="1:24" ht="12.75">
      <c r="A30" s="56"/>
      <c r="S30" s="255">
        <v>12</v>
      </c>
      <c r="T30" s="260">
        <f t="shared" si="9"/>
        <v>1.8189894035458565E-11</v>
      </c>
      <c r="U30" s="258"/>
      <c r="V30" s="244">
        <f t="shared" si="5"/>
        <v>9.094947017729282E-13</v>
      </c>
      <c r="W30" s="245">
        <f t="shared" si="6"/>
        <v>9.094947017729282E-13</v>
      </c>
      <c r="X30" s="264">
        <f t="shared" si="7"/>
        <v>1.8189894035458565E-11</v>
      </c>
    </row>
    <row r="31" spans="1:24" ht="12.75">
      <c r="A31" s="56"/>
      <c r="S31" s="255">
        <v>13</v>
      </c>
      <c r="T31" s="260">
        <f t="shared" si="9"/>
        <v>1.8189894035458565E-11</v>
      </c>
      <c r="U31" s="258"/>
      <c r="V31" s="244">
        <f t="shared" si="5"/>
        <v>9.094947017729282E-13</v>
      </c>
      <c r="W31" s="245">
        <f t="shared" si="6"/>
        <v>9.094947017729282E-13</v>
      </c>
      <c r="X31" s="264">
        <f t="shared" si="7"/>
        <v>1.8189894035458565E-11</v>
      </c>
    </row>
    <row r="32" spans="1:24" ht="12.75">
      <c r="A32" s="56"/>
      <c r="S32" s="255">
        <v>14</v>
      </c>
      <c r="T32" s="260">
        <f t="shared" si="9"/>
        <v>1.8189894035458565E-11</v>
      </c>
      <c r="U32" s="258"/>
      <c r="V32" s="244">
        <f t="shared" si="5"/>
        <v>9.094947017729282E-13</v>
      </c>
      <c r="W32" s="245">
        <f t="shared" si="6"/>
        <v>9.094947017729282E-13</v>
      </c>
      <c r="X32" s="264">
        <f t="shared" si="7"/>
        <v>1.8189894035458565E-11</v>
      </c>
    </row>
    <row r="33" spans="1:24" ht="13.5" thickBot="1">
      <c r="A33" s="56"/>
      <c r="S33" s="256">
        <v>15</v>
      </c>
      <c r="T33" s="261">
        <f t="shared" si="9"/>
        <v>1.8189894035458565E-11</v>
      </c>
      <c r="U33" s="259"/>
      <c r="V33" s="246">
        <f t="shared" si="5"/>
        <v>9.094947017729282E-13</v>
      </c>
      <c r="W33" s="247">
        <f t="shared" si="6"/>
        <v>9.094947017729282E-13</v>
      </c>
      <c r="X33" s="265">
        <f t="shared" si="7"/>
        <v>1.8189894035458565E-11</v>
      </c>
    </row>
    <row r="34" spans="1:23" ht="16.5" thickBot="1">
      <c r="A34" s="56"/>
      <c r="U34" s="269">
        <f>SUM(U18:U33)</f>
        <v>158756.5520333333</v>
      </c>
      <c r="V34" s="267">
        <f>SUM(V18:V33)</f>
        <v>59533.7070125</v>
      </c>
      <c r="W34" s="267">
        <f>SUM(W18:W33)</f>
        <v>218290.2590458333</v>
      </c>
    </row>
    <row r="35" spans="1:22" ht="12.75">
      <c r="A35" s="56"/>
      <c r="B35" s="57"/>
      <c r="C35" s="57"/>
      <c r="D35" s="57"/>
      <c r="E35" s="1"/>
      <c r="V35" s="266"/>
    </row>
    <row r="36" spans="1:22" ht="12.75">
      <c r="A36" s="56"/>
      <c r="B36" s="57"/>
      <c r="C36" s="57"/>
      <c r="D36" s="57"/>
      <c r="E36" s="1"/>
      <c r="V36" s="7"/>
    </row>
    <row r="37" spans="1:5" ht="12.75">
      <c r="A37" s="56"/>
      <c r="B37" s="57"/>
      <c r="C37" s="57"/>
      <c r="D37" s="57"/>
      <c r="E37" s="1"/>
    </row>
    <row r="38" spans="1:5" ht="12.75">
      <c r="A38" s="56"/>
      <c r="B38" s="57"/>
      <c r="C38" s="57"/>
      <c r="D38" s="57"/>
      <c r="E38" s="1"/>
    </row>
    <row r="39" spans="1:5" ht="12.75">
      <c r="A39" s="56"/>
      <c r="B39" s="57"/>
      <c r="C39" s="57"/>
      <c r="D39" s="57"/>
      <c r="E39" s="1"/>
    </row>
    <row r="40" spans="1:5" ht="12.75">
      <c r="A40" s="56"/>
      <c r="B40" s="57"/>
      <c r="C40" s="57"/>
      <c r="D40" s="57"/>
      <c r="E40" s="1"/>
    </row>
    <row r="41" spans="1:5" ht="12.75">
      <c r="A41" s="56"/>
      <c r="B41" s="57"/>
      <c r="C41" s="57"/>
      <c r="D41" s="57"/>
      <c r="E41" s="1"/>
    </row>
    <row r="42" spans="1:5" ht="12.75">
      <c r="A42" s="56"/>
      <c r="B42" s="57"/>
      <c r="C42" s="57"/>
      <c r="D42" s="57"/>
      <c r="E42" s="1"/>
    </row>
    <row r="43" spans="1:5" ht="12.75">
      <c r="A43" s="56"/>
      <c r="B43" s="57"/>
      <c r="C43" s="57"/>
      <c r="D43" s="57"/>
      <c r="E43" s="1"/>
    </row>
    <row r="44" spans="1:5" ht="12.75">
      <c r="A44" s="56"/>
      <c r="B44" s="57"/>
      <c r="C44" s="57"/>
      <c r="D44" s="57"/>
      <c r="E44" s="1"/>
    </row>
    <row r="45" spans="1:5" ht="12.75">
      <c r="A45" s="56"/>
      <c r="B45" s="57"/>
      <c r="C45" s="57"/>
      <c r="D45" s="57"/>
      <c r="E45" s="1"/>
    </row>
    <row r="46" spans="1:5" ht="12.75">
      <c r="A46" s="56"/>
      <c r="B46" s="57"/>
      <c r="C46" s="57"/>
      <c r="D46" s="57"/>
      <c r="E46" s="1"/>
    </row>
    <row r="47" spans="1:5" ht="12.75">
      <c r="A47" s="56"/>
      <c r="B47" s="57"/>
      <c r="C47" s="57"/>
      <c r="D47" s="57"/>
      <c r="E47" s="1"/>
    </row>
    <row r="48" spans="1:5" ht="12.75">
      <c r="A48" s="56"/>
      <c r="B48" s="57"/>
      <c r="C48" s="57"/>
      <c r="D48" s="57"/>
      <c r="E48" s="1"/>
    </row>
    <row r="49" spans="1:5" ht="12.75">
      <c r="A49" s="56"/>
      <c r="B49" s="57"/>
      <c r="C49" s="57"/>
      <c r="D49" s="57"/>
      <c r="E49" s="1"/>
    </row>
    <row r="50" spans="1:5" ht="12.75">
      <c r="A50" s="56"/>
      <c r="B50" s="57"/>
      <c r="C50" s="57"/>
      <c r="D50" s="57"/>
      <c r="E50" s="1"/>
    </row>
    <row r="51" spans="1:5" ht="12.75">
      <c r="A51" s="56"/>
      <c r="B51" s="57"/>
      <c r="C51" s="57"/>
      <c r="D51" s="57"/>
      <c r="E51" s="1"/>
    </row>
    <row r="52" spans="1:5" ht="12.75">
      <c r="A52" s="56"/>
      <c r="B52" s="57"/>
      <c r="C52" s="57"/>
      <c r="D52" s="57"/>
      <c r="E52" s="1"/>
    </row>
    <row r="53" spans="1:5" ht="12.75">
      <c r="A53" s="56"/>
      <c r="B53" s="57"/>
      <c r="C53" s="57"/>
      <c r="D53" s="57"/>
      <c r="E53" s="1"/>
    </row>
    <row r="54" spans="1:5" ht="12.75">
      <c r="A54" s="56"/>
      <c r="B54" s="57"/>
      <c r="C54" s="57"/>
      <c r="D54" s="57"/>
      <c r="E54" s="1"/>
    </row>
    <row r="55" spans="1:5" ht="12.75">
      <c r="A55" s="56"/>
      <c r="B55" s="57"/>
      <c r="C55" s="57"/>
      <c r="D55" s="57"/>
      <c r="E55" s="1"/>
    </row>
    <row r="56" spans="1:5" ht="12.75">
      <c r="A56" s="56"/>
      <c r="B56" s="57"/>
      <c r="C56" s="57"/>
      <c r="D56" s="57"/>
      <c r="E56" s="1"/>
    </row>
    <row r="57" spans="1:5" ht="12.75">
      <c r="A57" s="56"/>
      <c r="B57" s="57"/>
      <c r="C57" s="57"/>
      <c r="D57" s="57"/>
      <c r="E57" s="1"/>
    </row>
    <row r="58" spans="1:5" ht="12.75">
      <c r="A58" s="56"/>
      <c r="B58" s="57"/>
      <c r="C58" s="57"/>
      <c r="D58" s="57"/>
      <c r="E58" s="1"/>
    </row>
    <row r="59" spans="1:5" ht="12.75">
      <c r="A59" s="56"/>
      <c r="B59" s="57"/>
      <c r="C59" s="57"/>
      <c r="D59" s="57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65" zoomScaleNormal="65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2" sqref="A43:IV52"/>
    </sheetView>
  </sheetViews>
  <sheetFormatPr defaultColWidth="11.421875" defaultRowHeight="12.75"/>
  <cols>
    <col min="1" max="1" width="32.57421875" style="75" bestFit="1" customWidth="1"/>
    <col min="2" max="2" width="23.140625" style="75" customWidth="1"/>
    <col min="3" max="3" width="6.140625" style="75" bestFit="1" customWidth="1"/>
    <col min="4" max="4" width="13.57421875" style="75" bestFit="1" customWidth="1"/>
    <col min="5" max="15" width="11.7109375" style="75" bestFit="1" customWidth="1"/>
    <col min="16" max="19" width="11.421875" style="75" bestFit="1" customWidth="1"/>
    <col min="20" max="16384" width="11.421875" style="76" customWidth="1"/>
  </cols>
  <sheetData>
    <row r="1" ht="16.5" thickBot="1">
      <c r="A1" s="74" t="s">
        <v>66</v>
      </c>
    </row>
    <row r="2" spans="1:19" ht="15.75">
      <c r="A2" s="444" t="s">
        <v>120</v>
      </c>
      <c r="B2" s="445"/>
      <c r="C2" s="446"/>
      <c r="D2" s="447" t="s">
        <v>48</v>
      </c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9"/>
    </row>
    <row r="3" spans="1:19" ht="16.5" thickBot="1">
      <c r="A3" s="450"/>
      <c r="B3" s="451"/>
      <c r="C3" s="452"/>
      <c r="D3" s="453">
        <v>0</v>
      </c>
      <c r="E3" s="454">
        <v>1</v>
      </c>
      <c r="F3" s="454">
        <v>2</v>
      </c>
      <c r="G3" s="454">
        <v>3</v>
      </c>
      <c r="H3" s="454">
        <v>4</v>
      </c>
      <c r="I3" s="454">
        <v>5</v>
      </c>
      <c r="J3" s="454">
        <v>6</v>
      </c>
      <c r="K3" s="454">
        <v>7</v>
      </c>
      <c r="L3" s="454">
        <v>8</v>
      </c>
      <c r="M3" s="455">
        <v>9</v>
      </c>
      <c r="N3" s="454">
        <v>10</v>
      </c>
      <c r="O3" s="454">
        <v>11</v>
      </c>
      <c r="P3" s="454">
        <v>12</v>
      </c>
      <c r="Q3" s="454">
        <v>13</v>
      </c>
      <c r="R3" s="454">
        <v>14</v>
      </c>
      <c r="S3" s="456">
        <v>15</v>
      </c>
    </row>
    <row r="4" spans="1:19" ht="15.75">
      <c r="A4" s="457" t="s">
        <v>67</v>
      </c>
      <c r="B4" s="471"/>
      <c r="C4" s="472"/>
      <c r="D4" s="473"/>
      <c r="E4" s="474">
        <f>+Ventas!D21</f>
        <v>1268054.267195984</v>
      </c>
      <c r="F4" s="474">
        <f>+Ventas!E21</f>
        <v>1293415.3525399037</v>
      </c>
      <c r="G4" s="474">
        <f>+Ventas!F21</f>
        <v>1319283.6595907018</v>
      </c>
      <c r="H4" s="474">
        <f>+Ventas!G21</f>
        <v>1345669.3327825158</v>
      </c>
      <c r="I4" s="474">
        <f>+Ventas!H21</f>
        <v>1372582.7194381661</v>
      </c>
      <c r="J4" s="474">
        <f>+Ventas!I21</f>
        <v>1400034.3738269294</v>
      </c>
      <c r="K4" s="474">
        <f>+Ventas!J21</f>
        <v>1428035.061303468</v>
      </c>
      <c r="L4" s="474">
        <f>+Ventas!K21</f>
        <v>1456595.7625295373</v>
      </c>
      <c r="M4" s="474">
        <f>+Ventas!L21</f>
        <v>1485727.677780128</v>
      </c>
      <c r="N4" s="474">
        <f>+Ventas!M21</f>
        <v>1515442.2313357308</v>
      </c>
      <c r="O4" s="474">
        <f>+Ventas!N21</f>
        <v>1545751.0759624455</v>
      </c>
      <c r="P4" s="474">
        <f>+Ventas!O21</f>
        <v>1576666.0974816943</v>
      </c>
      <c r="Q4" s="474">
        <f>+Ventas!P21</f>
        <v>1608199.4194313283</v>
      </c>
      <c r="R4" s="474">
        <f>+Ventas!Q21</f>
        <v>1640363.407819955</v>
      </c>
      <c r="S4" s="474">
        <f>+Ventas!R21</f>
        <v>1673170.675976354</v>
      </c>
    </row>
    <row r="5" spans="1:19" ht="15.75">
      <c r="A5" s="458" t="s">
        <v>68</v>
      </c>
      <c r="B5" s="475"/>
      <c r="C5" s="476"/>
      <c r="D5" s="477"/>
      <c r="E5" s="478"/>
      <c r="F5" s="478"/>
      <c r="G5" s="478"/>
      <c r="H5" s="478"/>
      <c r="I5" s="478"/>
      <c r="J5" s="478"/>
      <c r="K5" s="478"/>
      <c r="L5" s="478"/>
      <c r="M5" s="479"/>
      <c r="N5" s="478"/>
      <c r="O5" s="478"/>
      <c r="P5" s="478"/>
      <c r="Q5" s="478"/>
      <c r="R5" s="478"/>
      <c r="S5" s="480"/>
    </row>
    <row r="6" spans="1:19" ht="15.75">
      <c r="A6" s="458" t="s">
        <v>17</v>
      </c>
      <c r="B6" s="475"/>
      <c r="C6" s="476"/>
      <c r="D6" s="477"/>
      <c r="E6" s="478"/>
      <c r="F6" s="478"/>
      <c r="G6" s="478"/>
      <c r="H6" s="478"/>
      <c r="I6" s="478"/>
      <c r="J6" s="478"/>
      <c r="K6" s="478"/>
      <c r="L6" s="478"/>
      <c r="M6" s="479"/>
      <c r="N6" s="478"/>
      <c r="O6" s="478"/>
      <c r="P6" s="478"/>
      <c r="Q6" s="478"/>
      <c r="R6" s="478"/>
      <c r="S6" s="480"/>
    </row>
    <row r="7" spans="1:19" ht="15.75">
      <c r="A7" s="458"/>
      <c r="B7" s="475" t="s">
        <v>69</v>
      </c>
      <c r="C7" s="476"/>
      <c r="D7" s="481"/>
      <c r="E7" s="482">
        <f>+Costos!C10</f>
        <v>928626.9037682399</v>
      </c>
      <c r="F7" s="482">
        <f>+Costos!D10</f>
        <v>937913.1728059223</v>
      </c>
      <c r="G7" s="482">
        <f>+Costos!E10</f>
        <v>947292.3045339816</v>
      </c>
      <c r="H7" s="482">
        <f>+Costos!F10</f>
        <v>956765.2275793215</v>
      </c>
      <c r="I7" s="482">
        <f>+Costos!G10</f>
        <v>966332.8798551147</v>
      </c>
      <c r="J7" s="482">
        <f>+Costos!H10</f>
        <v>975996.2086536658</v>
      </c>
      <c r="K7" s="482">
        <f>+Costos!I10</f>
        <v>985756.1707402025</v>
      </c>
      <c r="L7" s="482">
        <f>+Costos!J10</f>
        <v>995613.7324476045</v>
      </c>
      <c r="M7" s="483">
        <f>+Costos!K10</f>
        <v>1005569.8697720806</v>
      </c>
      <c r="N7" s="482">
        <f>+Costos!L10</f>
        <v>1015625.5684698013</v>
      </c>
      <c r="O7" s="482">
        <f>+Costos!M10</f>
        <v>1025781.8241544993</v>
      </c>
      <c r="P7" s="482">
        <f>+Costos!N10</f>
        <v>1036039.6423960443</v>
      </c>
      <c r="Q7" s="482">
        <f>+Costos!O10</f>
        <v>1046400.0388200048</v>
      </c>
      <c r="R7" s="482">
        <f>+Costos!P10</f>
        <v>1056864.039208205</v>
      </c>
      <c r="S7" s="484">
        <f>+Costos!Q10</f>
        <v>1067432.679600287</v>
      </c>
    </row>
    <row r="8" spans="1:19" ht="15.75">
      <c r="A8" s="458"/>
      <c r="B8" s="475" t="s">
        <v>70</v>
      </c>
      <c r="C8" s="476"/>
      <c r="D8" s="481"/>
      <c r="E8" s="485">
        <f>+Costos!C18</f>
        <v>125000</v>
      </c>
      <c r="F8" s="485">
        <f>+Costos!D18</f>
        <v>127500</v>
      </c>
      <c r="G8" s="485">
        <f>+Costos!E18</f>
        <v>130050</v>
      </c>
      <c r="H8" s="485">
        <f>+Costos!F18</f>
        <v>132651</v>
      </c>
      <c r="I8" s="485">
        <f>+Costos!G18</f>
        <v>135304.02</v>
      </c>
      <c r="J8" s="485">
        <f>+Costos!H18</f>
        <v>138010.1004</v>
      </c>
      <c r="K8" s="485">
        <f>+Costos!I18</f>
        <v>140770.302408</v>
      </c>
      <c r="L8" s="485">
        <f>+Costos!J18</f>
        <v>143585.70845615998</v>
      </c>
      <c r="M8" s="486">
        <f>+Costos!K18</f>
        <v>146457.4226252832</v>
      </c>
      <c r="N8" s="485">
        <f>+Costos!L18</f>
        <v>149386.57107778886</v>
      </c>
      <c r="O8" s="485">
        <f>+Costos!M18</f>
        <v>152374.30249934463</v>
      </c>
      <c r="P8" s="485">
        <f>+Costos!N18</f>
        <v>155421.7885493315</v>
      </c>
      <c r="Q8" s="485">
        <f>+Costos!O18</f>
        <v>158530.22432031814</v>
      </c>
      <c r="R8" s="485">
        <f>+Costos!P18</f>
        <v>161700.82880672452</v>
      </c>
      <c r="S8" s="487">
        <f>+Costos!Q18</f>
        <v>164934.845382859</v>
      </c>
    </row>
    <row r="9" spans="1:19" ht="15.75">
      <c r="A9" s="458" t="s">
        <v>72</v>
      </c>
      <c r="B9" s="475"/>
      <c r="C9" s="476"/>
      <c r="D9" s="481"/>
      <c r="E9" s="485"/>
      <c r="F9" s="485"/>
      <c r="G9" s="485"/>
      <c r="H9" s="485"/>
      <c r="I9" s="485"/>
      <c r="J9" s="485"/>
      <c r="K9" s="485"/>
      <c r="L9" s="485"/>
      <c r="M9" s="486"/>
      <c r="N9" s="485"/>
      <c r="O9" s="485"/>
      <c r="P9" s="485"/>
      <c r="Q9" s="485"/>
      <c r="R9" s="485"/>
      <c r="S9" s="487"/>
    </row>
    <row r="10" spans="1:19" ht="15.75">
      <c r="A10" s="458"/>
      <c r="B10" s="475" t="s">
        <v>71</v>
      </c>
      <c r="C10" s="476"/>
      <c r="D10" s="481"/>
      <c r="E10" s="485">
        <f>+Costos!C25</f>
        <v>125520</v>
      </c>
      <c r="F10" s="485">
        <f>+Costos!D25</f>
        <v>128030.40000000001</v>
      </c>
      <c r="G10" s="485">
        <f>+Costos!E25</f>
        <v>130591.00800000002</v>
      </c>
      <c r="H10" s="485">
        <f>+Costos!F25</f>
        <v>133202.82816</v>
      </c>
      <c r="I10" s="485">
        <f>+Costos!G25</f>
        <v>135866.8847232</v>
      </c>
      <c r="J10" s="485">
        <f>+Costos!H25</f>
        <v>138584.222417664</v>
      </c>
      <c r="K10" s="485">
        <f>+Costos!I25</f>
        <v>141355.90686601726</v>
      </c>
      <c r="L10" s="485">
        <f>+Costos!J25</f>
        <v>144183.02500333762</v>
      </c>
      <c r="M10" s="486">
        <f>+Costos!K25</f>
        <v>147066.68550340438</v>
      </c>
      <c r="N10" s="485">
        <f>+Costos!L25</f>
        <v>150008.01921347246</v>
      </c>
      <c r="O10" s="485">
        <f>+Costos!M25</f>
        <v>153008.17959774192</v>
      </c>
      <c r="P10" s="485">
        <f>+Costos!N25</f>
        <v>156068.34318969675</v>
      </c>
      <c r="Q10" s="485">
        <f>+Costos!O25</f>
        <v>159189.71005349068</v>
      </c>
      <c r="R10" s="485">
        <f>+Costos!P25</f>
        <v>162373.50425456048</v>
      </c>
      <c r="S10" s="487">
        <f>+Costos!Q25</f>
        <v>165620.9743396517</v>
      </c>
    </row>
    <row r="11" spans="1:19" ht="15.75">
      <c r="A11" s="458" t="s">
        <v>73</v>
      </c>
      <c r="B11" s="475"/>
      <c r="C11" s="476"/>
      <c r="D11" s="481"/>
      <c r="E11" s="485"/>
      <c r="F11" s="485"/>
      <c r="G11" s="485"/>
      <c r="H11" s="485"/>
      <c r="I11" s="485"/>
      <c r="J11" s="485"/>
      <c r="K11" s="485"/>
      <c r="L11" s="485"/>
      <c r="M11" s="486"/>
      <c r="N11" s="485"/>
      <c r="O11" s="485"/>
      <c r="P11" s="485"/>
      <c r="Q11" s="485"/>
      <c r="R11" s="485"/>
      <c r="S11" s="487"/>
    </row>
    <row r="12" spans="1:19" ht="15.75">
      <c r="A12" s="458"/>
      <c r="B12" s="475" t="s">
        <v>105</v>
      </c>
      <c r="C12" s="476"/>
      <c r="D12" s="481"/>
      <c r="E12" s="482">
        <f>+Dep!J3</f>
        <v>660</v>
      </c>
      <c r="F12" s="482">
        <f>+Dep!K3</f>
        <v>660</v>
      </c>
      <c r="G12" s="482">
        <f>+Dep!L3</f>
        <v>660</v>
      </c>
      <c r="H12" s="482">
        <f>+Dep!M3</f>
        <v>660</v>
      </c>
      <c r="I12" s="482">
        <f>+Dep!N3</f>
        <v>660</v>
      </c>
      <c r="J12" s="482">
        <f>+Dep!O3</f>
        <v>660</v>
      </c>
      <c r="K12" s="482">
        <f>+Dep!P3</f>
        <v>660</v>
      </c>
      <c r="L12" s="482">
        <f>+Dep!Q3</f>
        <v>660</v>
      </c>
      <c r="M12" s="482">
        <f>+Dep!R3</f>
        <v>660</v>
      </c>
      <c r="N12" s="482">
        <f>+Dep!S3</f>
        <v>660</v>
      </c>
      <c r="O12" s="482">
        <f>+Dep!T3</f>
        <v>660</v>
      </c>
      <c r="P12" s="482">
        <f>+Dep!U3</f>
        <v>660</v>
      </c>
      <c r="Q12" s="482">
        <f>+Dep!V3</f>
        <v>660</v>
      </c>
      <c r="R12" s="482">
        <f>+Dep!W3</f>
        <v>660</v>
      </c>
      <c r="S12" s="482">
        <f>+Dep!X3</f>
        <v>660</v>
      </c>
    </row>
    <row r="13" spans="1:19" ht="15.75">
      <c r="A13" s="458"/>
      <c r="B13" s="475" t="s">
        <v>9</v>
      </c>
      <c r="C13" s="476"/>
      <c r="D13" s="481"/>
      <c r="E13" s="482">
        <f>+Dep!J36</f>
        <v>7199.19441</v>
      </c>
      <c r="F13" s="482">
        <f>+Dep!K36</f>
        <v>7199.19441</v>
      </c>
      <c r="G13" s="482">
        <f>+Dep!L36</f>
        <v>7199.19441</v>
      </c>
      <c r="H13" s="482">
        <f>+Dep!M36</f>
        <v>7199.19441</v>
      </c>
      <c r="I13" s="482">
        <f>+Dep!N36</f>
        <v>7199.19441</v>
      </c>
      <c r="J13" s="482">
        <f>+Dep!O36</f>
        <v>7199.19441</v>
      </c>
      <c r="K13" s="482">
        <f>+Dep!P36</f>
        <v>7199.19441</v>
      </c>
      <c r="L13" s="482">
        <f>+Dep!Q36</f>
        <v>7199.19441</v>
      </c>
      <c r="M13" s="482">
        <f>+Dep!R36</f>
        <v>7199.19441</v>
      </c>
      <c r="N13" s="482">
        <f>+Dep!S36</f>
        <v>7199.19441</v>
      </c>
      <c r="O13" s="482">
        <f>+Dep!T36</f>
        <v>7199.19441</v>
      </c>
      <c r="P13" s="482">
        <f>+Dep!U36</f>
        <v>7199.19441</v>
      </c>
      <c r="Q13" s="482">
        <f>+Dep!V36</f>
        <v>7064.26191</v>
      </c>
      <c r="R13" s="482">
        <f>+Dep!W36</f>
        <v>7064.26191</v>
      </c>
      <c r="S13" s="482">
        <f>+Dep!X36</f>
        <v>7064.26191</v>
      </c>
    </row>
    <row r="14" spans="1:19" ht="15.75">
      <c r="A14" s="458"/>
      <c r="B14" s="475" t="s">
        <v>106</v>
      </c>
      <c r="C14" s="476"/>
      <c r="D14" s="481"/>
      <c r="E14" s="482">
        <f>+Dep!J4</f>
        <v>2622.6</v>
      </c>
      <c r="F14" s="482">
        <f>+Dep!K4</f>
        <v>2622.6</v>
      </c>
      <c r="G14" s="482">
        <f>+Dep!L4</f>
        <v>2622.6</v>
      </c>
      <c r="H14" s="482">
        <f>+Dep!M4</f>
        <v>2622.6</v>
      </c>
      <c r="I14" s="482">
        <f>+Dep!N4</f>
        <v>2622.6</v>
      </c>
      <c r="J14" s="482">
        <f>+Dep!O4</f>
        <v>0</v>
      </c>
      <c r="K14" s="482">
        <f>+Dep!P4</f>
        <v>0</v>
      </c>
      <c r="L14" s="482">
        <f>+Dep!Q4</f>
        <v>0</v>
      </c>
      <c r="M14" s="482">
        <f>+Dep!R4</f>
        <v>0</v>
      </c>
      <c r="N14" s="482">
        <f>+Dep!S4</f>
        <v>0</v>
      </c>
      <c r="O14" s="482">
        <f>+Dep!T4</f>
        <v>0</v>
      </c>
      <c r="P14" s="482">
        <f>+Dep!U4</f>
        <v>0</v>
      </c>
      <c r="Q14" s="482">
        <f>+Dep!V4</f>
        <v>0</v>
      </c>
      <c r="R14" s="482">
        <f>+Dep!W4</f>
        <v>0</v>
      </c>
      <c r="S14" s="482">
        <f>+Dep!X4</f>
        <v>0</v>
      </c>
    </row>
    <row r="15" spans="1:19" ht="15.75">
      <c r="A15" s="458" t="s">
        <v>74</v>
      </c>
      <c r="B15" s="475"/>
      <c r="C15" s="476"/>
      <c r="D15" s="481"/>
      <c r="E15" s="482"/>
      <c r="F15" s="482"/>
      <c r="G15" s="482"/>
      <c r="H15" s="482"/>
      <c r="I15" s="482"/>
      <c r="J15" s="482"/>
      <c r="K15" s="482"/>
      <c r="L15" s="482"/>
      <c r="M15" s="483"/>
      <c r="N15" s="482"/>
      <c r="O15" s="482"/>
      <c r="P15" s="482"/>
      <c r="Q15" s="482"/>
      <c r="R15" s="482"/>
      <c r="S15" s="484"/>
    </row>
    <row r="16" spans="1:19" ht="16.5" thickBot="1">
      <c r="A16" s="458"/>
      <c r="B16" s="475" t="s">
        <v>75</v>
      </c>
      <c r="C16" s="476"/>
      <c r="D16" s="488"/>
      <c r="E16" s="489">
        <f>+Depreciación!C21</f>
        <v>12900</v>
      </c>
      <c r="F16" s="489">
        <f>+Depreciación!D21</f>
        <v>12900</v>
      </c>
      <c r="G16" s="489">
        <f>+Depreciación!E21</f>
        <v>12900</v>
      </c>
      <c r="H16" s="489">
        <f>+Depreciación!F21</f>
        <v>12900</v>
      </c>
      <c r="I16" s="489">
        <f>+Depreciación!G21</f>
        <v>12900</v>
      </c>
      <c r="J16" s="489">
        <f>+Depreciación!H21</f>
        <v>0</v>
      </c>
      <c r="K16" s="489">
        <f>+Depreciación!I21</f>
        <v>0</v>
      </c>
      <c r="L16" s="489">
        <f>+Depreciación!J21</f>
        <v>0</v>
      </c>
      <c r="M16" s="490">
        <f>+Depreciación!K21</f>
        <v>0</v>
      </c>
      <c r="N16" s="489">
        <f>+Depreciación!L21</f>
        <v>0</v>
      </c>
      <c r="O16" s="489">
        <f>+Depreciación!M21</f>
        <v>0</v>
      </c>
      <c r="P16" s="489">
        <f>+Depreciación!N21</f>
        <v>0</v>
      </c>
      <c r="Q16" s="489">
        <f>+Depreciación!O21</f>
        <v>0</v>
      </c>
      <c r="R16" s="489">
        <f>+Depreciación!P21</f>
        <v>0</v>
      </c>
      <c r="S16" s="491">
        <f>+Depreciación!Q21</f>
        <v>0</v>
      </c>
    </row>
    <row r="17" spans="1:19" ht="16.5" thickBot="1">
      <c r="A17" s="458" t="s">
        <v>76</v>
      </c>
      <c r="B17" s="469"/>
      <c r="C17" s="460"/>
      <c r="D17" s="461"/>
      <c r="E17" s="462">
        <f aca="true" t="shared" si="0" ref="E17:S17">+E4-SUM(E7:E16)</f>
        <v>65525.569017743925</v>
      </c>
      <c r="F17" s="462">
        <f t="shared" si="0"/>
        <v>76589.98532398138</v>
      </c>
      <c r="G17" s="462">
        <f t="shared" si="0"/>
        <v>87968.55264672008</v>
      </c>
      <c r="H17" s="462">
        <f t="shared" si="0"/>
        <v>99668.48263319419</v>
      </c>
      <c r="I17" s="462">
        <f t="shared" si="0"/>
        <v>111697.14044985129</v>
      </c>
      <c r="J17" s="462">
        <f t="shared" si="0"/>
        <v>139584.6479455994</v>
      </c>
      <c r="K17" s="462">
        <f t="shared" si="0"/>
        <v>152293.48687924817</v>
      </c>
      <c r="L17" s="462">
        <f t="shared" si="0"/>
        <v>165354.10221243533</v>
      </c>
      <c r="M17" s="463">
        <f t="shared" si="0"/>
        <v>178774.50546935992</v>
      </c>
      <c r="N17" s="462">
        <f t="shared" si="0"/>
        <v>192562.8781646681</v>
      </c>
      <c r="O17" s="462">
        <f t="shared" si="0"/>
        <v>206727.57530085952</v>
      </c>
      <c r="P17" s="462">
        <f t="shared" si="0"/>
        <v>221277.1289366216</v>
      </c>
      <c r="Q17" s="462">
        <f t="shared" si="0"/>
        <v>236355.18432751484</v>
      </c>
      <c r="R17" s="462">
        <f t="shared" si="0"/>
        <v>251700.77364046522</v>
      </c>
      <c r="S17" s="464">
        <f t="shared" si="0"/>
        <v>267457.9147435564</v>
      </c>
    </row>
    <row r="18" spans="1:19" ht="16.5" thickBot="1">
      <c r="A18" s="458"/>
      <c r="B18" s="102" t="s">
        <v>5</v>
      </c>
      <c r="C18" s="101">
        <f>+Préstamo!C5</f>
        <v>0.05</v>
      </c>
      <c r="D18" s="237"/>
      <c r="E18" s="238">
        <f>+Préstamo!B13</f>
        <v>7937.827601666666</v>
      </c>
      <c r="F18" s="238">
        <f>+Préstamo!C13</f>
        <v>7937.827601666666</v>
      </c>
      <c r="G18" s="238">
        <f>+Préstamo!D13</f>
        <v>7937.827601666666</v>
      </c>
      <c r="H18" s="238">
        <f>+Préstamo!E13</f>
        <v>7144.044841499999</v>
      </c>
      <c r="I18" s="238">
        <f>+Préstamo!F13</f>
        <v>6350.262081333333</v>
      </c>
      <c r="J18" s="238">
        <f>+Préstamo!G13</f>
        <v>5556.4793211666665</v>
      </c>
      <c r="K18" s="238">
        <f>+Préstamo!H13</f>
        <v>4762.696561</v>
      </c>
      <c r="L18" s="238">
        <f>+Préstamo!I13</f>
        <v>3968.913800833334</v>
      </c>
      <c r="M18" s="238">
        <f>+Préstamo!J13</f>
        <v>3175.131040666667</v>
      </c>
      <c r="N18" s="238">
        <f>+Préstamo!K13</f>
        <v>2381.348280500001</v>
      </c>
      <c r="O18" s="238">
        <f>+Préstamo!L13</f>
        <v>1587.5655203333342</v>
      </c>
      <c r="P18" s="238">
        <f>+Préstamo!M13</f>
        <v>793.7827601666676</v>
      </c>
      <c r="Q18" s="238">
        <f>+Préstamo!N13</f>
        <v>9.094947017729282E-13</v>
      </c>
      <c r="R18" s="238">
        <f>+Préstamo!O13</f>
        <v>9.094947017729282E-13</v>
      </c>
      <c r="S18" s="238">
        <f>+Préstamo!P13</f>
        <v>9.094947017729282E-13</v>
      </c>
    </row>
    <row r="19" spans="1:19" ht="16.5" thickBot="1">
      <c r="A19" s="458" t="s">
        <v>77</v>
      </c>
      <c r="B19" s="469"/>
      <c r="C19" s="460"/>
      <c r="D19" s="461"/>
      <c r="E19" s="465">
        <f>+E17-E18</f>
        <v>57587.74141607726</v>
      </c>
      <c r="F19" s="465">
        <f aca="true" t="shared" si="1" ref="F19:S19">+F17-F18</f>
        <v>68652.15772231472</v>
      </c>
      <c r="G19" s="465">
        <f t="shared" si="1"/>
        <v>80030.72504505342</v>
      </c>
      <c r="H19" s="465">
        <f t="shared" si="1"/>
        <v>92524.43779169419</v>
      </c>
      <c r="I19" s="465">
        <f t="shared" si="1"/>
        <v>105346.87836851795</v>
      </c>
      <c r="J19" s="465">
        <f t="shared" si="1"/>
        <v>134028.16862443273</v>
      </c>
      <c r="K19" s="465">
        <f t="shared" si="1"/>
        <v>147530.79031824818</v>
      </c>
      <c r="L19" s="465">
        <f t="shared" si="1"/>
        <v>161385.188411602</v>
      </c>
      <c r="M19" s="466">
        <f t="shared" si="1"/>
        <v>175599.37442869326</v>
      </c>
      <c r="N19" s="465">
        <f t="shared" si="1"/>
        <v>190181.5298841681</v>
      </c>
      <c r="O19" s="465">
        <f t="shared" si="1"/>
        <v>205140.0097805262</v>
      </c>
      <c r="P19" s="465">
        <f t="shared" si="1"/>
        <v>220483.3461764549</v>
      </c>
      <c r="Q19" s="465">
        <f t="shared" si="1"/>
        <v>236355.18432751484</v>
      </c>
      <c r="R19" s="465">
        <f t="shared" si="1"/>
        <v>251700.77364046522</v>
      </c>
      <c r="S19" s="467">
        <f t="shared" si="1"/>
        <v>267457.9147435564</v>
      </c>
    </row>
    <row r="20" spans="1:19" ht="16.5" thickBot="1">
      <c r="A20" s="458"/>
      <c r="B20" s="102" t="s">
        <v>6</v>
      </c>
      <c r="C20" s="101">
        <v>0.25</v>
      </c>
      <c r="D20" s="239"/>
      <c r="E20" s="238">
        <f>+E19*$C$20</f>
        <v>14396.935354019315</v>
      </c>
      <c r="F20" s="238">
        <f aca="true" t="shared" si="2" ref="F20:S20">+F19*$C$20</f>
        <v>17163.03943057868</v>
      </c>
      <c r="G20" s="238">
        <f t="shared" si="2"/>
        <v>20007.681261263355</v>
      </c>
      <c r="H20" s="238">
        <f t="shared" si="2"/>
        <v>23131.109447923547</v>
      </c>
      <c r="I20" s="238">
        <f t="shared" si="2"/>
        <v>26336.719592129488</v>
      </c>
      <c r="J20" s="238">
        <f t="shared" si="2"/>
        <v>33507.04215610818</v>
      </c>
      <c r="K20" s="238">
        <f t="shared" si="2"/>
        <v>36882.697579562046</v>
      </c>
      <c r="L20" s="238">
        <f t="shared" si="2"/>
        <v>40346.2971029005</v>
      </c>
      <c r="M20" s="238">
        <f t="shared" si="2"/>
        <v>43899.843607173316</v>
      </c>
      <c r="N20" s="238">
        <f t="shared" si="2"/>
        <v>47545.38247104202</v>
      </c>
      <c r="O20" s="238">
        <f t="shared" si="2"/>
        <v>51285.00244513155</v>
      </c>
      <c r="P20" s="238">
        <f t="shared" si="2"/>
        <v>55120.83654411373</v>
      </c>
      <c r="Q20" s="238">
        <f t="shared" si="2"/>
        <v>59088.79608187871</v>
      </c>
      <c r="R20" s="238">
        <f t="shared" si="2"/>
        <v>62925.193410116306</v>
      </c>
      <c r="S20" s="238">
        <f t="shared" si="2"/>
        <v>66864.4786858891</v>
      </c>
    </row>
    <row r="21" spans="1:19" ht="16.5" thickBot="1">
      <c r="A21" s="459" t="s">
        <v>78</v>
      </c>
      <c r="B21" s="470"/>
      <c r="C21" s="468"/>
      <c r="D21" s="461"/>
      <c r="E21" s="465">
        <f>+E19-E20</f>
        <v>43190.80606205795</v>
      </c>
      <c r="F21" s="465">
        <f aca="true" t="shared" si="3" ref="F21:N21">+F19-F20</f>
        <v>51489.11829173604</v>
      </c>
      <c r="G21" s="465">
        <f t="shared" si="3"/>
        <v>60023.04378379007</v>
      </c>
      <c r="H21" s="465">
        <f t="shared" si="3"/>
        <v>69393.32834377064</v>
      </c>
      <c r="I21" s="465">
        <f t="shared" si="3"/>
        <v>79010.15877638846</v>
      </c>
      <c r="J21" s="465">
        <f t="shared" si="3"/>
        <v>100521.12646832454</v>
      </c>
      <c r="K21" s="465">
        <f t="shared" si="3"/>
        <v>110648.09273868613</v>
      </c>
      <c r="L21" s="465">
        <f t="shared" si="3"/>
        <v>121038.8913087015</v>
      </c>
      <c r="M21" s="466">
        <f t="shared" si="3"/>
        <v>131699.53082151996</v>
      </c>
      <c r="N21" s="465">
        <f t="shared" si="3"/>
        <v>142636.14741312608</v>
      </c>
      <c r="O21" s="465">
        <f>+O19-O20</f>
        <v>153855.00733539465</v>
      </c>
      <c r="P21" s="465">
        <f>+P19-P20</f>
        <v>165362.50963234119</v>
      </c>
      <c r="Q21" s="465">
        <f>+Q19-Q20</f>
        <v>177266.38824563613</v>
      </c>
      <c r="R21" s="465">
        <f>+R19-R20</f>
        <v>188775.58023034892</v>
      </c>
      <c r="S21" s="467">
        <f>+S19-S20</f>
        <v>200593.4360576673</v>
      </c>
    </row>
    <row r="22" spans="1:19" ht="16.5" thickBot="1">
      <c r="A22" s="74" t="s">
        <v>311</v>
      </c>
      <c r="B22" s="270"/>
      <c r="C22" s="271"/>
      <c r="D22" s="240"/>
      <c r="E22" s="241"/>
      <c r="F22" s="241"/>
      <c r="G22" s="241"/>
      <c r="H22" s="241"/>
      <c r="I22" s="241"/>
      <c r="J22" s="241"/>
      <c r="K22" s="241"/>
      <c r="L22" s="241"/>
      <c r="M22" s="242"/>
      <c r="N22" s="241"/>
      <c r="O22" s="241"/>
      <c r="P22" s="241"/>
      <c r="Q22" s="241"/>
      <c r="R22" s="241"/>
      <c r="S22" s="243"/>
    </row>
    <row r="23" spans="1:19" ht="15.75">
      <c r="A23" s="457" t="s">
        <v>73</v>
      </c>
      <c r="B23" s="471"/>
      <c r="C23" s="472"/>
      <c r="D23" s="492"/>
      <c r="E23" s="493"/>
      <c r="F23" s="493"/>
      <c r="G23" s="493"/>
      <c r="H23" s="493"/>
      <c r="I23" s="493"/>
      <c r="J23" s="493"/>
      <c r="K23" s="493"/>
      <c r="L23" s="493"/>
      <c r="M23" s="494"/>
      <c r="N23" s="493"/>
      <c r="O23" s="493"/>
      <c r="P23" s="493"/>
      <c r="Q23" s="493"/>
      <c r="R23" s="493"/>
      <c r="S23" s="495"/>
    </row>
    <row r="24" spans="1:19" ht="15.75">
      <c r="A24" s="458"/>
      <c r="B24" s="475" t="s">
        <v>105</v>
      </c>
      <c r="C24" s="476"/>
      <c r="D24" s="496"/>
      <c r="E24" s="482">
        <f>-E12</f>
        <v>-660</v>
      </c>
      <c r="F24" s="482">
        <f aca="true" t="shared" si="4" ref="F24:S24">-F12</f>
        <v>-660</v>
      </c>
      <c r="G24" s="482">
        <f t="shared" si="4"/>
        <v>-660</v>
      </c>
      <c r="H24" s="482">
        <f t="shared" si="4"/>
        <v>-660</v>
      </c>
      <c r="I24" s="482">
        <f t="shared" si="4"/>
        <v>-660</v>
      </c>
      <c r="J24" s="482">
        <f t="shared" si="4"/>
        <v>-660</v>
      </c>
      <c r="K24" s="482">
        <f t="shared" si="4"/>
        <v>-660</v>
      </c>
      <c r="L24" s="482">
        <f t="shared" si="4"/>
        <v>-660</v>
      </c>
      <c r="M24" s="482">
        <f t="shared" si="4"/>
        <v>-660</v>
      </c>
      <c r="N24" s="482">
        <f t="shared" si="4"/>
        <v>-660</v>
      </c>
      <c r="O24" s="482">
        <f t="shared" si="4"/>
        <v>-660</v>
      </c>
      <c r="P24" s="482">
        <f t="shared" si="4"/>
        <v>-660</v>
      </c>
      <c r="Q24" s="482">
        <f t="shared" si="4"/>
        <v>-660</v>
      </c>
      <c r="R24" s="482">
        <f t="shared" si="4"/>
        <v>-660</v>
      </c>
      <c r="S24" s="482">
        <f t="shared" si="4"/>
        <v>-660</v>
      </c>
    </row>
    <row r="25" spans="1:19" ht="15.75">
      <c r="A25" s="458"/>
      <c r="B25" s="475" t="s">
        <v>9</v>
      </c>
      <c r="C25" s="476"/>
      <c r="D25" s="481"/>
      <c r="E25" s="482">
        <f>-E13</f>
        <v>-7199.19441</v>
      </c>
      <c r="F25" s="482">
        <f aca="true" t="shared" si="5" ref="F25:S25">-F13</f>
        <v>-7199.19441</v>
      </c>
      <c r="G25" s="482">
        <f t="shared" si="5"/>
        <v>-7199.19441</v>
      </c>
      <c r="H25" s="482">
        <f t="shared" si="5"/>
        <v>-7199.19441</v>
      </c>
      <c r="I25" s="482">
        <f t="shared" si="5"/>
        <v>-7199.19441</v>
      </c>
      <c r="J25" s="482">
        <f t="shared" si="5"/>
        <v>-7199.19441</v>
      </c>
      <c r="K25" s="482">
        <f t="shared" si="5"/>
        <v>-7199.19441</v>
      </c>
      <c r="L25" s="482">
        <f t="shared" si="5"/>
        <v>-7199.19441</v>
      </c>
      <c r="M25" s="482">
        <f t="shared" si="5"/>
        <v>-7199.19441</v>
      </c>
      <c r="N25" s="482">
        <f t="shared" si="5"/>
        <v>-7199.19441</v>
      </c>
      <c r="O25" s="482">
        <f t="shared" si="5"/>
        <v>-7199.19441</v>
      </c>
      <c r="P25" s="482">
        <f t="shared" si="5"/>
        <v>-7199.19441</v>
      </c>
      <c r="Q25" s="482">
        <f t="shared" si="5"/>
        <v>-7064.26191</v>
      </c>
      <c r="R25" s="482">
        <f t="shared" si="5"/>
        <v>-7064.26191</v>
      </c>
      <c r="S25" s="482">
        <f t="shared" si="5"/>
        <v>-7064.26191</v>
      </c>
    </row>
    <row r="26" spans="1:19" ht="15.75">
      <c r="A26" s="458"/>
      <c r="B26" s="475" t="s">
        <v>106</v>
      </c>
      <c r="C26" s="476"/>
      <c r="D26" s="481"/>
      <c r="E26" s="482">
        <f>-E14</f>
        <v>-2622.6</v>
      </c>
      <c r="F26" s="482">
        <f aca="true" t="shared" si="6" ref="F26:S26">-F14</f>
        <v>-2622.6</v>
      </c>
      <c r="G26" s="482">
        <f t="shared" si="6"/>
        <v>-2622.6</v>
      </c>
      <c r="H26" s="482">
        <f t="shared" si="6"/>
        <v>-2622.6</v>
      </c>
      <c r="I26" s="482">
        <f t="shared" si="6"/>
        <v>-2622.6</v>
      </c>
      <c r="J26" s="482">
        <f t="shared" si="6"/>
        <v>0</v>
      </c>
      <c r="K26" s="482">
        <f t="shared" si="6"/>
        <v>0</v>
      </c>
      <c r="L26" s="482">
        <f t="shared" si="6"/>
        <v>0</v>
      </c>
      <c r="M26" s="482">
        <f t="shared" si="6"/>
        <v>0</v>
      </c>
      <c r="N26" s="482">
        <f t="shared" si="6"/>
        <v>0</v>
      </c>
      <c r="O26" s="482">
        <f t="shared" si="6"/>
        <v>0</v>
      </c>
      <c r="P26" s="482">
        <f t="shared" si="6"/>
        <v>0</v>
      </c>
      <c r="Q26" s="482">
        <f t="shared" si="6"/>
        <v>0</v>
      </c>
      <c r="R26" s="482">
        <f t="shared" si="6"/>
        <v>0</v>
      </c>
      <c r="S26" s="482">
        <f t="shared" si="6"/>
        <v>0</v>
      </c>
    </row>
    <row r="27" spans="1:19" ht="15.75">
      <c r="A27" s="458" t="s">
        <v>74</v>
      </c>
      <c r="B27" s="475"/>
      <c r="C27" s="476"/>
      <c r="D27" s="481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</row>
    <row r="28" spans="1:19" ht="15.75">
      <c r="A28" s="458"/>
      <c r="B28" s="475" t="s">
        <v>75</v>
      </c>
      <c r="C28" s="476"/>
      <c r="D28" s="481"/>
      <c r="E28" s="485">
        <f>-Depreciación!C21</f>
        <v>-12900</v>
      </c>
      <c r="F28" s="485">
        <f>-Depreciación!D21</f>
        <v>-12900</v>
      </c>
      <c r="G28" s="485">
        <f>-Depreciación!E21</f>
        <v>-12900</v>
      </c>
      <c r="H28" s="485">
        <f>-Depreciación!F21</f>
        <v>-12900</v>
      </c>
      <c r="I28" s="485">
        <f>-Depreciación!G21</f>
        <v>-12900</v>
      </c>
      <c r="J28" s="485">
        <f>-Depreciación!H21</f>
        <v>0</v>
      </c>
      <c r="K28" s="485">
        <f>-Depreciación!I21</f>
        <v>0</v>
      </c>
      <c r="L28" s="485">
        <f>-Depreciación!J21</f>
        <v>0</v>
      </c>
      <c r="M28" s="485">
        <f>-Depreciación!K21</f>
        <v>0</v>
      </c>
      <c r="N28" s="485">
        <f>-Depreciación!L21</f>
        <v>0</v>
      </c>
      <c r="O28" s="485">
        <f>-Depreciación!M21</f>
        <v>0</v>
      </c>
      <c r="P28" s="485">
        <f>-Depreciación!N21</f>
        <v>0</v>
      </c>
      <c r="Q28" s="485">
        <f>-Depreciación!O21</f>
        <v>0</v>
      </c>
      <c r="R28" s="485">
        <f>-Depreciación!P21</f>
        <v>0</v>
      </c>
      <c r="S28" s="485">
        <f>-Depreciación!Q21</f>
        <v>0</v>
      </c>
    </row>
    <row r="29" spans="1:19" ht="15.75">
      <c r="A29" s="458" t="s">
        <v>16</v>
      </c>
      <c r="B29" s="475"/>
      <c r="C29" s="476"/>
      <c r="D29" s="496"/>
      <c r="E29" s="478"/>
      <c r="F29" s="478"/>
      <c r="G29" s="478"/>
      <c r="H29" s="478"/>
      <c r="I29" s="478"/>
      <c r="J29" s="478"/>
      <c r="K29" s="478"/>
      <c r="L29" s="478"/>
      <c r="M29" s="479"/>
      <c r="N29" s="478"/>
      <c r="O29" s="478"/>
      <c r="P29" s="478"/>
      <c r="Q29" s="478"/>
      <c r="R29" s="478"/>
      <c r="S29" s="480"/>
    </row>
    <row r="30" spans="1:19" ht="15.75">
      <c r="A30" s="458"/>
      <c r="B30" s="475" t="s">
        <v>7</v>
      </c>
      <c r="C30" s="476"/>
      <c r="D30" s="496">
        <f>-MAQUINARIA!C97</f>
        <v>-20000</v>
      </c>
      <c r="E30" s="497"/>
      <c r="F30" s="497"/>
      <c r="G30" s="497"/>
      <c r="H30" s="497"/>
      <c r="I30" s="497"/>
      <c r="J30" s="497"/>
      <c r="K30" s="497"/>
      <c r="L30" s="497"/>
      <c r="M30" s="498"/>
      <c r="N30" s="497"/>
      <c r="O30" s="497"/>
      <c r="P30" s="497"/>
      <c r="Q30" s="497"/>
      <c r="R30" s="497"/>
      <c r="S30" s="499"/>
    </row>
    <row r="31" spans="1:19" ht="15.75">
      <c r="A31" s="458"/>
      <c r="B31" s="475" t="s">
        <v>105</v>
      </c>
      <c r="C31" s="476"/>
      <c r="D31" s="500">
        <f>-MAQUINARIA!C96</f>
        <v>-44000</v>
      </c>
      <c r="E31" s="482"/>
      <c r="F31" s="482"/>
      <c r="G31" s="482"/>
      <c r="H31" s="482"/>
      <c r="I31" s="482"/>
      <c r="J31" s="482"/>
      <c r="K31" s="482"/>
      <c r="L31" s="482"/>
      <c r="M31" s="483"/>
      <c r="N31" s="497"/>
      <c r="O31" s="497"/>
      <c r="P31" s="497"/>
      <c r="Q31" s="497"/>
      <c r="R31" s="497"/>
      <c r="S31" s="499"/>
    </row>
    <row r="32" spans="1:19" ht="15.75">
      <c r="A32" s="458"/>
      <c r="B32" s="475" t="s">
        <v>9</v>
      </c>
      <c r="C32" s="476"/>
      <c r="D32" s="500">
        <f>-MAQUINARIA!C95</f>
        <v>-139295.07433333332</v>
      </c>
      <c r="E32" s="482"/>
      <c r="F32" s="482"/>
      <c r="G32" s="482"/>
      <c r="H32" s="482"/>
      <c r="I32" s="482"/>
      <c r="J32" s="482"/>
      <c r="K32" s="482"/>
      <c r="L32" s="482"/>
      <c r="M32" s="483"/>
      <c r="N32" s="497"/>
      <c r="O32" s="497"/>
      <c r="P32" s="497"/>
      <c r="Q32" s="497"/>
      <c r="R32" s="497"/>
      <c r="S32" s="499"/>
    </row>
    <row r="33" spans="1:19" ht="15.75">
      <c r="A33" s="458"/>
      <c r="B33" s="475" t="s">
        <v>106</v>
      </c>
      <c r="C33" s="476"/>
      <c r="D33" s="481">
        <f>-MAQUINARIA!C98</f>
        <v>-14570</v>
      </c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4"/>
    </row>
    <row r="34" spans="1:19" ht="15.75">
      <c r="A34" s="458"/>
      <c r="B34" s="475" t="s">
        <v>269</v>
      </c>
      <c r="C34" s="476"/>
      <c r="D34" s="500">
        <f>-MAQUINARIA!C99</f>
        <v>-8000</v>
      </c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4"/>
    </row>
    <row r="35" spans="1:19" ht="15.75">
      <c r="A35" s="458"/>
      <c r="B35" s="475" t="s">
        <v>75</v>
      </c>
      <c r="C35" s="476"/>
      <c r="D35" s="500">
        <f>-cuadros!B16</f>
        <v>-23500</v>
      </c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4"/>
    </row>
    <row r="36" spans="1:19" ht="15.75">
      <c r="A36" s="458" t="s">
        <v>41</v>
      </c>
      <c r="B36" s="475"/>
      <c r="C36" s="501"/>
      <c r="D36" s="481">
        <f>Préstamo!C4</f>
        <v>158756.5520333333</v>
      </c>
      <c r="E36" s="482"/>
      <c r="F36" s="482"/>
      <c r="G36" s="482"/>
      <c r="H36" s="482"/>
      <c r="I36" s="482"/>
      <c r="J36" s="482"/>
      <c r="K36" s="482"/>
      <c r="L36" s="482"/>
      <c r="M36" s="483"/>
      <c r="N36" s="482"/>
      <c r="O36" s="482"/>
      <c r="P36" s="482"/>
      <c r="Q36" s="482"/>
      <c r="R36" s="482"/>
      <c r="S36" s="484"/>
    </row>
    <row r="37" spans="1:19" ht="16.5" thickBot="1">
      <c r="A37" s="458" t="s">
        <v>79</v>
      </c>
      <c r="B37" s="475"/>
      <c r="C37" s="476"/>
      <c r="D37" s="502"/>
      <c r="E37" s="503">
        <f>-Préstamo!B14</f>
        <v>0</v>
      </c>
      <c r="F37" s="503">
        <f>-Préstamo!C14</f>
        <v>0</v>
      </c>
      <c r="G37" s="503">
        <f>-Préstamo!D14</f>
        <v>-15875.655203333332</v>
      </c>
      <c r="H37" s="503">
        <f>-Préstamo!E14</f>
        <v>-15875.655203333332</v>
      </c>
      <c r="I37" s="503">
        <f>-Préstamo!F14</f>
        <v>-15875.655203333332</v>
      </c>
      <c r="J37" s="503">
        <f>-Préstamo!G14</f>
        <v>-15875.655203333332</v>
      </c>
      <c r="K37" s="503">
        <f>-Préstamo!H14</f>
        <v>-15875.655203333332</v>
      </c>
      <c r="L37" s="503">
        <f>-Préstamo!I14</f>
        <v>-15875.655203333332</v>
      </c>
      <c r="M37" s="503">
        <f>-Préstamo!J14</f>
        <v>-15875.655203333332</v>
      </c>
      <c r="N37" s="503">
        <f>-Préstamo!K14</f>
        <v>-15875.655203333332</v>
      </c>
      <c r="O37" s="503">
        <f>-Préstamo!L14</f>
        <v>-15875.655203333332</v>
      </c>
      <c r="P37" s="503">
        <f>-Préstamo!M14</f>
        <v>-15875.655203333332</v>
      </c>
      <c r="Q37" s="503">
        <f>-Préstamo!N14</f>
        <v>0</v>
      </c>
      <c r="R37" s="503">
        <f>-Préstamo!O14</f>
        <v>0</v>
      </c>
      <c r="S37" s="503">
        <f>-Préstamo!P14</f>
        <v>0</v>
      </c>
    </row>
    <row r="38" spans="1:19" ht="16.5" thickBot="1">
      <c r="A38" s="459" t="s">
        <v>11</v>
      </c>
      <c r="B38" s="470"/>
      <c r="C38" s="468"/>
      <c r="D38" s="461">
        <f>SUM(D30:D36)</f>
        <v>-90608.52230000001</v>
      </c>
      <c r="E38" s="465">
        <f>SUM(E21:E37)</f>
        <v>19809.011652057954</v>
      </c>
      <c r="F38" s="465">
        <f aca="true" t="shared" si="7" ref="F38:S38">SUM(F21:F37)</f>
        <v>28107.323881736047</v>
      </c>
      <c r="G38" s="465">
        <f t="shared" si="7"/>
        <v>20765.59417045674</v>
      </c>
      <c r="H38" s="465">
        <f t="shared" si="7"/>
        <v>30135.878730437315</v>
      </c>
      <c r="I38" s="465">
        <f t="shared" si="7"/>
        <v>39752.70916305513</v>
      </c>
      <c r="J38" s="465">
        <f t="shared" si="7"/>
        <v>76786.27685499121</v>
      </c>
      <c r="K38" s="465">
        <f t="shared" si="7"/>
        <v>86913.2431253528</v>
      </c>
      <c r="L38" s="465">
        <f t="shared" si="7"/>
        <v>97304.04169536817</v>
      </c>
      <c r="M38" s="466">
        <f t="shared" si="7"/>
        <v>107964.68120818664</v>
      </c>
      <c r="N38" s="465">
        <f t="shared" si="7"/>
        <v>118901.29779979275</v>
      </c>
      <c r="O38" s="465">
        <f t="shared" si="7"/>
        <v>130120.15772206133</v>
      </c>
      <c r="P38" s="465">
        <f t="shared" si="7"/>
        <v>141627.66001900786</v>
      </c>
      <c r="Q38" s="465">
        <f t="shared" si="7"/>
        <v>169542.12633563613</v>
      </c>
      <c r="R38" s="465">
        <f t="shared" si="7"/>
        <v>181051.31832034892</v>
      </c>
      <c r="S38" s="467">
        <f t="shared" si="7"/>
        <v>192869.1741476673</v>
      </c>
    </row>
    <row r="39" spans="4:19" ht="15.75" thickBot="1"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</row>
    <row r="40" spans="1:6" ht="15.75">
      <c r="A40" s="510" t="s">
        <v>21</v>
      </c>
      <c r="B40" s="504"/>
      <c r="C40" s="504"/>
      <c r="D40" s="505">
        <f>NPV(C20,D38:S38)</f>
        <v>84917.66342927731</v>
      </c>
      <c r="F40" s="228"/>
    </row>
    <row r="41" spans="1:6" ht="15.75">
      <c r="A41" s="511" t="s">
        <v>22</v>
      </c>
      <c r="B41" s="506"/>
      <c r="C41" s="506"/>
      <c r="D41" s="507">
        <f>IRR(D38:S38)</f>
        <v>0.4160960522398477</v>
      </c>
      <c r="F41" s="228"/>
    </row>
    <row r="42" spans="1:4" ht="16.5" thickBot="1">
      <c r="A42" s="512" t="s">
        <v>308</v>
      </c>
      <c r="B42" s="508"/>
      <c r="C42" s="508"/>
      <c r="D42" s="509" t="s">
        <v>310</v>
      </c>
    </row>
    <row r="54" spans="1:2" ht="15.75">
      <c r="A54" s="74" t="s">
        <v>111</v>
      </c>
      <c r="B54" s="77">
        <v>0.0501</v>
      </c>
    </row>
    <row r="55" ht="15.75" thickBot="1"/>
    <row r="56" spans="1:2" ht="15.75">
      <c r="A56" s="75" t="str">
        <f>+MAQUINARIA!B101</f>
        <v>TOTAL ACTIVOS FIJOS</v>
      </c>
      <c r="B56" s="235">
        <f>+MAQUINARIA!C101</f>
        <v>228865.07433333332</v>
      </c>
    </row>
    <row r="57" ht="15">
      <c r="B57" s="236">
        <f>SUM(D38:K38)</f>
        <v>211661.5152780872</v>
      </c>
    </row>
    <row r="58" ht="15">
      <c r="B58" s="236">
        <f>SUM(D38:L38)</f>
        <v>308965.55697345536</v>
      </c>
    </row>
    <row r="59" spans="2:12" ht="15">
      <c r="B59" s="236">
        <f>+B56-B57</f>
        <v>17203.55905524612</v>
      </c>
      <c r="D59" s="75" t="s">
        <v>119</v>
      </c>
      <c r="E59" s="78"/>
      <c r="F59" s="78"/>
      <c r="G59" s="78"/>
      <c r="H59" s="78"/>
      <c r="I59" s="78"/>
      <c r="J59" s="78"/>
      <c r="K59" s="78"/>
      <c r="L59" s="78"/>
    </row>
    <row r="60" ht="15">
      <c r="B60" s="236">
        <f>+B58-B57</f>
        <v>97304.04169536816</v>
      </c>
    </row>
    <row r="61" ht="15">
      <c r="B61" s="75">
        <f>+B59/B60</f>
        <v>0.17680210149035402</v>
      </c>
    </row>
  </sheetData>
  <mergeCells count="2">
    <mergeCell ref="D2:S2"/>
    <mergeCell ref="A2:C3"/>
  </mergeCells>
  <printOptions verticalCentered="1"/>
  <pageMargins left="0.2755905511811024" right="0.7874015748031497" top="0.5905511811023623" bottom="0.984251968503937" header="0" footer="0"/>
  <pageSetup fitToHeight="1" fitToWidth="1" horizontalDpi="300" verticalDpi="300" orientation="landscape" paperSize="5" scale="50" r:id="rId1"/>
  <ignoredErrors>
    <ignoredError sqref="E20:G20 K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B5" sqref="B5"/>
    </sheetView>
  </sheetViews>
  <sheetFormatPr defaultColWidth="11.421875" defaultRowHeight="12.75"/>
  <cols>
    <col min="1" max="6" width="12.7109375" style="0" customWidth="1"/>
    <col min="7" max="14" width="16.140625" style="0" bestFit="1" customWidth="1"/>
    <col min="15" max="18" width="18.28125" style="0" bestFit="1" customWidth="1"/>
  </cols>
  <sheetData>
    <row r="1" ht="20.25">
      <c r="B1" s="6" t="s">
        <v>47</v>
      </c>
    </row>
    <row r="2" spans="6:9" ht="13.5" thickBot="1">
      <c r="F2" s="15"/>
      <c r="G2" s="15"/>
      <c r="H2" s="15"/>
      <c r="I2" s="15"/>
    </row>
    <row r="3" spans="1:9" ht="34.5" thickBot="1">
      <c r="A3" s="385" t="s">
        <v>197</v>
      </c>
      <c r="B3" s="385" t="s">
        <v>198</v>
      </c>
      <c r="C3" s="385" t="s">
        <v>199</v>
      </c>
      <c r="D3" s="385" t="s">
        <v>200</v>
      </c>
      <c r="E3" s="385" t="s">
        <v>201</v>
      </c>
      <c r="F3" s="385" t="s">
        <v>202</v>
      </c>
      <c r="G3" s="15"/>
      <c r="H3" s="15"/>
      <c r="I3" s="15"/>
    </row>
    <row r="4" spans="1:9" ht="12.75">
      <c r="A4" s="368" t="s">
        <v>203</v>
      </c>
      <c r="B4" s="369">
        <f>+Hoja1!B26</f>
        <v>1286.453701430581</v>
      </c>
      <c r="C4" s="370">
        <v>450</v>
      </c>
      <c r="D4" s="371">
        <v>0.15</v>
      </c>
      <c r="E4" s="370">
        <f>+C4/(1-D4)</f>
        <v>529.4117647058823</v>
      </c>
      <c r="F4" s="372">
        <f>+B4*E4</f>
        <v>681063.7242867781</v>
      </c>
      <c r="G4" s="158">
        <f>+B4/$B$8</f>
        <v>0.7628927350734437</v>
      </c>
      <c r="H4" s="59">
        <f>+B4/52</f>
        <v>24.739494258280406</v>
      </c>
      <c r="I4" t="s">
        <v>54</v>
      </c>
    </row>
    <row r="5" spans="1:10" ht="12.75">
      <c r="A5" s="373" t="s">
        <v>204</v>
      </c>
      <c r="B5" s="374">
        <f>+Hoja1!B27</f>
        <v>219.6651636174561</v>
      </c>
      <c r="C5" s="375">
        <v>1500</v>
      </c>
      <c r="D5" s="376">
        <v>0.25</v>
      </c>
      <c r="E5" s="375">
        <f>+C5/(1-D5)</f>
        <v>2000</v>
      </c>
      <c r="F5" s="377">
        <f>+B5*E5</f>
        <v>439330.3272349122</v>
      </c>
      <c r="G5" s="158">
        <f>+B5/$B$8</f>
        <v>0.1302658286777991</v>
      </c>
      <c r="H5" s="59">
        <f>+B5/52</f>
        <v>4.224330069566464</v>
      </c>
      <c r="I5" t="s">
        <v>54</v>
      </c>
      <c r="J5" s="58"/>
    </row>
    <row r="6" spans="1:10" ht="12.75">
      <c r="A6" s="373" t="s">
        <v>205</v>
      </c>
      <c r="B6" s="374">
        <f>+Hoja1!B28</f>
        <v>143.63591895191465</v>
      </c>
      <c r="C6" s="375">
        <v>600</v>
      </c>
      <c r="D6" s="376">
        <v>0.15</v>
      </c>
      <c r="E6" s="375">
        <f>+C6/(1-D6)</f>
        <v>705.8823529411765</v>
      </c>
      <c r="F6" s="377">
        <f>+B6*E6</f>
        <v>101390.06043664564</v>
      </c>
      <c r="G6" s="158">
        <f>+B6/$B$8</f>
        <v>0.08517896830811574</v>
      </c>
      <c r="H6" s="59">
        <f>+B6/52</f>
        <v>2.7622292106137434</v>
      </c>
      <c r="I6" t="s">
        <v>54</v>
      </c>
      <c r="J6" s="58"/>
    </row>
    <row r="7" spans="1:10" ht="13.5" thickBot="1">
      <c r="A7" s="378" t="s">
        <v>206</v>
      </c>
      <c r="B7" s="379">
        <f>+Hoja1!B29</f>
        <v>36.529069924458966</v>
      </c>
      <c r="C7" s="380">
        <v>950</v>
      </c>
      <c r="D7" s="381">
        <v>0.25</v>
      </c>
      <c r="E7" s="380">
        <f>+C7/(1-D7)</f>
        <v>1266.6666666666667</v>
      </c>
      <c r="F7" s="382">
        <f>+B7*E7</f>
        <v>46270.155237648025</v>
      </c>
      <c r="G7" s="158">
        <f>+B7/$B$8</f>
        <v>0.021662467940641514</v>
      </c>
      <c r="H7" s="59">
        <f>+B7/52</f>
        <v>0.7024821139319032</v>
      </c>
      <c r="I7" t="s">
        <v>54</v>
      </c>
      <c r="J7" s="58"/>
    </row>
    <row r="8" spans="1:6" ht="13.5" thickBot="1">
      <c r="A8" s="383"/>
      <c r="B8" s="386">
        <f>SUM(B4:B7)</f>
        <v>1686.2838539244108</v>
      </c>
      <c r="C8" s="318"/>
      <c r="D8" s="384"/>
      <c r="E8" s="318"/>
      <c r="F8" s="387">
        <f>SUM(F4:F7)</f>
        <v>1268054.267195984</v>
      </c>
    </row>
    <row r="9" spans="1:10" ht="12.75">
      <c r="A9">
        <f>5*52</f>
        <v>260</v>
      </c>
      <c r="B9" s="173"/>
      <c r="F9" s="59"/>
      <c r="G9" s="158"/>
      <c r="H9" s="59"/>
      <c r="J9" s="58"/>
    </row>
    <row r="10" ht="12.75">
      <c r="B10" s="46"/>
    </row>
    <row r="11" spans="2:5" ht="15">
      <c r="B11" s="47" t="s">
        <v>50</v>
      </c>
      <c r="C11" s="48">
        <f>SUM(B4:B7)</f>
        <v>1686.2838539244108</v>
      </c>
      <c r="E11" s="177">
        <f>SUM(F4:F7)</f>
        <v>1268054.267195984</v>
      </c>
    </row>
    <row r="12" spans="2:10" ht="12.75">
      <c r="B12" s="46"/>
      <c r="H12">
        <f>+C11/12/4/5</f>
        <v>7.026182724685045</v>
      </c>
      <c r="J12" s="58">
        <f>SUM(J4:J9)</f>
        <v>0</v>
      </c>
    </row>
    <row r="13" spans="2:5" ht="12.75">
      <c r="B13" s="10" t="s">
        <v>14</v>
      </c>
      <c r="C13" t="s">
        <v>15</v>
      </c>
      <c r="D13" s="9">
        <v>0.05</v>
      </c>
      <c r="E13" t="s">
        <v>207</v>
      </c>
    </row>
    <row r="14" spans="4:7" ht="12.75">
      <c r="D14" s="9"/>
      <c r="G14" s="8"/>
    </row>
    <row r="15" spans="4:7" ht="12.75">
      <c r="D15" s="9"/>
      <c r="G15" s="8"/>
    </row>
    <row r="16" ht="12.75">
      <c r="G16" s="8"/>
    </row>
    <row r="18" spans="2:18" ht="12.75">
      <c r="B18" s="3" t="s">
        <v>24</v>
      </c>
      <c r="C18" s="3">
        <v>0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  <c r="N18" s="3">
        <v>11</v>
      </c>
      <c r="O18" s="3">
        <v>12</v>
      </c>
      <c r="P18" s="3">
        <v>13</v>
      </c>
      <c r="Q18" s="3">
        <v>14</v>
      </c>
      <c r="R18" s="3">
        <v>15</v>
      </c>
    </row>
    <row r="19" spans="2:18" ht="12.75">
      <c r="B19" s="20" t="s">
        <v>23</v>
      </c>
      <c r="C19" s="21"/>
      <c r="D19" s="22">
        <v>0.02</v>
      </c>
      <c r="E19" s="22">
        <v>0.02</v>
      </c>
      <c r="F19" s="22">
        <v>0.02</v>
      </c>
      <c r="G19" s="22">
        <v>0.02</v>
      </c>
      <c r="H19" s="22">
        <v>0.02</v>
      </c>
      <c r="I19" s="22">
        <v>0.02</v>
      </c>
      <c r="J19" s="22">
        <v>0.02</v>
      </c>
      <c r="K19" s="22">
        <v>0.02</v>
      </c>
      <c r="L19" s="22">
        <v>0.02</v>
      </c>
      <c r="M19" s="22">
        <v>0.02</v>
      </c>
      <c r="N19" s="22">
        <v>0.02</v>
      </c>
      <c r="O19" s="22">
        <v>0.02</v>
      </c>
      <c r="P19" s="22">
        <v>0.02</v>
      </c>
      <c r="Q19" s="22">
        <v>0.02</v>
      </c>
      <c r="R19" s="22">
        <v>0.02</v>
      </c>
    </row>
    <row r="20" spans="2:18" ht="12.75">
      <c r="B20" s="3" t="s">
        <v>25</v>
      </c>
      <c r="C20" s="2"/>
      <c r="D20" s="17">
        <f>+C11</f>
        <v>1686.2838539244108</v>
      </c>
      <c r="E20" s="18">
        <f>+D20+D20*E19</f>
        <v>1720.009531002899</v>
      </c>
      <c r="F20" s="18">
        <f>+E20+E20*F19</f>
        <v>1754.409721622957</v>
      </c>
      <c r="G20" s="18">
        <f>+F20+F20*G19</f>
        <v>1789.4979160554162</v>
      </c>
      <c r="H20" s="18">
        <f aca="true" t="shared" si="0" ref="H20:R20">+G20+G20*H19</f>
        <v>1825.2878743765245</v>
      </c>
      <c r="I20" s="18">
        <f t="shared" si="0"/>
        <v>1861.793631864055</v>
      </c>
      <c r="J20" s="18">
        <f t="shared" si="0"/>
        <v>1899.029504501336</v>
      </c>
      <c r="K20" s="18">
        <f t="shared" si="0"/>
        <v>1937.0100945913628</v>
      </c>
      <c r="L20" s="18">
        <f t="shared" si="0"/>
        <v>1975.75029648319</v>
      </c>
      <c r="M20" s="18">
        <f t="shared" si="0"/>
        <v>2015.2653024128538</v>
      </c>
      <c r="N20" s="18">
        <f t="shared" si="0"/>
        <v>2055.5706084611106</v>
      </c>
      <c r="O20" s="18">
        <f t="shared" si="0"/>
        <v>2096.6820206303328</v>
      </c>
      <c r="P20" s="18">
        <f t="shared" si="0"/>
        <v>2138.6156610429393</v>
      </c>
      <c r="Q20" s="18">
        <f t="shared" si="0"/>
        <v>2181.3879742637982</v>
      </c>
      <c r="R20" s="18">
        <f t="shared" si="0"/>
        <v>2225.015733749074</v>
      </c>
    </row>
    <row r="21" spans="2:18" ht="12.75">
      <c r="B21" s="3" t="s">
        <v>0</v>
      </c>
      <c r="C21" s="159"/>
      <c r="D21" s="49">
        <f>+E11</f>
        <v>1268054.267195984</v>
      </c>
      <c r="E21" s="49">
        <f>+D21+D21*E19</f>
        <v>1293415.3525399037</v>
      </c>
      <c r="F21" s="49">
        <f>+E21+E21*F19</f>
        <v>1319283.6595907018</v>
      </c>
      <c r="G21" s="49">
        <f>+F21+F21*G19</f>
        <v>1345669.3327825158</v>
      </c>
      <c r="H21" s="49">
        <f aca="true" t="shared" si="1" ref="H21:R21">+G21+G21*H19</f>
        <v>1372582.7194381661</v>
      </c>
      <c r="I21" s="49">
        <f t="shared" si="1"/>
        <v>1400034.3738269294</v>
      </c>
      <c r="J21" s="49">
        <f t="shared" si="1"/>
        <v>1428035.061303468</v>
      </c>
      <c r="K21" s="49">
        <f t="shared" si="1"/>
        <v>1456595.7625295373</v>
      </c>
      <c r="L21" s="49">
        <f t="shared" si="1"/>
        <v>1485727.677780128</v>
      </c>
      <c r="M21" s="49">
        <f t="shared" si="1"/>
        <v>1515442.2313357308</v>
      </c>
      <c r="N21" s="49">
        <f t="shared" si="1"/>
        <v>1545751.0759624455</v>
      </c>
      <c r="O21" s="49">
        <f t="shared" si="1"/>
        <v>1576666.0974816943</v>
      </c>
      <c r="P21" s="49">
        <f t="shared" si="1"/>
        <v>1608199.4194313283</v>
      </c>
      <c r="Q21" s="49">
        <f t="shared" si="1"/>
        <v>1640363.407819955</v>
      </c>
      <c r="R21" s="49">
        <f t="shared" si="1"/>
        <v>1673170.675976354</v>
      </c>
    </row>
    <row r="23" spans="4:13" ht="12.75"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4:13" ht="12.75">
      <c r="D24" s="158"/>
      <c r="E24" s="158"/>
      <c r="F24" s="50"/>
      <c r="G24" s="158"/>
      <c r="H24" s="158"/>
      <c r="I24" s="158"/>
      <c r="J24" s="158"/>
      <c r="K24" s="158"/>
      <c r="L24" s="158"/>
      <c r="M24" s="158"/>
    </row>
    <row r="30" ht="12.75">
      <c r="J30">
        <f>+E11/12</f>
        <v>105671.18893299867</v>
      </c>
    </row>
    <row r="32" ht="12.75">
      <c r="E32">
        <v>2239767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workbookViewId="0" topLeftCell="A1">
      <selection activeCell="B41" sqref="B41"/>
    </sheetView>
  </sheetViews>
  <sheetFormatPr defaultColWidth="11.421875" defaultRowHeight="12.75"/>
  <cols>
    <col min="1" max="1" width="24.28125" style="0" customWidth="1"/>
    <col min="2" max="2" width="16.140625" style="0" bestFit="1" customWidth="1"/>
    <col min="3" max="3" width="17.7109375" style="0" customWidth="1"/>
    <col min="4" max="12" width="12.8515625" style="0" bestFit="1" customWidth="1"/>
  </cols>
  <sheetData>
    <row r="1" ht="20.25">
      <c r="A1" s="6" t="s">
        <v>17</v>
      </c>
    </row>
    <row r="3" ht="15.75">
      <c r="A3" s="33" t="s">
        <v>33</v>
      </c>
    </row>
    <row r="4" spans="1:6" ht="13.5" thickBot="1">
      <c r="A4" s="10" t="s">
        <v>26</v>
      </c>
      <c r="F4" s="48"/>
    </row>
    <row r="5" spans="1:6" ht="12.75">
      <c r="A5" s="4" t="s">
        <v>18</v>
      </c>
      <c r="B5" s="178">
        <v>43.6762655685459</v>
      </c>
      <c r="C5" s="11">
        <v>4509219.2710992005</v>
      </c>
      <c r="D5" s="11">
        <v>10324.186860761698</v>
      </c>
      <c r="E5" s="11">
        <f>+C5/D5</f>
        <v>436.7626556854589</v>
      </c>
      <c r="F5" s="48"/>
    </row>
    <row r="6" spans="1:5" ht="13.5" thickBot="1">
      <c r="A6" s="54" t="s">
        <v>19</v>
      </c>
      <c r="B6" s="179">
        <v>46.2704698298221</v>
      </c>
      <c r="C6" s="11">
        <v>4777049.766583201</v>
      </c>
      <c r="D6" s="11">
        <v>10324.186860761698</v>
      </c>
      <c r="E6" s="11">
        <f>+C6/D6</f>
        <v>462.70469829822116</v>
      </c>
    </row>
    <row r="7" ht="13.5" thickBot="1">
      <c r="B7" s="180">
        <f>SUM(B5:B6)</f>
        <v>89.94673539836799</v>
      </c>
    </row>
    <row r="8" spans="1:2" ht="12.75">
      <c r="A8" s="10" t="s">
        <v>27</v>
      </c>
      <c r="B8" s="23"/>
    </row>
    <row r="9" spans="1:17" ht="12.75">
      <c r="A9" s="28" t="s">
        <v>24</v>
      </c>
      <c r="B9" s="3">
        <v>0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</row>
    <row r="10" spans="1:17" ht="12.75">
      <c r="A10" s="29" t="s">
        <v>1</v>
      </c>
      <c r="B10" s="2"/>
      <c r="C10" s="181">
        <f>+B7*$D$6</f>
        <v>928626.9037682399</v>
      </c>
      <c r="D10" s="181">
        <f>+C10*1.01</f>
        <v>937913.1728059223</v>
      </c>
      <c r="E10" s="181">
        <f aca="true" t="shared" si="0" ref="E10:Q10">+D10*1.01</f>
        <v>947292.3045339816</v>
      </c>
      <c r="F10" s="181">
        <f t="shared" si="0"/>
        <v>956765.2275793215</v>
      </c>
      <c r="G10" s="181">
        <f t="shared" si="0"/>
        <v>966332.8798551147</v>
      </c>
      <c r="H10" s="181">
        <f t="shared" si="0"/>
        <v>975996.2086536658</v>
      </c>
      <c r="I10" s="181">
        <f t="shared" si="0"/>
        <v>985756.1707402025</v>
      </c>
      <c r="J10" s="181">
        <f t="shared" si="0"/>
        <v>995613.7324476045</v>
      </c>
      <c r="K10" s="181">
        <f t="shared" si="0"/>
        <v>1005569.8697720806</v>
      </c>
      <c r="L10" s="181">
        <f t="shared" si="0"/>
        <v>1015625.5684698013</v>
      </c>
      <c r="M10" s="181">
        <f t="shared" si="0"/>
        <v>1025781.8241544993</v>
      </c>
      <c r="N10" s="181">
        <f t="shared" si="0"/>
        <v>1036039.6423960443</v>
      </c>
      <c r="O10" s="181">
        <f t="shared" si="0"/>
        <v>1046400.0388200048</v>
      </c>
      <c r="P10" s="181">
        <f t="shared" si="0"/>
        <v>1056864.039208205</v>
      </c>
      <c r="Q10" s="181">
        <f t="shared" si="0"/>
        <v>1067432.679600287</v>
      </c>
    </row>
    <row r="11" spans="1:17" ht="12.75">
      <c r="A11" s="31"/>
      <c r="B11" s="1"/>
      <c r="C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23"/>
      <c r="B12" s="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ht="15.75">
      <c r="A13" s="32" t="s">
        <v>29</v>
      </c>
    </row>
    <row r="14" spans="1:6" ht="12.75">
      <c r="A14" s="29" t="s">
        <v>2</v>
      </c>
      <c r="B14" s="53">
        <v>125000</v>
      </c>
      <c r="C14" s="27" t="s">
        <v>51</v>
      </c>
      <c r="D14" s="27"/>
      <c r="E14" s="27"/>
      <c r="F14" s="26"/>
    </row>
    <row r="15" spans="1:6" ht="12" customHeight="1">
      <c r="A15" s="1"/>
      <c r="B15" s="51"/>
      <c r="D15" s="1"/>
      <c r="E15" s="1"/>
      <c r="F15" s="1"/>
    </row>
    <row r="16" spans="1:2" ht="12.75">
      <c r="A16" s="10" t="s">
        <v>28</v>
      </c>
      <c r="B16" s="23"/>
    </row>
    <row r="17" spans="1:17" ht="12.75">
      <c r="A17" s="28" t="s">
        <v>24</v>
      </c>
      <c r="B17" s="3">
        <v>0</v>
      </c>
      <c r="C17" s="3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3">
        <v>7</v>
      </c>
      <c r="J17" s="3">
        <v>8</v>
      </c>
      <c r="K17" s="3">
        <v>9</v>
      </c>
      <c r="L17" s="3">
        <v>10</v>
      </c>
      <c r="M17" s="3">
        <v>11</v>
      </c>
      <c r="N17" s="3">
        <v>12</v>
      </c>
      <c r="O17" s="3">
        <v>13</v>
      </c>
      <c r="P17" s="3">
        <v>14</v>
      </c>
      <c r="Q17" s="3">
        <v>15</v>
      </c>
    </row>
    <row r="18" spans="1:17" ht="12.75">
      <c r="A18" s="29" t="s">
        <v>2</v>
      </c>
      <c r="B18" s="2"/>
      <c r="C18" s="11">
        <f>+$B$14</f>
        <v>125000</v>
      </c>
      <c r="D18" s="11">
        <f>+C18*1.02</f>
        <v>127500</v>
      </c>
      <c r="E18" s="11">
        <f aca="true" t="shared" si="1" ref="E18:Q18">+D18*1.02</f>
        <v>130050</v>
      </c>
      <c r="F18" s="11">
        <f t="shared" si="1"/>
        <v>132651</v>
      </c>
      <c r="G18" s="11">
        <f t="shared" si="1"/>
        <v>135304.02</v>
      </c>
      <c r="H18" s="11">
        <f t="shared" si="1"/>
        <v>138010.1004</v>
      </c>
      <c r="I18" s="11">
        <f t="shared" si="1"/>
        <v>140770.302408</v>
      </c>
      <c r="J18" s="11">
        <f t="shared" si="1"/>
        <v>143585.70845615998</v>
      </c>
      <c r="K18" s="11">
        <f t="shared" si="1"/>
        <v>146457.4226252832</v>
      </c>
      <c r="L18" s="11">
        <f t="shared" si="1"/>
        <v>149386.57107778886</v>
      </c>
      <c r="M18" s="11">
        <f t="shared" si="1"/>
        <v>152374.30249934463</v>
      </c>
      <c r="N18" s="11">
        <f t="shared" si="1"/>
        <v>155421.7885493315</v>
      </c>
      <c r="O18" s="11">
        <f t="shared" si="1"/>
        <v>158530.22432031814</v>
      </c>
      <c r="P18" s="11">
        <f t="shared" si="1"/>
        <v>161700.82880672452</v>
      </c>
      <c r="Q18" s="11">
        <f t="shared" si="1"/>
        <v>164934.845382859</v>
      </c>
    </row>
    <row r="19" spans="1:17" ht="12.75">
      <c r="A19" s="31"/>
      <c r="B19" s="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ht="15.75">
      <c r="A20" s="32" t="s">
        <v>30</v>
      </c>
    </row>
    <row r="21" spans="1:6" ht="12.75">
      <c r="A21" s="30" t="s">
        <v>3</v>
      </c>
      <c r="B21" s="53">
        <f>+'Gastos operativos'!F29</f>
        <v>125520</v>
      </c>
      <c r="C21" s="27"/>
      <c r="D21" s="27"/>
      <c r="E21" s="27"/>
      <c r="F21" s="26"/>
    </row>
    <row r="22" spans="1:6" ht="12.75">
      <c r="A22" s="1"/>
      <c r="B22" s="52"/>
      <c r="C22" s="1"/>
      <c r="D22" s="1"/>
      <c r="E22" s="1"/>
      <c r="F22" s="1"/>
    </row>
    <row r="23" spans="1:5" ht="12.75">
      <c r="A23" s="23" t="s">
        <v>32</v>
      </c>
      <c r="B23" s="23"/>
      <c r="C23" s="1"/>
      <c r="D23" s="1"/>
      <c r="E23" s="1"/>
    </row>
    <row r="24" spans="1:17" ht="12.75">
      <c r="A24" s="28" t="s">
        <v>24</v>
      </c>
      <c r="B24" s="3">
        <v>0</v>
      </c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">
        <v>10</v>
      </c>
      <c r="M24" s="3">
        <v>11</v>
      </c>
      <c r="N24" s="3">
        <v>12</v>
      </c>
      <c r="O24" s="3">
        <v>13</v>
      </c>
      <c r="P24" s="3">
        <v>14</v>
      </c>
      <c r="Q24" s="3">
        <v>15</v>
      </c>
    </row>
    <row r="25" spans="1:17" ht="12.75">
      <c r="A25" s="29" t="s">
        <v>31</v>
      </c>
      <c r="B25" s="2"/>
      <c r="C25" s="11">
        <f>+B21</f>
        <v>125520</v>
      </c>
      <c r="D25" s="11">
        <f>C25*1.02</f>
        <v>128030.40000000001</v>
      </c>
      <c r="E25" s="11">
        <f aca="true" t="shared" si="2" ref="E25:Q25">D25*1.02</f>
        <v>130591.00800000002</v>
      </c>
      <c r="F25" s="11">
        <f t="shared" si="2"/>
        <v>133202.82816</v>
      </c>
      <c r="G25" s="11">
        <f t="shared" si="2"/>
        <v>135866.8847232</v>
      </c>
      <c r="H25" s="11">
        <f t="shared" si="2"/>
        <v>138584.222417664</v>
      </c>
      <c r="I25" s="11">
        <f t="shared" si="2"/>
        <v>141355.90686601726</v>
      </c>
      <c r="J25" s="11">
        <f t="shared" si="2"/>
        <v>144183.02500333762</v>
      </c>
      <c r="K25" s="11">
        <f t="shared" si="2"/>
        <v>147066.68550340438</v>
      </c>
      <c r="L25" s="11">
        <f t="shared" si="2"/>
        <v>150008.01921347246</v>
      </c>
      <c r="M25" s="11">
        <f t="shared" si="2"/>
        <v>153008.17959774192</v>
      </c>
      <c r="N25" s="11">
        <f t="shared" si="2"/>
        <v>156068.34318969675</v>
      </c>
      <c r="O25" s="11">
        <f t="shared" si="2"/>
        <v>159189.71005349068</v>
      </c>
      <c r="P25" s="11">
        <f t="shared" si="2"/>
        <v>162373.50425456048</v>
      </c>
      <c r="Q25" s="11">
        <f t="shared" si="2"/>
        <v>165620.9743396517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I38"/>
  <sheetViews>
    <sheetView zoomScale="80" zoomScaleNormal="80" workbookViewId="0" topLeftCell="A1">
      <selection activeCell="G31" sqref="G31:I38"/>
    </sheetView>
  </sheetViews>
  <sheetFormatPr defaultColWidth="11.421875" defaultRowHeight="12.75"/>
  <cols>
    <col min="1" max="1" width="11.421875" style="61" customWidth="1"/>
    <col min="2" max="2" width="22.8515625" style="61" customWidth="1"/>
    <col min="3" max="3" width="9.8515625" style="61" bestFit="1" customWidth="1"/>
    <col min="4" max="4" width="10.00390625" style="61" customWidth="1"/>
    <col min="5" max="5" width="15.140625" style="61" customWidth="1"/>
    <col min="6" max="6" width="15.421875" style="61" customWidth="1"/>
    <col min="7" max="7" width="11.421875" style="61" customWidth="1"/>
    <col min="8" max="8" width="21.00390625" style="61" bestFit="1" customWidth="1"/>
    <col min="9" max="9" width="37.57421875" style="61" customWidth="1"/>
    <col min="10" max="16384" width="11.421875" style="61" customWidth="1"/>
  </cols>
  <sheetData>
    <row r="3" ht="15.75" thickBot="1"/>
    <row r="4" spans="2:6" ht="15.75">
      <c r="B4" s="404" t="s">
        <v>208</v>
      </c>
      <c r="C4" s="405"/>
      <c r="D4" s="405"/>
      <c r="E4" s="405"/>
      <c r="F4" s="406"/>
    </row>
    <row r="5" spans="2:6" ht="29.25" customHeight="1">
      <c r="B5" s="325"/>
      <c r="C5" s="326" t="s">
        <v>12</v>
      </c>
      <c r="D5" s="326" t="s">
        <v>209</v>
      </c>
      <c r="E5" s="326" t="s">
        <v>210</v>
      </c>
      <c r="F5" s="327" t="s">
        <v>100</v>
      </c>
    </row>
    <row r="6" spans="2:6" ht="15">
      <c r="B6" s="347" t="s">
        <v>314</v>
      </c>
      <c r="C6" s="328"/>
      <c r="D6" s="328"/>
      <c r="E6" s="328"/>
      <c r="F6" s="329"/>
    </row>
    <row r="7" spans="2:6" ht="15">
      <c r="B7" s="306" t="s">
        <v>211</v>
      </c>
      <c r="C7" s="328">
        <v>2</v>
      </c>
      <c r="D7" s="330">
        <v>300</v>
      </c>
      <c r="E7" s="330">
        <f>+C7*D7</f>
        <v>600</v>
      </c>
      <c r="F7" s="331">
        <f>+E7*12</f>
        <v>7200</v>
      </c>
    </row>
    <row r="8" spans="2:6" ht="15">
      <c r="B8" s="306" t="s">
        <v>212</v>
      </c>
      <c r="C8" s="328">
        <v>22</v>
      </c>
      <c r="D8" s="330">
        <v>200</v>
      </c>
      <c r="E8" s="330">
        <f>+C8*D8</f>
        <v>4400</v>
      </c>
      <c r="F8" s="331">
        <f>+E8*12</f>
        <v>52800</v>
      </c>
    </row>
    <row r="9" spans="2:6" ht="15">
      <c r="B9" s="306" t="s">
        <v>213</v>
      </c>
      <c r="C9" s="328">
        <v>4</v>
      </c>
      <c r="D9" s="330">
        <v>200</v>
      </c>
      <c r="E9" s="330">
        <f>+C9*D9</f>
        <v>800</v>
      </c>
      <c r="F9" s="331">
        <f>+E9*12</f>
        <v>9600</v>
      </c>
    </row>
    <row r="10" spans="2:6" ht="15.75" thickBot="1">
      <c r="B10" s="332" t="s">
        <v>214</v>
      </c>
      <c r="C10" s="328"/>
      <c r="D10" s="330"/>
      <c r="E10" s="333">
        <f>SUM(E8:E9)</f>
        <v>5200</v>
      </c>
      <c r="F10" s="334">
        <f>SUM(F8:F9)</f>
        <v>62400</v>
      </c>
    </row>
    <row r="11" spans="2:6" ht="15.75" thickTop="1">
      <c r="B11" s="325"/>
      <c r="C11" s="326"/>
      <c r="D11" s="326"/>
      <c r="E11" s="326"/>
      <c r="F11" s="327"/>
    </row>
    <row r="12" spans="2:6" ht="15">
      <c r="B12" s="347" t="s">
        <v>312</v>
      </c>
      <c r="C12" s="328"/>
      <c r="D12" s="328"/>
      <c r="E12" s="328"/>
      <c r="F12" s="329"/>
    </row>
    <row r="13" spans="2:6" ht="15">
      <c r="B13" s="306" t="s">
        <v>215</v>
      </c>
      <c r="C13" s="328">
        <v>6</v>
      </c>
      <c r="D13" s="330">
        <v>150</v>
      </c>
      <c r="E13" s="330">
        <f>+C13*D13</f>
        <v>900</v>
      </c>
      <c r="F13" s="331">
        <f>+E13*12</f>
        <v>10800</v>
      </c>
    </row>
    <row r="14" spans="2:6" ht="15">
      <c r="B14" s="306" t="s">
        <v>216</v>
      </c>
      <c r="C14" s="328">
        <v>1</v>
      </c>
      <c r="D14" s="330">
        <v>200</v>
      </c>
      <c r="E14" s="330">
        <f>+C14*D14</f>
        <v>200</v>
      </c>
      <c r="F14" s="331">
        <f>+E14*12</f>
        <v>2400</v>
      </c>
    </row>
    <row r="15" spans="2:6" ht="15">
      <c r="B15" s="306" t="s">
        <v>217</v>
      </c>
      <c r="C15" s="328">
        <v>2</v>
      </c>
      <c r="D15" s="330">
        <v>150</v>
      </c>
      <c r="E15" s="330">
        <f>+C15*D15</f>
        <v>300</v>
      </c>
      <c r="F15" s="331">
        <f>+E15*12</f>
        <v>3600</v>
      </c>
    </row>
    <row r="16" spans="2:6" ht="15.75" thickBot="1">
      <c r="B16" s="332" t="s">
        <v>214</v>
      </c>
      <c r="C16" s="328"/>
      <c r="D16" s="330"/>
      <c r="E16" s="333">
        <f>SUM(E13:E15)</f>
        <v>1400</v>
      </c>
      <c r="F16" s="334">
        <f>SUM(F13:F15)</f>
        <v>16800</v>
      </c>
    </row>
    <row r="17" spans="2:6" ht="15.75" thickTop="1">
      <c r="B17" s="335"/>
      <c r="C17" s="336"/>
      <c r="D17" s="337"/>
      <c r="E17" s="338"/>
      <c r="F17" s="339"/>
    </row>
    <row r="18" spans="2:6" ht="15">
      <c r="B18" s="347" t="s">
        <v>313</v>
      </c>
      <c r="C18" s="328"/>
      <c r="D18" s="330"/>
      <c r="E18" s="330"/>
      <c r="F18" s="331"/>
    </row>
    <row r="19" spans="2:6" ht="15">
      <c r="B19" s="306" t="s">
        <v>218</v>
      </c>
      <c r="C19" s="328">
        <v>1</v>
      </c>
      <c r="D19" s="330">
        <v>800</v>
      </c>
      <c r="E19" s="330">
        <f aca="true" t="shared" si="0" ref="E19:E26">+C19*D19</f>
        <v>800</v>
      </c>
      <c r="F19" s="331">
        <f aca="true" t="shared" si="1" ref="F19:F26">+E19*12</f>
        <v>9600</v>
      </c>
    </row>
    <row r="20" spans="2:6" ht="15">
      <c r="B20" s="306" t="s">
        <v>219</v>
      </c>
      <c r="C20" s="328">
        <v>1</v>
      </c>
      <c r="D20" s="330">
        <v>600</v>
      </c>
      <c r="E20" s="330">
        <f t="shared" si="0"/>
        <v>600</v>
      </c>
      <c r="F20" s="331">
        <f t="shared" si="1"/>
        <v>7200</v>
      </c>
    </row>
    <row r="21" spans="2:6" ht="15">
      <c r="B21" s="306" t="s">
        <v>220</v>
      </c>
      <c r="C21" s="328">
        <v>1</v>
      </c>
      <c r="D21" s="330">
        <v>600</v>
      </c>
      <c r="E21" s="330">
        <f t="shared" si="0"/>
        <v>600</v>
      </c>
      <c r="F21" s="331">
        <f t="shared" si="1"/>
        <v>7200</v>
      </c>
    </row>
    <row r="22" spans="2:6" ht="15">
      <c r="B22" s="306" t="s">
        <v>221</v>
      </c>
      <c r="C22" s="328">
        <v>1</v>
      </c>
      <c r="D22" s="330">
        <v>450</v>
      </c>
      <c r="E22" s="330">
        <f t="shared" si="0"/>
        <v>450</v>
      </c>
      <c r="F22" s="331">
        <f t="shared" si="1"/>
        <v>5400</v>
      </c>
    </row>
    <row r="23" spans="2:6" ht="15">
      <c r="B23" s="306" t="s">
        <v>222</v>
      </c>
      <c r="C23" s="328">
        <v>1</v>
      </c>
      <c r="D23" s="330">
        <v>450</v>
      </c>
      <c r="E23" s="330">
        <f t="shared" si="0"/>
        <v>450</v>
      </c>
      <c r="F23" s="331">
        <f t="shared" si="1"/>
        <v>5400</v>
      </c>
    </row>
    <row r="24" spans="2:6" ht="15">
      <c r="B24" s="306" t="s">
        <v>223</v>
      </c>
      <c r="C24" s="328">
        <v>1</v>
      </c>
      <c r="D24" s="330">
        <v>410</v>
      </c>
      <c r="E24" s="330">
        <f t="shared" si="0"/>
        <v>410</v>
      </c>
      <c r="F24" s="331">
        <f t="shared" si="1"/>
        <v>4920</v>
      </c>
    </row>
    <row r="25" spans="2:6" ht="15">
      <c r="B25" s="306" t="s">
        <v>224</v>
      </c>
      <c r="C25" s="328">
        <v>1</v>
      </c>
      <c r="D25" s="330">
        <v>250</v>
      </c>
      <c r="E25" s="330">
        <f t="shared" si="0"/>
        <v>250</v>
      </c>
      <c r="F25" s="331">
        <f t="shared" si="1"/>
        <v>3000</v>
      </c>
    </row>
    <row r="26" spans="2:6" ht="15">
      <c r="B26" s="306" t="s">
        <v>225</v>
      </c>
      <c r="C26" s="328">
        <v>1</v>
      </c>
      <c r="D26" s="330">
        <v>300</v>
      </c>
      <c r="E26" s="330">
        <f t="shared" si="0"/>
        <v>300</v>
      </c>
      <c r="F26" s="331">
        <f t="shared" si="1"/>
        <v>3600</v>
      </c>
    </row>
    <row r="27" spans="2:6" ht="15.75" thickBot="1">
      <c r="B27" s="332" t="s">
        <v>214</v>
      </c>
      <c r="C27" s="328"/>
      <c r="D27" s="330"/>
      <c r="E27" s="333">
        <f>SUM(E19:E26)</f>
        <v>3860</v>
      </c>
      <c r="F27" s="334">
        <f>SUM(F19:F26)</f>
        <v>46320</v>
      </c>
    </row>
    <row r="28" spans="2:6" ht="16.5" thickTop="1">
      <c r="B28" s="340"/>
      <c r="C28" s="341"/>
      <c r="D28" s="342"/>
      <c r="E28" s="343"/>
      <c r="F28" s="344"/>
    </row>
    <row r="29" spans="2:6" ht="16.5" thickBot="1">
      <c r="B29" s="401" t="s">
        <v>117</v>
      </c>
      <c r="C29" s="402"/>
      <c r="D29" s="403"/>
      <c r="E29" s="345">
        <f>+E27+E16+E10</f>
        <v>10460</v>
      </c>
      <c r="F29" s="346">
        <f>+F16+F27+F10</f>
        <v>125520</v>
      </c>
    </row>
    <row r="30" ht="15.75" thickBot="1"/>
    <row r="31" spans="7:9" ht="16.5" thickBot="1">
      <c r="G31" s="357" t="s">
        <v>12</v>
      </c>
      <c r="H31" s="358" t="s">
        <v>226</v>
      </c>
      <c r="I31" s="359" t="s">
        <v>227</v>
      </c>
    </row>
    <row r="32" spans="7:9" ht="30">
      <c r="G32" s="348">
        <v>1</v>
      </c>
      <c r="H32" s="349" t="s">
        <v>110</v>
      </c>
      <c r="I32" s="350" t="s">
        <v>228</v>
      </c>
    </row>
    <row r="33" spans="7:9" ht="15">
      <c r="G33" s="351">
        <v>1</v>
      </c>
      <c r="H33" s="352" t="s">
        <v>229</v>
      </c>
      <c r="I33" s="353" t="s">
        <v>230</v>
      </c>
    </row>
    <row r="34" spans="7:9" ht="15">
      <c r="G34" s="351">
        <v>1</v>
      </c>
      <c r="H34" s="352" t="s">
        <v>18</v>
      </c>
      <c r="I34" s="353" t="s">
        <v>231</v>
      </c>
    </row>
    <row r="35" spans="7:9" ht="30">
      <c r="G35" s="351">
        <v>1</v>
      </c>
      <c r="H35" s="352" t="s">
        <v>232</v>
      </c>
      <c r="I35" s="353" t="s">
        <v>233</v>
      </c>
    </row>
    <row r="36" spans="7:9" ht="15">
      <c r="G36" s="351">
        <v>1</v>
      </c>
      <c r="H36" s="352" t="s">
        <v>234</v>
      </c>
      <c r="I36" s="353" t="s">
        <v>235</v>
      </c>
    </row>
    <row r="37" spans="7:9" ht="15">
      <c r="G37" s="351">
        <v>3</v>
      </c>
      <c r="H37" s="352" t="s">
        <v>236</v>
      </c>
      <c r="I37" s="353" t="s">
        <v>237</v>
      </c>
    </row>
    <row r="38" spans="7:9" ht="15.75" thickBot="1">
      <c r="G38" s="354">
        <v>10</v>
      </c>
      <c r="H38" s="355" t="s">
        <v>238</v>
      </c>
      <c r="I38" s="356" t="s">
        <v>237</v>
      </c>
    </row>
  </sheetData>
  <mergeCells count="2">
    <mergeCell ref="B29:D29"/>
    <mergeCell ref="B4:F4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A12" sqref="A12:A15"/>
    </sheetView>
  </sheetViews>
  <sheetFormatPr defaultColWidth="11.421875" defaultRowHeight="12.75"/>
  <cols>
    <col min="1" max="1" width="24.8515625" style="0" customWidth="1"/>
    <col min="2" max="2" width="17.7109375" style="0" bestFit="1" customWidth="1"/>
    <col min="4" max="4" width="24.140625" style="0" bestFit="1" customWidth="1"/>
    <col min="5" max="5" width="16.00390625" style="0" bestFit="1" customWidth="1"/>
  </cols>
  <sheetData>
    <row r="1" ht="13.5" thickBot="1"/>
    <row r="2" spans="1:2" ht="16.5" thickBot="1">
      <c r="A2" s="72" t="s">
        <v>61</v>
      </c>
      <c r="B2" s="73" t="s">
        <v>123</v>
      </c>
    </row>
    <row r="3" spans="1:2" ht="15.75">
      <c r="A3" s="107" t="s">
        <v>107</v>
      </c>
      <c r="B3" s="103">
        <v>5194</v>
      </c>
    </row>
    <row r="4" spans="1:2" ht="31.5">
      <c r="A4" s="108" t="s">
        <v>103</v>
      </c>
      <c r="B4" s="104">
        <v>280000</v>
      </c>
    </row>
    <row r="5" spans="1:2" ht="15.75">
      <c r="A5" s="108" t="s">
        <v>104</v>
      </c>
      <c r="B5" s="104">
        <v>58530</v>
      </c>
    </row>
    <row r="6" spans="1:2" ht="32.25" thickBot="1">
      <c r="A6" s="109" t="s">
        <v>118</v>
      </c>
      <c r="B6" s="105">
        <v>22397.64</v>
      </c>
    </row>
    <row r="7" spans="1:3" ht="18">
      <c r="A7" s="61"/>
      <c r="B7" s="106">
        <f>SUM(B3:B6)</f>
        <v>366121.64</v>
      </c>
      <c r="C7" s="16" t="e">
        <f>+B7-#REF!</f>
        <v>#REF!</v>
      </c>
    </row>
    <row r="10" ht="13.5" thickBot="1"/>
    <row r="11" spans="1:2" ht="32.25" thickBot="1">
      <c r="A11" s="72" t="s">
        <v>125</v>
      </c>
      <c r="B11" s="72" t="s">
        <v>123</v>
      </c>
    </row>
    <row r="12" spans="1:2" ht="15.75">
      <c r="A12" s="122" t="s">
        <v>126</v>
      </c>
      <c r="B12" s="126">
        <v>2500</v>
      </c>
    </row>
    <row r="13" spans="1:2" ht="15.75">
      <c r="A13" s="123" t="s">
        <v>56</v>
      </c>
      <c r="B13" s="127">
        <v>1000</v>
      </c>
    </row>
    <row r="14" spans="1:2" ht="15.75">
      <c r="A14" s="123" t="s">
        <v>52</v>
      </c>
      <c r="B14" s="127">
        <v>15000</v>
      </c>
    </row>
    <row r="15" spans="1:2" ht="16.5" thickBot="1">
      <c r="A15" s="124" t="s">
        <v>53</v>
      </c>
      <c r="B15" s="128">
        <v>5000</v>
      </c>
    </row>
    <row r="16" spans="1:2" ht="18">
      <c r="A16" s="125"/>
      <c r="B16" s="106">
        <f>SUM(B12:B15)</f>
        <v>23500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06"/>
  <sheetViews>
    <sheetView workbookViewId="0" topLeftCell="A73">
      <selection activeCell="B103" sqref="B103:D106"/>
    </sheetView>
  </sheetViews>
  <sheetFormatPr defaultColWidth="11.421875" defaultRowHeight="12.75"/>
  <cols>
    <col min="2" max="2" width="24.421875" style="0" bestFit="1" customWidth="1"/>
    <col min="3" max="3" width="15.57421875" style="0" customWidth="1"/>
    <col min="4" max="4" width="10.8515625" style="0" customWidth="1"/>
    <col min="5" max="5" width="12.57421875" style="0" bestFit="1" customWidth="1"/>
    <col min="6" max="6" width="13.8515625" style="0" bestFit="1" customWidth="1"/>
  </cols>
  <sheetData>
    <row r="1" ht="13.5" thickBot="1"/>
    <row r="2" spans="2:6" ht="32.25" thickBot="1">
      <c r="B2" s="129" t="s">
        <v>127</v>
      </c>
      <c r="C2" s="129" t="s">
        <v>128</v>
      </c>
      <c r="D2" s="130" t="s">
        <v>12</v>
      </c>
      <c r="E2" s="130" t="s">
        <v>129</v>
      </c>
      <c r="F2" s="131" t="s">
        <v>130</v>
      </c>
    </row>
    <row r="3" spans="2:6" ht="13.5" thickBot="1">
      <c r="B3" s="407" t="s">
        <v>131</v>
      </c>
      <c r="C3" s="408"/>
      <c r="D3" s="408"/>
      <c r="E3" s="408"/>
      <c r="F3" s="409"/>
    </row>
    <row r="4" spans="2:6" ht="33.75">
      <c r="B4" s="132" t="s">
        <v>132</v>
      </c>
      <c r="C4" s="133" t="s">
        <v>133</v>
      </c>
      <c r="D4" s="134">
        <v>1</v>
      </c>
      <c r="E4" s="135">
        <v>2500</v>
      </c>
      <c r="F4" s="136">
        <f>+D4*E4</f>
        <v>2500</v>
      </c>
    </row>
    <row r="5" spans="2:6" ht="22.5">
      <c r="B5" s="137" t="s">
        <v>134</v>
      </c>
      <c r="C5" s="138" t="s">
        <v>135</v>
      </c>
      <c r="D5" s="139">
        <v>1</v>
      </c>
      <c r="E5" s="140">
        <v>1900</v>
      </c>
      <c r="F5" s="141">
        <f>+D5*E5</f>
        <v>1900</v>
      </c>
    </row>
    <row r="6" spans="2:6" ht="12.75">
      <c r="B6" s="137" t="s">
        <v>136</v>
      </c>
      <c r="C6" s="138" t="s">
        <v>137</v>
      </c>
      <c r="D6" s="139">
        <v>1</v>
      </c>
      <c r="E6" s="140">
        <v>4200</v>
      </c>
      <c r="F6" s="141">
        <f>+D6*E6</f>
        <v>4200</v>
      </c>
    </row>
    <row r="7" spans="2:6" ht="33.75">
      <c r="B7" s="137" t="s">
        <v>138</v>
      </c>
      <c r="C7" s="138" t="s">
        <v>139</v>
      </c>
      <c r="D7" s="139">
        <v>1</v>
      </c>
      <c r="E7" s="140">
        <v>960</v>
      </c>
      <c r="F7" s="141">
        <f>+D7*E7</f>
        <v>960</v>
      </c>
    </row>
    <row r="8" spans="2:6" ht="13.5" thickBot="1">
      <c r="B8" s="142"/>
      <c r="C8" s="143"/>
      <c r="D8" s="144"/>
      <c r="E8" s="145" t="s">
        <v>117</v>
      </c>
      <c r="F8" s="146">
        <f>SUM(F4:F7)</f>
        <v>9560</v>
      </c>
    </row>
    <row r="9" spans="2:6" ht="14.25" thickBot="1" thickTop="1">
      <c r="B9" s="142"/>
      <c r="C9" s="143"/>
      <c r="D9" s="147"/>
      <c r="E9" s="147"/>
      <c r="F9" s="148"/>
    </row>
    <row r="10" spans="2:6" ht="13.5" thickBot="1">
      <c r="B10" s="407" t="s">
        <v>140</v>
      </c>
      <c r="C10" s="408"/>
      <c r="D10" s="408"/>
      <c r="E10" s="408"/>
      <c r="F10" s="409"/>
    </row>
    <row r="11" spans="2:6" ht="12.75">
      <c r="B11" s="149" t="s">
        <v>134</v>
      </c>
      <c r="C11" s="134" t="s">
        <v>141</v>
      </c>
      <c r="D11" s="134">
        <v>1</v>
      </c>
      <c r="E11" s="135">
        <v>129.1</v>
      </c>
      <c r="F11" s="136">
        <f aca="true" t="shared" si="0" ref="F11:F16">+D11*E11</f>
        <v>129.1</v>
      </c>
    </row>
    <row r="12" spans="2:6" ht="12.75">
      <c r="B12" s="150" t="s">
        <v>142</v>
      </c>
      <c r="C12" s="139" t="s">
        <v>143</v>
      </c>
      <c r="D12" s="139">
        <v>1</v>
      </c>
      <c r="E12" s="140">
        <v>1200</v>
      </c>
      <c r="F12" s="141">
        <f t="shared" si="0"/>
        <v>1200</v>
      </c>
    </row>
    <row r="13" spans="2:6" ht="12.75">
      <c r="B13" s="150" t="s">
        <v>144</v>
      </c>
      <c r="C13" s="139" t="s">
        <v>145</v>
      </c>
      <c r="D13" s="139">
        <v>1</v>
      </c>
      <c r="E13" s="140">
        <v>800</v>
      </c>
      <c r="F13" s="141">
        <f t="shared" si="0"/>
        <v>800</v>
      </c>
    </row>
    <row r="14" spans="2:6" ht="12.75">
      <c r="B14" s="150" t="s">
        <v>146</v>
      </c>
      <c r="C14" s="139" t="s">
        <v>147</v>
      </c>
      <c r="D14" s="139">
        <v>1</v>
      </c>
      <c r="E14" s="140">
        <v>640</v>
      </c>
      <c r="F14" s="141">
        <f t="shared" si="0"/>
        <v>640</v>
      </c>
    </row>
    <row r="15" spans="2:6" ht="12.75">
      <c r="B15" s="150" t="s">
        <v>148</v>
      </c>
      <c r="C15" s="139" t="s">
        <v>149</v>
      </c>
      <c r="D15" s="139">
        <v>1</v>
      </c>
      <c r="E15" s="140">
        <v>1291</v>
      </c>
      <c r="F15" s="141">
        <f t="shared" si="0"/>
        <v>1291</v>
      </c>
    </row>
    <row r="16" spans="2:6" ht="12.75">
      <c r="B16" s="150" t="s">
        <v>150</v>
      </c>
      <c r="C16" s="139" t="s">
        <v>151</v>
      </c>
      <c r="D16" s="139">
        <v>1</v>
      </c>
      <c r="E16" s="140">
        <v>500</v>
      </c>
      <c r="F16" s="141">
        <f t="shared" si="0"/>
        <v>500</v>
      </c>
    </row>
    <row r="17" spans="2:6" ht="13.5" thickBot="1">
      <c r="B17" s="142"/>
      <c r="C17" s="143"/>
      <c r="D17" s="144"/>
      <c r="E17" s="145" t="s">
        <v>117</v>
      </c>
      <c r="F17" s="151">
        <f>SUM(F11:F16)</f>
        <v>4560.1</v>
      </c>
    </row>
    <row r="18" spans="2:6" ht="14.25" thickBot="1" thickTop="1">
      <c r="B18" s="142"/>
      <c r="C18" s="143"/>
      <c r="D18" s="147"/>
      <c r="E18" s="152"/>
      <c r="F18" s="153"/>
    </row>
    <row r="19" spans="2:6" ht="13.5" thickBot="1">
      <c r="B19" s="407" t="s">
        <v>152</v>
      </c>
      <c r="C19" s="408"/>
      <c r="D19" s="408"/>
      <c r="E19" s="408"/>
      <c r="F19" s="409"/>
    </row>
    <row r="20" spans="2:6" ht="22.5">
      <c r="B20" s="410" t="s">
        <v>153</v>
      </c>
      <c r="C20" s="154" t="s">
        <v>154</v>
      </c>
      <c r="D20" s="134">
        <v>1</v>
      </c>
      <c r="E20" s="135">
        <v>1300</v>
      </c>
      <c r="F20" s="136">
        <f aca="true" t="shared" si="1" ref="F20:F47">+D20*E20</f>
        <v>1300</v>
      </c>
    </row>
    <row r="21" spans="2:6" ht="33.75">
      <c r="B21" s="411"/>
      <c r="C21" s="155" t="s">
        <v>155</v>
      </c>
      <c r="D21" s="139">
        <v>1</v>
      </c>
      <c r="E21" s="140">
        <v>1300</v>
      </c>
      <c r="F21" s="141">
        <f t="shared" si="1"/>
        <v>1300</v>
      </c>
    </row>
    <row r="22" spans="2:6" ht="12.75">
      <c r="B22" s="411"/>
      <c r="C22" s="155" t="s">
        <v>156</v>
      </c>
      <c r="D22" s="139">
        <v>1</v>
      </c>
      <c r="E22" s="140">
        <v>2917.9410000000003</v>
      </c>
      <c r="F22" s="141">
        <f t="shared" si="1"/>
        <v>2917.9410000000003</v>
      </c>
    </row>
    <row r="23" spans="2:6" ht="12.75">
      <c r="B23" s="411"/>
      <c r="C23" s="155" t="s">
        <v>157</v>
      </c>
      <c r="D23" s="139">
        <v>1</v>
      </c>
      <c r="E23" s="140">
        <v>325</v>
      </c>
      <c r="F23" s="141">
        <f t="shared" si="1"/>
        <v>325</v>
      </c>
    </row>
    <row r="24" spans="2:6" ht="12.75">
      <c r="B24" s="411"/>
      <c r="C24" s="155" t="s">
        <v>158</v>
      </c>
      <c r="D24" s="139">
        <v>1</v>
      </c>
      <c r="E24" s="140">
        <v>80</v>
      </c>
      <c r="F24" s="141">
        <f t="shared" si="1"/>
        <v>80</v>
      </c>
    </row>
    <row r="25" spans="2:6" ht="12.75">
      <c r="B25" s="411" t="s">
        <v>159</v>
      </c>
      <c r="C25" s="155" t="s">
        <v>160</v>
      </c>
      <c r="D25" s="139">
        <v>1</v>
      </c>
      <c r="E25" s="140">
        <v>170</v>
      </c>
      <c r="F25" s="141">
        <f t="shared" si="1"/>
        <v>170</v>
      </c>
    </row>
    <row r="26" spans="2:6" ht="22.5">
      <c r="B26" s="411"/>
      <c r="C26" s="155" t="s">
        <v>161</v>
      </c>
      <c r="D26" s="139">
        <v>1</v>
      </c>
      <c r="E26" s="140">
        <v>200</v>
      </c>
      <c r="F26" s="141">
        <f t="shared" si="1"/>
        <v>200</v>
      </c>
    </row>
    <row r="27" spans="2:6" ht="12.75">
      <c r="B27" s="411"/>
      <c r="C27" s="155" t="s">
        <v>162</v>
      </c>
      <c r="D27" s="139">
        <v>1</v>
      </c>
      <c r="E27" s="140">
        <v>150</v>
      </c>
      <c r="F27" s="141">
        <f t="shared" si="1"/>
        <v>150</v>
      </c>
    </row>
    <row r="28" spans="2:6" ht="56.25">
      <c r="B28" s="411"/>
      <c r="C28" s="155" t="s">
        <v>163</v>
      </c>
      <c r="D28" s="139">
        <v>1</v>
      </c>
      <c r="E28" s="140">
        <v>2000</v>
      </c>
      <c r="F28" s="141">
        <f t="shared" si="1"/>
        <v>2000</v>
      </c>
    </row>
    <row r="29" spans="2:6" ht="56.25">
      <c r="B29" s="411"/>
      <c r="C29" s="155" t="s">
        <v>164</v>
      </c>
      <c r="D29" s="139">
        <v>1</v>
      </c>
      <c r="E29" s="140">
        <v>2000</v>
      </c>
      <c r="F29" s="141">
        <f t="shared" si="1"/>
        <v>2000</v>
      </c>
    </row>
    <row r="30" spans="2:6" ht="56.25">
      <c r="B30" s="411"/>
      <c r="C30" s="155" t="s">
        <v>165</v>
      </c>
      <c r="D30" s="139">
        <v>1</v>
      </c>
      <c r="E30" s="140">
        <v>2000</v>
      </c>
      <c r="F30" s="141">
        <f t="shared" si="1"/>
        <v>2000</v>
      </c>
    </row>
    <row r="31" spans="2:6" ht="22.5">
      <c r="B31" s="411"/>
      <c r="C31" s="155" t="s">
        <v>166</v>
      </c>
      <c r="D31" s="139">
        <v>1</v>
      </c>
      <c r="E31" s="140">
        <v>1300</v>
      </c>
      <c r="F31" s="141">
        <f t="shared" si="1"/>
        <v>1300</v>
      </c>
    </row>
    <row r="32" spans="2:6" ht="12.75">
      <c r="B32" s="411" t="s">
        <v>167</v>
      </c>
      <c r="C32" s="155" t="s">
        <v>168</v>
      </c>
      <c r="D32" s="139">
        <v>1</v>
      </c>
      <c r="E32" s="140">
        <v>170</v>
      </c>
      <c r="F32" s="141">
        <f t="shared" si="1"/>
        <v>170</v>
      </c>
    </row>
    <row r="33" spans="2:6" ht="12.75">
      <c r="B33" s="411"/>
      <c r="C33" s="155" t="s">
        <v>169</v>
      </c>
      <c r="D33" s="139">
        <v>1</v>
      </c>
      <c r="E33" s="140">
        <v>1000</v>
      </c>
      <c r="F33" s="141">
        <f t="shared" si="1"/>
        <v>1000</v>
      </c>
    </row>
    <row r="34" spans="2:6" ht="22.5">
      <c r="B34" s="411"/>
      <c r="C34" s="155" t="s">
        <v>170</v>
      </c>
      <c r="D34" s="139">
        <v>1</v>
      </c>
      <c r="E34" s="140">
        <v>1000</v>
      </c>
      <c r="F34" s="141">
        <f t="shared" si="1"/>
        <v>1000</v>
      </c>
    </row>
    <row r="35" spans="2:6" ht="33.75">
      <c r="B35" s="411" t="s">
        <v>171</v>
      </c>
      <c r="C35" s="155" t="s">
        <v>172</v>
      </c>
      <c r="D35" s="139">
        <v>1</v>
      </c>
      <c r="E35" s="140">
        <v>1300</v>
      </c>
      <c r="F35" s="141">
        <f t="shared" si="1"/>
        <v>1300</v>
      </c>
    </row>
    <row r="36" spans="2:6" ht="33.75">
      <c r="B36" s="411"/>
      <c r="C36" s="155" t="s">
        <v>173</v>
      </c>
      <c r="D36" s="139">
        <v>1</v>
      </c>
      <c r="E36" s="140">
        <v>29659.77</v>
      </c>
      <c r="F36" s="141">
        <f t="shared" si="1"/>
        <v>29659.77</v>
      </c>
    </row>
    <row r="37" spans="2:6" ht="12.75">
      <c r="B37" s="411" t="s">
        <v>174</v>
      </c>
      <c r="C37" s="138" t="s">
        <v>175</v>
      </c>
      <c r="D37" s="139">
        <v>1</v>
      </c>
      <c r="E37" s="140">
        <v>1300</v>
      </c>
      <c r="F37" s="141">
        <f t="shared" si="1"/>
        <v>1300</v>
      </c>
    </row>
    <row r="38" spans="2:6" ht="33.75">
      <c r="B38" s="411"/>
      <c r="C38" s="138" t="s">
        <v>176</v>
      </c>
      <c r="D38" s="139">
        <v>1</v>
      </c>
      <c r="E38" s="140">
        <v>2236.56</v>
      </c>
      <c r="F38" s="141">
        <f t="shared" si="1"/>
        <v>2236.56</v>
      </c>
    </row>
    <row r="39" spans="2:6" ht="45">
      <c r="B39" s="411"/>
      <c r="C39" s="138" t="s">
        <v>177</v>
      </c>
      <c r="D39" s="139">
        <v>1</v>
      </c>
      <c r="E39" s="140">
        <v>2253.63</v>
      </c>
      <c r="F39" s="141">
        <f t="shared" si="1"/>
        <v>2253.63</v>
      </c>
    </row>
    <row r="40" spans="2:6" ht="22.5">
      <c r="B40" s="411"/>
      <c r="C40" s="138" t="s">
        <v>178</v>
      </c>
      <c r="D40" s="139">
        <v>1</v>
      </c>
      <c r="E40" s="140">
        <v>2540</v>
      </c>
      <c r="F40" s="141">
        <f t="shared" si="1"/>
        <v>2540</v>
      </c>
    </row>
    <row r="41" spans="2:6" ht="22.5">
      <c r="B41" s="411" t="s">
        <v>179</v>
      </c>
      <c r="C41" s="138" t="s">
        <v>180</v>
      </c>
      <c r="D41" s="139">
        <v>1</v>
      </c>
      <c r="E41" s="140">
        <v>2000</v>
      </c>
      <c r="F41" s="141">
        <f t="shared" si="1"/>
        <v>2000</v>
      </c>
    </row>
    <row r="42" spans="2:6" ht="12.75">
      <c r="B42" s="411"/>
      <c r="C42" s="138" t="s">
        <v>181</v>
      </c>
      <c r="D42" s="139">
        <v>1</v>
      </c>
      <c r="E42" s="140">
        <v>3286.06</v>
      </c>
      <c r="F42" s="141">
        <f t="shared" si="1"/>
        <v>3286.06</v>
      </c>
    </row>
    <row r="43" spans="2:6" ht="12.75">
      <c r="B43" s="411"/>
      <c r="C43" s="138" t="s">
        <v>160</v>
      </c>
      <c r="D43" s="139">
        <v>1</v>
      </c>
      <c r="E43" s="140">
        <v>1700</v>
      </c>
      <c r="F43" s="141">
        <f t="shared" si="1"/>
        <v>1700</v>
      </c>
    </row>
    <row r="44" spans="2:6" ht="12.75">
      <c r="B44" s="411"/>
      <c r="C44" s="138" t="s">
        <v>182</v>
      </c>
      <c r="D44" s="139">
        <v>1</v>
      </c>
      <c r="E44" s="140">
        <v>3210.68</v>
      </c>
      <c r="F44" s="141">
        <f t="shared" si="1"/>
        <v>3210.68</v>
      </c>
    </row>
    <row r="45" spans="2:6" ht="22.5">
      <c r="B45" s="411"/>
      <c r="C45" s="138" t="s">
        <v>183</v>
      </c>
      <c r="D45" s="139">
        <v>1</v>
      </c>
      <c r="E45" s="140">
        <v>3000</v>
      </c>
      <c r="F45" s="141">
        <f t="shared" si="1"/>
        <v>3000</v>
      </c>
    </row>
    <row r="46" spans="2:6" ht="12.75">
      <c r="B46" s="150" t="s">
        <v>148</v>
      </c>
      <c r="C46" s="138" t="s">
        <v>184</v>
      </c>
      <c r="D46" s="139">
        <v>1</v>
      </c>
      <c r="E46" s="140">
        <v>1291</v>
      </c>
      <c r="F46" s="141">
        <f t="shared" si="1"/>
        <v>1291</v>
      </c>
    </row>
    <row r="47" spans="2:6" ht="33.75">
      <c r="B47" s="150" t="s">
        <v>150</v>
      </c>
      <c r="C47" s="138" t="s">
        <v>185</v>
      </c>
      <c r="D47" s="139">
        <v>1</v>
      </c>
      <c r="E47" s="140">
        <v>500</v>
      </c>
      <c r="F47" s="141">
        <f t="shared" si="1"/>
        <v>500</v>
      </c>
    </row>
    <row r="48" spans="2:6" ht="13.5" thickBot="1">
      <c r="B48" s="142"/>
      <c r="C48" s="143"/>
      <c r="D48" s="144"/>
      <c r="E48" s="145" t="s">
        <v>117</v>
      </c>
      <c r="F48" s="146">
        <f>SUM(F20:F47)</f>
        <v>70190.64099999999</v>
      </c>
    </row>
    <row r="49" spans="2:6" ht="14.25" thickBot="1" thickTop="1">
      <c r="B49" s="142"/>
      <c r="C49" s="143"/>
      <c r="D49" s="147"/>
      <c r="E49" s="147"/>
      <c r="F49" s="148"/>
    </row>
    <row r="50" spans="2:6" ht="13.5" thickBot="1">
      <c r="B50" s="407" t="s">
        <v>186</v>
      </c>
      <c r="C50" s="408"/>
      <c r="D50" s="408"/>
      <c r="E50" s="408"/>
      <c r="F50" s="409"/>
    </row>
    <row r="51" spans="2:6" ht="22.5">
      <c r="B51" s="149" t="s">
        <v>134</v>
      </c>
      <c r="C51" s="133" t="s">
        <v>135</v>
      </c>
      <c r="D51" s="134">
        <v>1</v>
      </c>
      <c r="E51" s="135">
        <v>500</v>
      </c>
      <c r="F51" s="136">
        <f aca="true" t="shared" si="2" ref="F51:F57">+D51*E51</f>
        <v>500</v>
      </c>
    </row>
    <row r="52" spans="2:6" ht="22.5">
      <c r="B52" s="150" t="s">
        <v>187</v>
      </c>
      <c r="C52" s="138" t="s">
        <v>188</v>
      </c>
      <c r="D52" s="139">
        <v>1</v>
      </c>
      <c r="E52" s="140">
        <v>14800</v>
      </c>
      <c r="F52" s="141">
        <f t="shared" si="2"/>
        <v>14800</v>
      </c>
    </row>
    <row r="53" spans="2:6" ht="12.75">
      <c r="B53" s="150" t="s">
        <v>189</v>
      </c>
      <c r="C53" s="138" t="s">
        <v>190</v>
      </c>
      <c r="D53" s="139">
        <v>1</v>
      </c>
      <c r="E53" s="140">
        <v>12333.333333333334</v>
      </c>
      <c r="F53" s="141">
        <f t="shared" si="2"/>
        <v>12333.333333333334</v>
      </c>
    </row>
    <row r="54" spans="2:6" ht="12.75">
      <c r="B54" s="150" t="s">
        <v>191</v>
      </c>
      <c r="C54" s="138" t="s">
        <v>192</v>
      </c>
      <c r="D54" s="139">
        <v>1</v>
      </c>
      <c r="E54" s="140">
        <v>1060</v>
      </c>
      <c r="F54" s="141">
        <f t="shared" si="2"/>
        <v>1060</v>
      </c>
    </row>
    <row r="55" spans="2:6" ht="33.75">
      <c r="B55" s="150" t="s">
        <v>193</v>
      </c>
      <c r="C55" s="138" t="s">
        <v>194</v>
      </c>
      <c r="D55" s="139">
        <v>1</v>
      </c>
      <c r="E55" s="140">
        <v>25000</v>
      </c>
      <c r="F55" s="141">
        <f t="shared" si="2"/>
        <v>25000</v>
      </c>
    </row>
    <row r="56" spans="2:6" ht="12.75">
      <c r="B56" s="150" t="s">
        <v>148</v>
      </c>
      <c r="C56" s="138" t="s">
        <v>195</v>
      </c>
      <c r="D56" s="139">
        <v>1</v>
      </c>
      <c r="E56" s="140">
        <v>1291</v>
      </c>
      <c r="F56" s="141">
        <f t="shared" si="2"/>
        <v>1291</v>
      </c>
    </row>
    <row r="57" spans="2:6" ht="33.75">
      <c r="B57" s="150" t="s">
        <v>150</v>
      </c>
      <c r="C57" s="138" t="s">
        <v>151</v>
      </c>
      <c r="D57" s="139">
        <v>1</v>
      </c>
      <c r="E57" s="140">
        <v>500</v>
      </c>
      <c r="F57" s="141">
        <f t="shared" si="2"/>
        <v>500</v>
      </c>
    </row>
    <row r="58" spans="2:6" ht="13.5" thickBot="1">
      <c r="B58" s="142"/>
      <c r="C58" s="143"/>
      <c r="D58" s="147"/>
      <c r="E58" s="145" t="s">
        <v>117</v>
      </c>
      <c r="F58" s="146">
        <f>SUM(F52:F57)</f>
        <v>54984.333333333336</v>
      </c>
    </row>
    <row r="59" spans="2:6" ht="13.5" thickTop="1">
      <c r="B59" s="142"/>
      <c r="C59" s="143"/>
      <c r="D59" s="143"/>
      <c r="E59" s="143"/>
      <c r="F59" s="156"/>
    </row>
    <row r="60" spans="2:6" ht="16.5" thickBot="1">
      <c r="B60" s="412" t="s">
        <v>196</v>
      </c>
      <c r="C60" s="413"/>
      <c r="D60" s="413"/>
      <c r="E60" s="414"/>
      <c r="F60" s="157">
        <f>+F8+F58+F48+F17</f>
        <v>139295.07433333332</v>
      </c>
    </row>
    <row r="61" ht="13.5" thickTop="1">
      <c r="G61" s="7"/>
    </row>
    <row r="62" ht="13.5" thickBot="1"/>
    <row r="63" spans="2:5" ht="13.5" thickBot="1">
      <c r="B63" s="415" t="s">
        <v>242</v>
      </c>
      <c r="C63" s="416"/>
      <c r="D63" s="416"/>
      <c r="E63" s="417"/>
    </row>
    <row r="64" spans="2:5" ht="12.75">
      <c r="B64" s="316" t="s">
        <v>243</v>
      </c>
      <c r="C64" s="317">
        <v>6</v>
      </c>
      <c r="D64" s="318">
        <v>0</v>
      </c>
      <c r="E64" s="319">
        <f>+C64*D64</f>
        <v>0</v>
      </c>
    </row>
    <row r="65" spans="2:5" ht="12.75">
      <c r="B65" s="316" t="s">
        <v>244</v>
      </c>
      <c r="C65" s="317">
        <v>1</v>
      </c>
      <c r="D65" s="318">
        <v>8000</v>
      </c>
      <c r="E65" s="319">
        <f>+C65*D65</f>
        <v>8000</v>
      </c>
    </row>
    <row r="66" spans="2:5" ht="16.5" thickBot="1">
      <c r="B66" s="418" t="s">
        <v>245</v>
      </c>
      <c r="C66" s="419"/>
      <c r="D66" s="419"/>
      <c r="E66" s="320">
        <f>SUM(E65:E65)</f>
        <v>8000</v>
      </c>
    </row>
    <row r="67" spans="2:5" ht="14.25" thickBot="1" thickTop="1">
      <c r="B67" s="316"/>
      <c r="C67" s="317"/>
      <c r="D67" s="317"/>
      <c r="E67" s="321"/>
    </row>
    <row r="68" spans="2:5" ht="13.5" thickBot="1">
      <c r="B68" s="415" t="s">
        <v>246</v>
      </c>
      <c r="C68" s="416"/>
      <c r="D68" s="416"/>
      <c r="E68" s="417"/>
    </row>
    <row r="69" spans="2:5" ht="16.5" thickBot="1">
      <c r="B69" s="418" t="s">
        <v>247</v>
      </c>
      <c r="C69" s="419">
        <v>1</v>
      </c>
      <c r="D69" s="419">
        <v>30000</v>
      </c>
      <c r="E69" s="320">
        <v>20000</v>
      </c>
    </row>
    <row r="70" spans="2:5" ht="14.25" thickBot="1" thickTop="1">
      <c r="B70" s="316"/>
      <c r="C70" s="317"/>
      <c r="D70" s="317"/>
      <c r="E70" s="321"/>
    </row>
    <row r="71" spans="2:5" ht="13.5" thickBot="1">
      <c r="B71" s="415" t="s">
        <v>248</v>
      </c>
      <c r="C71" s="416"/>
      <c r="D71" s="416"/>
      <c r="E71" s="417"/>
    </row>
    <row r="72" spans="2:5" ht="16.5" thickBot="1">
      <c r="B72" s="418" t="s">
        <v>249</v>
      </c>
      <c r="C72" s="419"/>
      <c r="D72" s="419"/>
      <c r="E72" s="320">
        <v>44000</v>
      </c>
    </row>
    <row r="73" spans="2:5" ht="14.25" thickBot="1" thickTop="1">
      <c r="B73" s="316"/>
      <c r="C73" s="317"/>
      <c r="D73" s="317"/>
      <c r="E73" s="321"/>
    </row>
    <row r="74" spans="2:5" ht="13.5" thickBot="1">
      <c r="B74" s="415" t="s">
        <v>250</v>
      </c>
      <c r="C74" s="416"/>
      <c r="D74" s="416"/>
      <c r="E74" s="417"/>
    </row>
    <row r="75" spans="2:5" ht="12.75">
      <c r="B75" s="316" t="s">
        <v>251</v>
      </c>
      <c r="C75" s="317">
        <v>1</v>
      </c>
      <c r="D75" s="318">
        <v>5000</v>
      </c>
      <c r="E75" s="319">
        <f aca="true" t="shared" si="3" ref="E75:E87">+C75*D75</f>
        <v>5000</v>
      </c>
    </row>
    <row r="76" spans="2:5" ht="12.75">
      <c r="B76" s="316" t="s">
        <v>108</v>
      </c>
      <c r="C76" s="317">
        <v>9</v>
      </c>
      <c r="D76" s="318">
        <v>50</v>
      </c>
      <c r="E76" s="319">
        <f t="shared" si="3"/>
        <v>450</v>
      </c>
    </row>
    <row r="77" spans="2:5" ht="12.75">
      <c r="B77" s="316" t="s">
        <v>252</v>
      </c>
      <c r="C77" s="317">
        <v>9</v>
      </c>
      <c r="D77" s="318">
        <v>650</v>
      </c>
      <c r="E77" s="319">
        <f t="shared" si="3"/>
        <v>5850</v>
      </c>
    </row>
    <row r="78" spans="2:5" ht="12.75">
      <c r="B78" s="316" t="s">
        <v>253</v>
      </c>
      <c r="C78" s="317">
        <v>10</v>
      </c>
      <c r="D78" s="318">
        <v>87</v>
      </c>
      <c r="E78" s="319">
        <f t="shared" si="3"/>
        <v>870</v>
      </c>
    </row>
    <row r="79" spans="2:5" ht="12.75">
      <c r="B79" s="316" t="s">
        <v>109</v>
      </c>
      <c r="C79" s="317">
        <v>1</v>
      </c>
      <c r="D79" s="318">
        <v>200</v>
      </c>
      <c r="E79" s="319">
        <f t="shared" si="3"/>
        <v>200</v>
      </c>
    </row>
    <row r="80" spans="2:5" ht="12.75">
      <c r="B80" s="316" t="s">
        <v>254</v>
      </c>
      <c r="C80" s="317">
        <v>1</v>
      </c>
      <c r="D80" s="318">
        <v>320</v>
      </c>
      <c r="E80" s="319">
        <f t="shared" si="3"/>
        <v>320</v>
      </c>
    </row>
    <row r="81" spans="2:5" ht="12.75">
      <c r="B81" s="316" t="s">
        <v>255</v>
      </c>
      <c r="C81" s="317">
        <v>12</v>
      </c>
      <c r="D81" s="318">
        <v>20</v>
      </c>
      <c r="E81" s="319">
        <f t="shared" si="3"/>
        <v>240</v>
      </c>
    </row>
    <row r="82" spans="2:5" ht="12.75">
      <c r="B82" s="316" t="s">
        <v>256</v>
      </c>
      <c r="C82" s="317">
        <v>1</v>
      </c>
      <c r="D82" s="318">
        <v>160</v>
      </c>
      <c r="E82" s="319">
        <f t="shared" si="3"/>
        <v>160</v>
      </c>
    </row>
    <row r="83" spans="2:5" ht="12.75">
      <c r="B83" s="316" t="s">
        <v>257</v>
      </c>
      <c r="C83" s="317">
        <v>1</v>
      </c>
      <c r="D83" s="318">
        <v>160</v>
      </c>
      <c r="E83" s="319">
        <f t="shared" si="3"/>
        <v>160</v>
      </c>
    </row>
    <row r="84" spans="2:5" ht="12.75">
      <c r="B84" s="316" t="s">
        <v>258</v>
      </c>
      <c r="C84" s="317">
        <v>2</v>
      </c>
      <c r="D84" s="318">
        <v>120</v>
      </c>
      <c r="E84" s="319">
        <f t="shared" si="3"/>
        <v>240</v>
      </c>
    </row>
    <row r="85" spans="2:5" ht="12.75">
      <c r="B85" s="316" t="s">
        <v>259</v>
      </c>
      <c r="C85" s="317">
        <v>1</v>
      </c>
      <c r="D85" s="318">
        <v>30</v>
      </c>
      <c r="E85" s="319">
        <f t="shared" si="3"/>
        <v>30</v>
      </c>
    </row>
    <row r="86" spans="2:5" ht="12.75">
      <c r="B86" s="316" t="s">
        <v>260</v>
      </c>
      <c r="C86" s="317">
        <v>15</v>
      </c>
      <c r="D86" s="318">
        <v>30</v>
      </c>
      <c r="E86" s="319">
        <f t="shared" si="3"/>
        <v>450</v>
      </c>
    </row>
    <row r="87" spans="2:5" ht="12.75">
      <c r="B87" s="316" t="s">
        <v>261</v>
      </c>
      <c r="C87" s="317">
        <v>10</v>
      </c>
      <c r="D87" s="318">
        <v>60</v>
      </c>
      <c r="E87" s="319">
        <f t="shared" si="3"/>
        <v>600</v>
      </c>
    </row>
    <row r="88" spans="2:5" ht="16.5" thickBot="1">
      <c r="B88" s="418" t="s">
        <v>262</v>
      </c>
      <c r="C88" s="419"/>
      <c r="D88" s="419"/>
      <c r="E88" s="320">
        <f>SUM(E75:E87)</f>
        <v>14570</v>
      </c>
    </row>
    <row r="89" spans="2:5" ht="13.5" thickTop="1">
      <c r="B89" s="316"/>
      <c r="C89" s="317"/>
      <c r="D89" s="318"/>
      <c r="E89" s="319"/>
    </row>
    <row r="90" spans="2:5" ht="16.5" thickBot="1">
      <c r="B90" s="420" t="s">
        <v>263</v>
      </c>
      <c r="C90" s="421"/>
      <c r="D90" s="421"/>
      <c r="E90" s="320">
        <v>3000</v>
      </c>
    </row>
    <row r="91" spans="2:5" ht="14.25" thickBot="1" thickTop="1">
      <c r="B91" s="322"/>
      <c r="C91" s="323"/>
      <c r="D91" s="323"/>
      <c r="E91" s="324"/>
    </row>
    <row r="92" spans="2:5" ht="12.75">
      <c r="B92" s="144"/>
      <c r="C92" s="144"/>
      <c r="D92" s="144"/>
      <c r="E92" s="144"/>
    </row>
    <row r="93" spans="2:5" ht="13.5" thickBot="1">
      <c r="B93" s="189"/>
      <c r="C93" s="144"/>
      <c r="D93" s="144"/>
      <c r="E93" s="144"/>
    </row>
    <row r="94" spans="2:5" ht="16.5" thickBot="1">
      <c r="B94" s="301" t="s">
        <v>264</v>
      </c>
      <c r="C94" s="302" t="s">
        <v>265</v>
      </c>
      <c r="D94" s="302" t="s">
        <v>323</v>
      </c>
      <c r="E94" s="190"/>
    </row>
    <row r="95" spans="2:5" ht="12.75">
      <c r="B95" s="303" t="s">
        <v>266</v>
      </c>
      <c r="C95" s="304">
        <f>+F60</f>
        <v>139295.07433333332</v>
      </c>
      <c r="D95" s="305">
        <f aca="true" t="shared" si="4" ref="D95:D100">+C95/$C$101</f>
        <v>0.6086340379330021</v>
      </c>
      <c r="E95" s="190"/>
    </row>
    <row r="96" spans="2:5" ht="12.75">
      <c r="B96" s="306" t="s">
        <v>105</v>
      </c>
      <c r="C96" s="307">
        <f>+E72</f>
        <v>44000</v>
      </c>
      <c r="D96" s="308">
        <f t="shared" si="4"/>
        <v>0.19225301251476956</v>
      </c>
      <c r="E96" s="144"/>
    </row>
    <row r="97" spans="2:5" ht="12.75">
      <c r="B97" s="306" t="s">
        <v>267</v>
      </c>
      <c r="C97" s="307">
        <f>+E69</f>
        <v>20000</v>
      </c>
      <c r="D97" s="308">
        <f t="shared" si="4"/>
        <v>0.0873877329612589</v>
      </c>
      <c r="E97" s="144"/>
    </row>
    <row r="98" spans="2:5" ht="12.75">
      <c r="B98" s="306" t="s">
        <v>268</v>
      </c>
      <c r="C98" s="307">
        <f>+E88</f>
        <v>14570</v>
      </c>
      <c r="D98" s="308">
        <f t="shared" si="4"/>
        <v>0.06366196346227711</v>
      </c>
      <c r="E98" s="144"/>
    </row>
    <row r="99" spans="2:5" ht="12.75">
      <c r="B99" s="306" t="s">
        <v>269</v>
      </c>
      <c r="C99" s="307">
        <f>+E66</f>
        <v>8000</v>
      </c>
      <c r="D99" s="308">
        <f t="shared" si="4"/>
        <v>0.03495509318450356</v>
      </c>
      <c r="E99" s="144"/>
    </row>
    <row r="100" spans="2:5" ht="13.5" thickBot="1">
      <c r="B100" s="306" t="s">
        <v>270</v>
      </c>
      <c r="C100" s="309">
        <f>+E90</f>
        <v>3000</v>
      </c>
      <c r="D100" s="310">
        <f t="shared" si="4"/>
        <v>0.013108159944188834</v>
      </c>
      <c r="E100" s="144"/>
    </row>
    <row r="101" spans="2:5" ht="16.5" thickBot="1">
      <c r="B101" s="313" t="s">
        <v>271</v>
      </c>
      <c r="C101" s="314">
        <f>SUM(C95:C100)</f>
        <v>228865.07433333332</v>
      </c>
      <c r="D101" s="315">
        <f>SUM(D95:D100)</f>
        <v>1</v>
      </c>
      <c r="E101" s="144"/>
    </row>
    <row r="102" spans="2:5" ht="13.5" thickBot="1">
      <c r="B102" s="144"/>
      <c r="C102" s="144"/>
      <c r="D102" s="144"/>
      <c r="E102" s="144"/>
    </row>
    <row r="103" spans="2:5" ht="16.5" thickBot="1">
      <c r="B103" s="366" t="s">
        <v>62</v>
      </c>
      <c r="C103" s="367" t="s">
        <v>265</v>
      </c>
      <c r="D103" s="359" t="s">
        <v>323</v>
      </c>
      <c r="E103" s="144"/>
    </row>
    <row r="104" spans="2:5" ht="12.75">
      <c r="B104" s="360" t="s">
        <v>272</v>
      </c>
      <c r="C104" s="361">
        <f>+C101</f>
        <v>228865.07433333332</v>
      </c>
      <c r="D104" s="305">
        <f>+C104/$C$106</f>
        <v>0.9891945661755405</v>
      </c>
      <c r="E104" s="144"/>
    </row>
    <row r="105" spans="2:5" ht="13.5" thickBot="1">
      <c r="B105" s="362" t="s">
        <v>273</v>
      </c>
      <c r="C105" s="363">
        <v>2500</v>
      </c>
      <c r="D105" s="310">
        <f>+C105/$C$106</f>
        <v>0.01080543382445956</v>
      </c>
      <c r="E105" s="144"/>
    </row>
    <row r="106" spans="2:5" ht="16.5" thickBot="1">
      <c r="B106" s="313" t="s">
        <v>117</v>
      </c>
      <c r="C106" s="364">
        <f>SUM(C104:C105)</f>
        <v>231365.07433333332</v>
      </c>
      <c r="D106" s="365">
        <f>SUM(D104:D105)</f>
        <v>1</v>
      </c>
      <c r="E106" s="144"/>
    </row>
  </sheetData>
  <mergeCells count="20">
    <mergeCell ref="B90:D90"/>
    <mergeCell ref="B71:E71"/>
    <mergeCell ref="B72:D72"/>
    <mergeCell ref="B74:E74"/>
    <mergeCell ref="B88:D88"/>
    <mergeCell ref="B63:E63"/>
    <mergeCell ref="B66:D66"/>
    <mergeCell ref="B68:E68"/>
    <mergeCell ref="B69:D69"/>
    <mergeCell ref="B41:B45"/>
    <mergeCell ref="B50:F50"/>
    <mergeCell ref="B60:E60"/>
    <mergeCell ref="B25:B31"/>
    <mergeCell ref="B32:B34"/>
    <mergeCell ref="B35:B36"/>
    <mergeCell ref="B37:B40"/>
    <mergeCell ref="B3:F3"/>
    <mergeCell ref="B10:F10"/>
    <mergeCell ref="B19:F19"/>
    <mergeCell ref="B20:B24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workbookViewId="0" topLeftCell="A1">
      <selection activeCell="L20" sqref="L20"/>
    </sheetView>
  </sheetViews>
  <sheetFormatPr defaultColWidth="11.421875" defaultRowHeight="12.75"/>
  <cols>
    <col min="1" max="1" width="2.57421875" style="61" bestFit="1" customWidth="1"/>
    <col min="2" max="2" width="33.7109375" style="61" bestFit="1" customWidth="1"/>
    <col min="3" max="3" width="12.28125" style="61" bestFit="1" customWidth="1"/>
    <col min="4" max="4" width="9.421875" style="61" bestFit="1" customWidth="1"/>
    <col min="5" max="5" width="10.421875" style="61" bestFit="1" customWidth="1"/>
    <col min="6" max="6" width="9.140625" style="61" bestFit="1" customWidth="1"/>
    <col min="7" max="7" width="11.7109375" style="61" bestFit="1" customWidth="1"/>
    <col min="8" max="8" width="14.00390625" style="61" bestFit="1" customWidth="1"/>
    <col min="9" max="9" width="10.421875" style="61" bestFit="1" customWidth="1"/>
    <col min="10" max="10" width="16.8515625" style="61" bestFit="1" customWidth="1"/>
    <col min="11" max="11" width="15.140625" style="61" bestFit="1" customWidth="1"/>
    <col min="12" max="12" width="15.00390625" style="61" bestFit="1" customWidth="1"/>
    <col min="13" max="13" width="11.421875" style="61" customWidth="1"/>
    <col min="14" max="14" width="6.140625" style="61" bestFit="1" customWidth="1"/>
    <col min="15" max="15" width="7.28125" style="61" customWidth="1"/>
    <col min="16" max="16" width="19.8515625" style="61" bestFit="1" customWidth="1"/>
    <col min="17" max="16384" width="11.421875" style="61" customWidth="1"/>
  </cols>
  <sheetData>
    <row r="1" spans="1:12" ht="16.5" thickBot="1">
      <c r="A1" s="422" t="s">
        <v>121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</row>
    <row r="2" spans="1:12" s="81" customFormat="1" ht="32.25" thickBot="1">
      <c r="A2" s="79" t="s">
        <v>80</v>
      </c>
      <c r="B2" s="79" t="s">
        <v>81</v>
      </c>
      <c r="C2" s="80" t="s">
        <v>92</v>
      </c>
      <c r="D2" s="63" t="s">
        <v>93</v>
      </c>
      <c r="E2" s="62" t="s">
        <v>94</v>
      </c>
      <c r="F2" s="79" t="s">
        <v>95</v>
      </c>
      <c r="G2" s="79" t="s">
        <v>96</v>
      </c>
      <c r="H2" s="80" t="s">
        <v>97</v>
      </c>
      <c r="I2" s="63" t="s">
        <v>98</v>
      </c>
      <c r="J2" s="62" t="s">
        <v>99</v>
      </c>
      <c r="K2" s="79" t="s">
        <v>101</v>
      </c>
      <c r="L2" s="79" t="s">
        <v>100</v>
      </c>
    </row>
    <row r="3" spans="1:12" s="86" customFormat="1" ht="15">
      <c r="A3" s="82">
        <v>2</v>
      </c>
      <c r="B3" s="83" t="s">
        <v>82</v>
      </c>
      <c r="C3" s="84">
        <v>200</v>
      </c>
      <c r="D3" s="84">
        <v>16</v>
      </c>
      <c r="E3" s="84">
        <f>+C3*0.0833333</f>
        <v>16.66666</v>
      </c>
      <c r="F3" s="84">
        <v>10.16</v>
      </c>
      <c r="G3" s="84">
        <f>+E3</f>
        <v>16.66666</v>
      </c>
      <c r="H3" s="84">
        <f>+G3/2</f>
        <v>8.33333</v>
      </c>
      <c r="I3" s="84">
        <f>+C3*0.1215</f>
        <v>24.3</v>
      </c>
      <c r="J3" s="84">
        <f>SUM(C3:I3)</f>
        <v>292.12665</v>
      </c>
      <c r="K3" s="84">
        <f>+J3*A3</f>
        <v>584.2533</v>
      </c>
      <c r="L3" s="85">
        <f>+K3*12</f>
        <v>7011.0396</v>
      </c>
    </row>
    <row r="4" spans="1:12" s="86" customFormat="1" ht="15">
      <c r="A4" s="87">
        <v>2</v>
      </c>
      <c r="B4" s="88" t="s">
        <v>114</v>
      </c>
      <c r="C4" s="89">
        <v>200</v>
      </c>
      <c r="D4" s="90">
        <v>16</v>
      </c>
      <c r="E4" s="89">
        <f aca="true" t="shared" si="0" ref="E4:E18">+C4*0.0833333</f>
        <v>16.66666</v>
      </c>
      <c r="F4" s="89">
        <v>10.16</v>
      </c>
      <c r="G4" s="89">
        <f aca="true" t="shared" si="1" ref="G4:G15">+E4</f>
        <v>16.66666</v>
      </c>
      <c r="H4" s="89">
        <f aca="true" t="shared" si="2" ref="H4:H12">+G4/2</f>
        <v>8.33333</v>
      </c>
      <c r="I4" s="89">
        <f aca="true" t="shared" si="3" ref="I4:I10">+C4*0.1215</f>
        <v>24.3</v>
      </c>
      <c r="J4" s="89">
        <f aca="true" t="shared" si="4" ref="J4:J10">SUM(C4:I4)</f>
        <v>292.12665</v>
      </c>
      <c r="K4" s="89">
        <f aca="true" t="shared" si="5" ref="K4:K11">+J4*A4</f>
        <v>584.2533</v>
      </c>
      <c r="L4" s="91">
        <f aca="true" t="shared" si="6" ref="L4:L11">+K4*12</f>
        <v>7011.0396</v>
      </c>
    </row>
    <row r="5" spans="1:12" s="86" customFormat="1" ht="15">
      <c r="A5" s="87">
        <v>4</v>
      </c>
      <c r="B5" s="92" t="s">
        <v>83</v>
      </c>
      <c r="C5" s="90">
        <v>200</v>
      </c>
      <c r="D5" s="90">
        <v>16</v>
      </c>
      <c r="E5" s="90">
        <f t="shared" si="0"/>
        <v>16.66666</v>
      </c>
      <c r="F5" s="90">
        <v>10.16</v>
      </c>
      <c r="G5" s="90">
        <f t="shared" si="1"/>
        <v>16.66666</v>
      </c>
      <c r="H5" s="90">
        <f t="shared" si="2"/>
        <v>8.33333</v>
      </c>
      <c r="I5" s="90">
        <f t="shared" si="3"/>
        <v>24.3</v>
      </c>
      <c r="J5" s="90">
        <f t="shared" si="4"/>
        <v>292.12665</v>
      </c>
      <c r="K5" s="90">
        <f t="shared" si="5"/>
        <v>1168.5066</v>
      </c>
      <c r="L5" s="93">
        <f t="shared" si="6"/>
        <v>14022.0792</v>
      </c>
    </row>
    <row r="6" spans="1:12" s="86" customFormat="1" ht="15">
      <c r="A6" s="87">
        <v>2</v>
      </c>
      <c r="B6" s="92" t="s">
        <v>84</v>
      </c>
      <c r="C6" s="90">
        <v>200</v>
      </c>
      <c r="D6" s="90">
        <v>16</v>
      </c>
      <c r="E6" s="90">
        <f t="shared" si="0"/>
        <v>16.66666</v>
      </c>
      <c r="F6" s="90">
        <v>10.16</v>
      </c>
      <c r="G6" s="90">
        <f t="shared" si="1"/>
        <v>16.66666</v>
      </c>
      <c r="H6" s="90">
        <f t="shared" si="2"/>
        <v>8.33333</v>
      </c>
      <c r="I6" s="90">
        <f t="shared" si="3"/>
        <v>24.3</v>
      </c>
      <c r="J6" s="90">
        <f t="shared" si="4"/>
        <v>292.12665</v>
      </c>
      <c r="K6" s="90">
        <f t="shared" si="5"/>
        <v>584.2533</v>
      </c>
      <c r="L6" s="93">
        <f t="shared" si="6"/>
        <v>7011.0396</v>
      </c>
    </row>
    <row r="7" spans="1:12" s="86" customFormat="1" ht="15">
      <c r="A7" s="87">
        <v>2</v>
      </c>
      <c r="B7" s="92" t="s">
        <v>85</v>
      </c>
      <c r="C7" s="90">
        <v>200</v>
      </c>
      <c r="D7" s="90">
        <v>16</v>
      </c>
      <c r="E7" s="90">
        <f t="shared" si="0"/>
        <v>16.66666</v>
      </c>
      <c r="F7" s="90">
        <v>10.16</v>
      </c>
      <c r="G7" s="90">
        <f t="shared" si="1"/>
        <v>16.66666</v>
      </c>
      <c r="H7" s="90">
        <f t="shared" si="2"/>
        <v>8.33333</v>
      </c>
      <c r="I7" s="90">
        <f t="shared" si="3"/>
        <v>24.3</v>
      </c>
      <c r="J7" s="90">
        <f t="shared" si="4"/>
        <v>292.12665</v>
      </c>
      <c r="K7" s="90">
        <f t="shared" si="5"/>
        <v>584.2533</v>
      </c>
      <c r="L7" s="93">
        <f t="shared" si="6"/>
        <v>7011.0396</v>
      </c>
    </row>
    <row r="8" spans="1:12" s="86" customFormat="1" ht="15">
      <c r="A8" s="87">
        <v>1</v>
      </c>
      <c r="B8" s="92" t="s">
        <v>115</v>
      </c>
      <c r="C8" s="90">
        <v>200</v>
      </c>
      <c r="D8" s="90">
        <v>16</v>
      </c>
      <c r="E8" s="90">
        <f t="shared" si="0"/>
        <v>16.66666</v>
      </c>
      <c r="F8" s="90">
        <v>10.16</v>
      </c>
      <c r="G8" s="90">
        <f t="shared" si="1"/>
        <v>16.66666</v>
      </c>
      <c r="H8" s="90">
        <f t="shared" si="2"/>
        <v>8.33333</v>
      </c>
      <c r="I8" s="90">
        <f t="shared" si="3"/>
        <v>24.3</v>
      </c>
      <c r="J8" s="90">
        <f t="shared" si="4"/>
        <v>292.12665</v>
      </c>
      <c r="K8" s="90">
        <f t="shared" si="5"/>
        <v>292.12665</v>
      </c>
      <c r="L8" s="93">
        <f t="shared" si="6"/>
        <v>3505.5198</v>
      </c>
    </row>
    <row r="9" spans="1:12" s="86" customFormat="1" ht="15">
      <c r="A9" s="87">
        <v>8</v>
      </c>
      <c r="B9" s="92" t="s">
        <v>116</v>
      </c>
      <c r="C9" s="90">
        <v>200</v>
      </c>
      <c r="D9" s="90">
        <v>16</v>
      </c>
      <c r="E9" s="90">
        <f t="shared" si="0"/>
        <v>16.66666</v>
      </c>
      <c r="F9" s="90">
        <v>10.16</v>
      </c>
      <c r="G9" s="90">
        <f t="shared" si="1"/>
        <v>16.66666</v>
      </c>
      <c r="H9" s="90">
        <f t="shared" si="2"/>
        <v>8.33333</v>
      </c>
      <c r="I9" s="90">
        <f t="shared" si="3"/>
        <v>24.3</v>
      </c>
      <c r="J9" s="90">
        <f t="shared" si="4"/>
        <v>292.12665</v>
      </c>
      <c r="K9" s="90">
        <f t="shared" si="5"/>
        <v>2337.0132</v>
      </c>
      <c r="L9" s="93">
        <f t="shared" si="6"/>
        <v>28044.1584</v>
      </c>
    </row>
    <row r="10" spans="1:12" s="86" customFormat="1" ht="15">
      <c r="A10" s="87">
        <v>1</v>
      </c>
      <c r="B10" s="92" t="s">
        <v>86</v>
      </c>
      <c r="C10" s="90">
        <v>200</v>
      </c>
      <c r="D10" s="90">
        <v>16</v>
      </c>
      <c r="E10" s="90">
        <f t="shared" si="0"/>
        <v>16.66666</v>
      </c>
      <c r="F10" s="90">
        <v>10.16</v>
      </c>
      <c r="G10" s="90">
        <f t="shared" si="1"/>
        <v>16.66666</v>
      </c>
      <c r="H10" s="90">
        <f t="shared" si="2"/>
        <v>8.33333</v>
      </c>
      <c r="I10" s="90">
        <f t="shared" si="3"/>
        <v>24.3</v>
      </c>
      <c r="J10" s="90">
        <f t="shared" si="4"/>
        <v>292.12665</v>
      </c>
      <c r="K10" s="90">
        <f t="shared" si="5"/>
        <v>292.12665</v>
      </c>
      <c r="L10" s="93">
        <f t="shared" si="6"/>
        <v>3505.5198</v>
      </c>
    </row>
    <row r="11" spans="1:12" s="86" customFormat="1" ht="15">
      <c r="A11" s="87">
        <v>2</v>
      </c>
      <c r="B11" s="92" t="s">
        <v>87</v>
      </c>
      <c r="C11" s="90">
        <v>200</v>
      </c>
      <c r="D11" s="90">
        <v>16</v>
      </c>
      <c r="E11" s="90">
        <f t="shared" si="0"/>
        <v>16.66666</v>
      </c>
      <c r="F11" s="90">
        <v>10.16</v>
      </c>
      <c r="G11" s="90">
        <f t="shared" si="1"/>
        <v>16.66666</v>
      </c>
      <c r="H11" s="90">
        <f t="shared" si="2"/>
        <v>8.33333</v>
      </c>
      <c r="I11" s="90">
        <f aca="true" t="shared" si="7" ref="I11:I18">+C11*0.1215</f>
        <v>24.3</v>
      </c>
      <c r="J11" s="90">
        <f aca="true" t="shared" si="8" ref="J11:J18">SUM(C11:I11)</f>
        <v>292.12665</v>
      </c>
      <c r="K11" s="90">
        <f t="shared" si="5"/>
        <v>584.2533</v>
      </c>
      <c r="L11" s="93">
        <f t="shared" si="6"/>
        <v>7011.0396</v>
      </c>
    </row>
    <row r="12" spans="1:12" s="86" customFormat="1" ht="15">
      <c r="A12" s="87">
        <v>2</v>
      </c>
      <c r="B12" s="92" t="s">
        <v>88</v>
      </c>
      <c r="C12" s="90">
        <v>200</v>
      </c>
      <c r="D12" s="90">
        <v>16</v>
      </c>
      <c r="E12" s="90">
        <f t="shared" si="0"/>
        <v>16.66666</v>
      </c>
      <c r="F12" s="90">
        <v>10.16</v>
      </c>
      <c r="G12" s="90">
        <f t="shared" si="1"/>
        <v>16.66666</v>
      </c>
      <c r="H12" s="90">
        <f t="shared" si="2"/>
        <v>8.33333</v>
      </c>
      <c r="I12" s="90">
        <f t="shared" si="7"/>
        <v>24.3</v>
      </c>
      <c r="J12" s="90">
        <f t="shared" si="8"/>
        <v>292.12665</v>
      </c>
      <c r="K12" s="90">
        <f aca="true" t="shared" si="9" ref="K12:K18">+J12*A12</f>
        <v>584.2533</v>
      </c>
      <c r="L12" s="93">
        <f aca="true" t="shared" si="10" ref="L12:L18">+K12*12</f>
        <v>7011.0396</v>
      </c>
    </row>
    <row r="13" spans="1:12" s="86" customFormat="1" ht="15">
      <c r="A13" s="87">
        <v>2</v>
      </c>
      <c r="B13" s="92" t="s">
        <v>89</v>
      </c>
      <c r="C13" s="90">
        <v>200</v>
      </c>
      <c r="D13" s="90">
        <v>16</v>
      </c>
      <c r="E13" s="90">
        <f t="shared" si="0"/>
        <v>16.66666</v>
      </c>
      <c r="F13" s="90">
        <v>10.16</v>
      </c>
      <c r="G13" s="90">
        <f t="shared" si="1"/>
        <v>16.66666</v>
      </c>
      <c r="H13" s="90">
        <f aca="true" t="shared" si="11" ref="H13:H18">+G13/2</f>
        <v>8.33333</v>
      </c>
      <c r="I13" s="90">
        <f t="shared" si="7"/>
        <v>24.3</v>
      </c>
      <c r="J13" s="90">
        <f t="shared" si="8"/>
        <v>292.12665</v>
      </c>
      <c r="K13" s="90">
        <f t="shared" si="9"/>
        <v>584.2533</v>
      </c>
      <c r="L13" s="93">
        <f t="shared" si="10"/>
        <v>7011.0396</v>
      </c>
    </row>
    <row r="14" spans="1:12" s="86" customFormat="1" ht="15">
      <c r="A14" s="87">
        <v>1</v>
      </c>
      <c r="B14" s="92" t="s">
        <v>102</v>
      </c>
      <c r="C14" s="90">
        <v>1500</v>
      </c>
      <c r="D14" s="90">
        <v>16</v>
      </c>
      <c r="E14" s="90">
        <f t="shared" si="0"/>
        <v>124.99995</v>
      </c>
      <c r="F14" s="90">
        <v>10.16</v>
      </c>
      <c r="G14" s="90">
        <f t="shared" si="1"/>
        <v>124.99995</v>
      </c>
      <c r="H14" s="90">
        <f t="shared" si="11"/>
        <v>62.499975</v>
      </c>
      <c r="I14" s="90">
        <f t="shared" si="7"/>
        <v>182.25</v>
      </c>
      <c r="J14" s="90">
        <f t="shared" si="8"/>
        <v>2020.9098749999998</v>
      </c>
      <c r="K14" s="90">
        <f t="shared" si="9"/>
        <v>2020.9098749999998</v>
      </c>
      <c r="L14" s="93">
        <f t="shared" si="10"/>
        <v>24250.9185</v>
      </c>
    </row>
    <row r="15" spans="1:12" s="86" customFormat="1" ht="15">
      <c r="A15" s="87">
        <v>1</v>
      </c>
      <c r="B15" s="92" t="s">
        <v>112</v>
      </c>
      <c r="C15" s="90">
        <v>1500</v>
      </c>
      <c r="D15" s="90">
        <v>16</v>
      </c>
      <c r="E15" s="90">
        <f t="shared" si="0"/>
        <v>124.99995</v>
      </c>
      <c r="F15" s="90">
        <v>10.16</v>
      </c>
      <c r="G15" s="90">
        <f t="shared" si="1"/>
        <v>124.99995</v>
      </c>
      <c r="H15" s="90">
        <f t="shared" si="11"/>
        <v>62.499975</v>
      </c>
      <c r="I15" s="90">
        <f t="shared" si="7"/>
        <v>182.25</v>
      </c>
      <c r="J15" s="90">
        <f t="shared" si="8"/>
        <v>2020.9098749999998</v>
      </c>
      <c r="K15" s="90">
        <f t="shared" si="9"/>
        <v>2020.9098749999998</v>
      </c>
      <c r="L15" s="93">
        <f t="shared" si="10"/>
        <v>24250.9185</v>
      </c>
    </row>
    <row r="16" spans="1:12" s="86" customFormat="1" ht="15">
      <c r="A16" s="87">
        <v>1</v>
      </c>
      <c r="B16" s="92" t="s">
        <v>113</v>
      </c>
      <c r="C16" s="90">
        <v>2000</v>
      </c>
      <c r="D16" s="90">
        <v>16</v>
      </c>
      <c r="E16" s="90">
        <f t="shared" si="0"/>
        <v>166.6666</v>
      </c>
      <c r="F16" s="90">
        <v>10.16</v>
      </c>
      <c r="G16" s="90">
        <f>+E16</f>
        <v>166.6666</v>
      </c>
      <c r="H16" s="90">
        <f t="shared" si="11"/>
        <v>83.3333</v>
      </c>
      <c r="I16" s="90">
        <f t="shared" si="7"/>
        <v>243</v>
      </c>
      <c r="J16" s="90">
        <f t="shared" si="8"/>
        <v>2685.8264999999997</v>
      </c>
      <c r="K16" s="90">
        <f t="shared" si="9"/>
        <v>2685.8264999999997</v>
      </c>
      <c r="L16" s="93">
        <f t="shared" si="10"/>
        <v>32229.917999999998</v>
      </c>
    </row>
    <row r="17" spans="1:12" s="86" customFormat="1" ht="15">
      <c r="A17" s="87">
        <v>3</v>
      </c>
      <c r="B17" s="92" t="s">
        <v>90</v>
      </c>
      <c r="C17" s="90">
        <v>600</v>
      </c>
      <c r="D17" s="90">
        <v>16</v>
      </c>
      <c r="E17" s="90">
        <f t="shared" si="0"/>
        <v>49.99998</v>
      </c>
      <c r="F17" s="90">
        <v>10.16</v>
      </c>
      <c r="G17" s="90">
        <f>+E17</f>
        <v>49.99998</v>
      </c>
      <c r="H17" s="90">
        <f t="shared" si="11"/>
        <v>24.99999</v>
      </c>
      <c r="I17" s="90">
        <f t="shared" si="7"/>
        <v>72.89999999999999</v>
      </c>
      <c r="J17" s="90">
        <f t="shared" si="8"/>
        <v>824.0599500000001</v>
      </c>
      <c r="K17" s="90">
        <f t="shared" si="9"/>
        <v>2472.1798500000004</v>
      </c>
      <c r="L17" s="93">
        <f t="shared" si="10"/>
        <v>29666.158200000005</v>
      </c>
    </row>
    <row r="18" spans="1:12" s="86" customFormat="1" ht="15.75" thickBot="1">
      <c r="A18" s="94">
        <v>2</v>
      </c>
      <c r="B18" s="95" t="s">
        <v>91</v>
      </c>
      <c r="C18" s="96">
        <v>250</v>
      </c>
      <c r="D18" s="96">
        <v>16</v>
      </c>
      <c r="E18" s="96">
        <f t="shared" si="0"/>
        <v>20.833325</v>
      </c>
      <c r="F18" s="96">
        <v>10.16</v>
      </c>
      <c r="G18" s="96">
        <f>+E18</f>
        <v>20.833325</v>
      </c>
      <c r="H18" s="96">
        <f t="shared" si="11"/>
        <v>10.4166625</v>
      </c>
      <c r="I18" s="96">
        <f t="shared" si="7"/>
        <v>30.375</v>
      </c>
      <c r="J18" s="96">
        <f t="shared" si="8"/>
        <v>358.6183125</v>
      </c>
      <c r="K18" s="96">
        <f t="shared" si="9"/>
        <v>717.236625</v>
      </c>
      <c r="L18" s="97">
        <f t="shared" si="10"/>
        <v>8606.8395</v>
      </c>
    </row>
    <row r="20" spans="3:12" ht="15">
      <c r="C20" s="98"/>
      <c r="D20" s="98"/>
      <c r="F20" s="98"/>
      <c r="G20" s="98"/>
      <c r="H20" s="98"/>
      <c r="I20" s="98"/>
      <c r="J20" s="99"/>
      <c r="L20" s="100">
        <f>SUM(L3:L18)</f>
        <v>217159.30710000003</v>
      </c>
    </row>
    <row r="28" ht="15">
      <c r="C28" s="100"/>
    </row>
  </sheetData>
  <mergeCells count="1">
    <mergeCell ref="A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X36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5.421875" style="61" bestFit="1" customWidth="1"/>
    <col min="2" max="2" width="76.7109375" style="61" bestFit="1" customWidth="1"/>
    <col min="3" max="4" width="16.28125" style="61" bestFit="1" customWidth="1"/>
    <col min="5" max="5" width="13.421875" style="61" bestFit="1" customWidth="1"/>
    <col min="6" max="6" width="24.57421875" style="61" bestFit="1" customWidth="1"/>
    <col min="7" max="8" width="16.28125" style="61" bestFit="1" customWidth="1"/>
    <col min="9" max="9" width="22.7109375" style="61" bestFit="1" customWidth="1"/>
    <col min="10" max="10" width="11.7109375" style="61" bestFit="1" customWidth="1"/>
    <col min="11" max="11" width="29.7109375" style="61" bestFit="1" customWidth="1"/>
    <col min="12" max="12" width="12.00390625" style="61" bestFit="1" customWidth="1"/>
    <col min="13" max="13" width="11.7109375" style="61" bestFit="1" customWidth="1"/>
    <col min="14" max="14" width="13.140625" style="61" bestFit="1" customWidth="1"/>
    <col min="15" max="16384" width="11.421875" style="61" customWidth="1"/>
  </cols>
  <sheetData>
    <row r="1" spans="10:24" ht="16.5" thickBot="1">
      <c r="J1" s="176" t="s">
        <v>122</v>
      </c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2:24" ht="32.25" thickBot="1">
      <c r="B2" s="79" t="s">
        <v>61</v>
      </c>
      <c r="C2" s="79" t="s">
        <v>62</v>
      </c>
      <c r="D2" s="79" t="s">
        <v>57</v>
      </c>
      <c r="E2" s="79" t="s">
        <v>58</v>
      </c>
      <c r="F2" s="80" t="s">
        <v>64</v>
      </c>
      <c r="G2" s="79" t="s">
        <v>59</v>
      </c>
      <c r="H2" s="79" t="s">
        <v>65</v>
      </c>
      <c r="I2" s="79" t="s">
        <v>60</v>
      </c>
      <c r="J2" s="184">
        <v>1</v>
      </c>
      <c r="K2" s="184">
        <v>2</v>
      </c>
      <c r="L2" s="184">
        <v>3</v>
      </c>
      <c r="M2" s="184">
        <v>4</v>
      </c>
      <c r="N2" s="184">
        <v>5</v>
      </c>
      <c r="O2" s="184">
        <v>6</v>
      </c>
      <c r="P2" s="184">
        <v>7</v>
      </c>
      <c r="Q2" s="184">
        <v>8</v>
      </c>
      <c r="R2" s="184">
        <v>9</v>
      </c>
      <c r="S2" s="184">
        <v>10</v>
      </c>
      <c r="T2" s="184">
        <v>11</v>
      </c>
      <c r="U2" s="184">
        <v>12</v>
      </c>
      <c r="V2" s="184">
        <v>13</v>
      </c>
      <c r="W2" s="184">
        <v>14</v>
      </c>
      <c r="X2" s="184">
        <v>15</v>
      </c>
    </row>
    <row r="3" spans="2:24" ht="15">
      <c r="B3" s="113" t="s">
        <v>63</v>
      </c>
      <c r="C3" s="110">
        <f>+MAQUINARIA!E72</f>
        <v>44000</v>
      </c>
      <c r="D3" s="64">
        <v>0.1</v>
      </c>
      <c r="E3" s="196">
        <v>60</v>
      </c>
      <c r="F3" s="197">
        <v>0.02</v>
      </c>
      <c r="G3" s="65">
        <f>+C3*D3</f>
        <v>4400</v>
      </c>
      <c r="H3" s="65">
        <f>+C3-G3</f>
        <v>39600</v>
      </c>
      <c r="I3" s="194">
        <f>+H3/E3</f>
        <v>660</v>
      </c>
      <c r="J3" s="191">
        <f>+$I3</f>
        <v>660</v>
      </c>
      <c r="K3" s="185">
        <f aca="true" t="shared" si="0" ref="K3:X3">+$I3</f>
        <v>660</v>
      </c>
      <c r="L3" s="185">
        <f t="shared" si="0"/>
        <v>660</v>
      </c>
      <c r="M3" s="185">
        <f t="shared" si="0"/>
        <v>660</v>
      </c>
      <c r="N3" s="185">
        <f t="shared" si="0"/>
        <v>660</v>
      </c>
      <c r="O3" s="185">
        <f t="shared" si="0"/>
        <v>660</v>
      </c>
      <c r="P3" s="185">
        <f t="shared" si="0"/>
        <v>660</v>
      </c>
      <c r="Q3" s="185">
        <f t="shared" si="0"/>
        <v>660</v>
      </c>
      <c r="R3" s="185">
        <f t="shared" si="0"/>
        <v>660</v>
      </c>
      <c r="S3" s="185">
        <f t="shared" si="0"/>
        <v>660</v>
      </c>
      <c r="T3" s="185">
        <f t="shared" si="0"/>
        <v>660</v>
      </c>
      <c r="U3" s="185">
        <f t="shared" si="0"/>
        <v>660</v>
      </c>
      <c r="V3" s="185">
        <f t="shared" si="0"/>
        <v>660</v>
      </c>
      <c r="W3" s="185">
        <f t="shared" si="0"/>
        <v>660</v>
      </c>
      <c r="X3" s="195">
        <f t="shared" si="0"/>
        <v>660</v>
      </c>
    </row>
    <row r="4" spans="2:24" ht="15.75" thickBot="1">
      <c r="B4" s="114" t="s">
        <v>124</v>
      </c>
      <c r="C4" s="111">
        <f>+MAQUINARIA!E88</f>
        <v>14570</v>
      </c>
      <c r="D4" s="67">
        <v>0.1</v>
      </c>
      <c r="E4" s="198">
        <v>5</v>
      </c>
      <c r="F4" s="199">
        <v>0.2</v>
      </c>
      <c r="G4" s="68">
        <f>+C4*D4</f>
        <v>1457</v>
      </c>
      <c r="H4" s="68">
        <f>+C4-G4</f>
        <v>13113</v>
      </c>
      <c r="I4" s="193">
        <f>+H4/E4</f>
        <v>2622.6</v>
      </c>
      <c r="J4" s="192">
        <f>+$I4</f>
        <v>2622.6</v>
      </c>
      <c r="K4" s="187">
        <f>+$I4</f>
        <v>2622.6</v>
      </c>
      <c r="L4" s="187">
        <f>+$I4</f>
        <v>2622.6</v>
      </c>
      <c r="M4" s="187">
        <f>+$I4</f>
        <v>2622.6</v>
      </c>
      <c r="N4" s="187">
        <f>+$I4</f>
        <v>2622.6</v>
      </c>
      <c r="O4" s="187"/>
      <c r="P4" s="187"/>
      <c r="Q4" s="187"/>
      <c r="R4" s="187"/>
      <c r="S4" s="187"/>
      <c r="T4" s="187"/>
      <c r="U4" s="187"/>
      <c r="V4" s="186"/>
      <c r="W4" s="186"/>
      <c r="X4" s="188"/>
    </row>
    <row r="5" spans="2:21" ht="15">
      <c r="B5" s="115" t="s">
        <v>158</v>
      </c>
      <c r="C5" s="112">
        <v>80</v>
      </c>
      <c r="D5" s="69">
        <v>0.1</v>
      </c>
      <c r="E5" s="61">
        <v>12</v>
      </c>
      <c r="F5" s="182">
        <f>1/E5</f>
        <v>0.08333333333333333</v>
      </c>
      <c r="G5" s="112">
        <f>+C5*D5</f>
        <v>8</v>
      </c>
      <c r="H5" s="112">
        <f>+C5-G5</f>
        <v>72</v>
      </c>
      <c r="I5" s="71">
        <f aca="true" t="shared" si="1" ref="I5:I35">+H5/E5</f>
        <v>6</v>
      </c>
      <c r="J5" s="66">
        <f>+$I5</f>
        <v>6</v>
      </c>
      <c r="K5" s="66">
        <f aca="true" t="shared" si="2" ref="K5:U5">+$I5</f>
        <v>6</v>
      </c>
      <c r="L5" s="66">
        <f t="shared" si="2"/>
        <v>6</v>
      </c>
      <c r="M5" s="66">
        <f t="shared" si="2"/>
        <v>6</v>
      </c>
      <c r="N5" s="66">
        <f t="shared" si="2"/>
        <v>6</v>
      </c>
      <c r="O5" s="66">
        <f t="shared" si="2"/>
        <v>6</v>
      </c>
      <c r="P5" s="66">
        <f t="shared" si="2"/>
        <v>6</v>
      </c>
      <c r="Q5" s="66">
        <f t="shared" si="2"/>
        <v>6</v>
      </c>
      <c r="R5" s="66">
        <f t="shared" si="2"/>
        <v>6</v>
      </c>
      <c r="S5" s="66">
        <f t="shared" si="2"/>
        <v>6</v>
      </c>
      <c r="T5" s="66">
        <f t="shared" si="2"/>
        <v>6</v>
      </c>
      <c r="U5" s="66">
        <f t="shared" si="2"/>
        <v>6</v>
      </c>
    </row>
    <row r="6" spans="2:21" ht="15">
      <c r="B6" s="115" t="s">
        <v>141</v>
      </c>
      <c r="C6" s="112">
        <v>129.1</v>
      </c>
      <c r="D6" s="69">
        <v>0.1</v>
      </c>
      <c r="E6" s="61">
        <v>12</v>
      </c>
      <c r="F6" s="182">
        <f aca="true" t="shared" si="3" ref="F6:F35">1/E6</f>
        <v>0.08333333333333333</v>
      </c>
      <c r="G6" s="112">
        <f aca="true" t="shared" si="4" ref="G6:G35">+C6*D6</f>
        <v>12.91</v>
      </c>
      <c r="H6" s="112">
        <f aca="true" t="shared" si="5" ref="H6:H35">+C6-G6</f>
        <v>116.19</v>
      </c>
      <c r="I6" s="71">
        <f t="shared" si="1"/>
        <v>9.6825</v>
      </c>
      <c r="J6" s="66">
        <f aca="true" t="shared" si="6" ref="J6:X35">+$I6</f>
        <v>9.6825</v>
      </c>
      <c r="K6" s="66">
        <f t="shared" si="6"/>
        <v>9.6825</v>
      </c>
      <c r="L6" s="66">
        <f t="shared" si="6"/>
        <v>9.6825</v>
      </c>
      <c r="M6" s="66">
        <f t="shared" si="6"/>
        <v>9.6825</v>
      </c>
      <c r="N6" s="66">
        <f t="shared" si="6"/>
        <v>9.6825</v>
      </c>
      <c r="O6" s="66">
        <f t="shared" si="6"/>
        <v>9.6825</v>
      </c>
      <c r="P6" s="66">
        <f t="shared" si="6"/>
        <v>9.6825</v>
      </c>
      <c r="Q6" s="66">
        <f t="shared" si="6"/>
        <v>9.6825</v>
      </c>
      <c r="R6" s="66">
        <f t="shared" si="6"/>
        <v>9.6825</v>
      </c>
      <c r="S6" s="66">
        <f t="shared" si="6"/>
        <v>9.6825</v>
      </c>
      <c r="T6" s="66">
        <f t="shared" si="6"/>
        <v>9.6825</v>
      </c>
      <c r="U6" s="66">
        <f t="shared" si="6"/>
        <v>9.6825</v>
      </c>
    </row>
    <row r="7" spans="2:21" ht="15">
      <c r="B7" s="115" t="s">
        <v>162</v>
      </c>
      <c r="C7" s="112">
        <v>150</v>
      </c>
      <c r="D7" s="69">
        <v>0.1</v>
      </c>
      <c r="E7" s="61">
        <v>12</v>
      </c>
      <c r="F7" s="182">
        <f t="shared" si="3"/>
        <v>0.08333333333333333</v>
      </c>
      <c r="G7" s="112">
        <f t="shared" si="4"/>
        <v>15</v>
      </c>
      <c r="H7" s="112">
        <f t="shared" si="5"/>
        <v>135</v>
      </c>
      <c r="I7" s="71">
        <f t="shared" si="1"/>
        <v>11.25</v>
      </c>
      <c r="J7" s="66">
        <f t="shared" si="6"/>
        <v>11.25</v>
      </c>
      <c r="K7" s="66">
        <f t="shared" si="6"/>
        <v>11.25</v>
      </c>
      <c r="L7" s="66">
        <f t="shared" si="6"/>
        <v>11.25</v>
      </c>
      <c r="M7" s="66">
        <f t="shared" si="6"/>
        <v>11.25</v>
      </c>
      <c r="N7" s="66">
        <f t="shared" si="6"/>
        <v>11.25</v>
      </c>
      <c r="O7" s="66">
        <f t="shared" si="6"/>
        <v>11.25</v>
      </c>
      <c r="P7" s="66">
        <f t="shared" si="6"/>
        <v>11.25</v>
      </c>
      <c r="Q7" s="66">
        <f t="shared" si="6"/>
        <v>11.25</v>
      </c>
      <c r="R7" s="66">
        <f t="shared" si="6"/>
        <v>11.25</v>
      </c>
      <c r="S7" s="66">
        <f t="shared" si="6"/>
        <v>11.25</v>
      </c>
      <c r="T7" s="66">
        <f t="shared" si="6"/>
        <v>11.25</v>
      </c>
      <c r="U7" s="66">
        <f t="shared" si="6"/>
        <v>11.25</v>
      </c>
    </row>
    <row r="8" spans="2:21" ht="15">
      <c r="B8" s="115" t="s">
        <v>147</v>
      </c>
      <c r="C8" s="112">
        <v>640</v>
      </c>
      <c r="D8" s="69">
        <v>0.1</v>
      </c>
      <c r="E8" s="61">
        <v>12</v>
      </c>
      <c r="F8" s="182">
        <f t="shared" si="3"/>
        <v>0.08333333333333333</v>
      </c>
      <c r="G8" s="112">
        <f t="shared" si="4"/>
        <v>64</v>
      </c>
      <c r="H8" s="112">
        <f t="shared" si="5"/>
        <v>576</v>
      </c>
      <c r="I8" s="71">
        <f t="shared" si="1"/>
        <v>48</v>
      </c>
      <c r="J8" s="66">
        <f t="shared" si="6"/>
        <v>48</v>
      </c>
      <c r="K8" s="66">
        <f t="shared" si="6"/>
        <v>48</v>
      </c>
      <c r="L8" s="66">
        <f t="shared" si="6"/>
        <v>48</v>
      </c>
      <c r="M8" s="66">
        <f t="shared" si="6"/>
        <v>48</v>
      </c>
      <c r="N8" s="66">
        <f t="shared" si="6"/>
        <v>48</v>
      </c>
      <c r="O8" s="66">
        <f t="shared" si="6"/>
        <v>48</v>
      </c>
      <c r="P8" s="66">
        <f t="shared" si="6"/>
        <v>48</v>
      </c>
      <c r="Q8" s="66">
        <f t="shared" si="6"/>
        <v>48</v>
      </c>
      <c r="R8" s="66">
        <f t="shared" si="6"/>
        <v>48</v>
      </c>
      <c r="S8" s="66">
        <f t="shared" si="6"/>
        <v>48</v>
      </c>
      <c r="T8" s="66">
        <f t="shared" si="6"/>
        <v>48</v>
      </c>
      <c r="U8" s="66">
        <f t="shared" si="6"/>
        <v>48</v>
      </c>
    </row>
    <row r="9" spans="2:21" ht="15">
      <c r="B9" s="115" t="s">
        <v>145</v>
      </c>
      <c r="C9" s="112">
        <v>800</v>
      </c>
      <c r="D9" s="69">
        <v>0.1</v>
      </c>
      <c r="E9" s="61">
        <v>12</v>
      </c>
      <c r="F9" s="182">
        <f t="shared" si="3"/>
        <v>0.08333333333333333</v>
      </c>
      <c r="G9" s="112">
        <f t="shared" si="4"/>
        <v>80</v>
      </c>
      <c r="H9" s="112">
        <f t="shared" si="5"/>
        <v>720</v>
      </c>
      <c r="I9" s="71">
        <f t="shared" si="1"/>
        <v>60</v>
      </c>
      <c r="J9" s="66">
        <f t="shared" si="6"/>
        <v>60</v>
      </c>
      <c r="K9" s="66">
        <f t="shared" si="6"/>
        <v>60</v>
      </c>
      <c r="L9" s="66">
        <f t="shared" si="6"/>
        <v>60</v>
      </c>
      <c r="M9" s="66">
        <f t="shared" si="6"/>
        <v>60</v>
      </c>
      <c r="N9" s="66">
        <f t="shared" si="6"/>
        <v>60</v>
      </c>
      <c r="O9" s="66">
        <f t="shared" si="6"/>
        <v>60</v>
      </c>
      <c r="P9" s="66">
        <f t="shared" si="6"/>
        <v>60</v>
      </c>
      <c r="Q9" s="66">
        <f t="shared" si="6"/>
        <v>60</v>
      </c>
      <c r="R9" s="66">
        <f t="shared" si="6"/>
        <v>60</v>
      </c>
      <c r="S9" s="66">
        <f t="shared" si="6"/>
        <v>60</v>
      </c>
      <c r="T9" s="66">
        <f t="shared" si="6"/>
        <v>60</v>
      </c>
      <c r="U9" s="66">
        <f t="shared" si="6"/>
        <v>60</v>
      </c>
    </row>
    <row r="10" spans="2:24" ht="15">
      <c r="B10" s="115" t="s">
        <v>139</v>
      </c>
      <c r="C10" s="112">
        <v>960</v>
      </c>
      <c r="D10" s="69">
        <v>0.1</v>
      </c>
      <c r="E10" s="61">
        <v>12</v>
      </c>
      <c r="F10" s="182">
        <f t="shared" si="3"/>
        <v>0.08333333333333333</v>
      </c>
      <c r="G10" s="112">
        <f t="shared" si="4"/>
        <v>96</v>
      </c>
      <c r="H10" s="112">
        <f t="shared" si="5"/>
        <v>864</v>
      </c>
      <c r="I10" s="71">
        <f t="shared" si="1"/>
        <v>72</v>
      </c>
      <c r="J10" s="66">
        <f t="shared" si="6"/>
        <v>72</v>
      </c>
      <c r="K10" s="66">
        <f t="shared" si="6"/>
        <v>72</v>
      </c>
      <c r="L10" s="66">
        <f t="shared" si="6"/>
        <v>72</v>
      </c>
      <c r="M10" s="66">
        <f t="shared" si="6"/>
        <v>72</v>
      </c>
      <c r="N10" s="66">
        <f t="shared" si="6"/>
        <v>72</v>
      </c>
      <c r="O10" s="66">
        <f t="shared" si="6"/>
        <v>72</v>
      </c>
      <c r="P10" s="66">
        <f t="shared" si="6"/>
        <v>72</v>
      </c>
      <c r="Q10" s="66">
        <f t="shared" si="6"/>
        <v>72</v>
      </c>
      <c r="R10" s="66">
        <f t="shared" si="6"/>
        <v>72</v>
      </c>
      <c r="S10" s="66">
        <f t="shared" si="6"/>
        <v>72</v>
      </c>
      <c r="T10" s="66">
        <f t="shared" si="6"/>
        <v>72</v>
      </c>
      <c r="U10" s="66">
        <f t="shared" si="6"/>
        <v>72</v>
      </c>
      <c r="V10" s="66">
        <f t="shared" si="6"/>
        <v>72</v>
      </c>
      <c r="W10" s="66">
        <f t="shared" si="6"/>
        <v>72</v>
      </c>
      <c r="X10" s="66">
        <f t="shared" si="6"/>
        <v>72</v>
      </c>
    </row>
    <row r="11" spans="2:24" ht="15">
      <c r="B11" s="115" t="s">
        <v>192</v>
      </c>
      <c r="C11" s="112">
        <v>1060</v>
      </c>
      <c r="D11" s="69">
        <v>0.1</v>
      </c>
      <c r="E11" s="61">
        <v>15</v>
      </c>
      <c r="F11" s="182">
        <f t="shared" si="3"/>
        <v>0.06666666666666667</v>
      </c>
      <c r="G11" s="112">
        <f t="shared" si="4"/>
        <v>106</v>
      </c>
      <c r="H11" s="112">
        <f t="shared" si="5"/>
        <v>954</v>
      </c>
      <c r="I11" s="71">
        <f t="shared" si="1"/>
        <v>63.6</v>
      </c>
      <c r="J11" s="66">
        <f t="shared" si="6"/>
        <v>63.6</v>
      </c>
      <c r="K11" s="66">
        <f t="shared" si="6"/>
        <v>63.6</v>
      </c>
      <c r="L11" s="66">
        <f t="shared" si="6"/>
        <v>63.6</v>
      </c>
      <c r="M11" s="66">
        <f t="shared" si="6"/>
        <v>63.6</v>
      </c>
      <c r="N11" s="66">
        <f t="shared" si="6"/>
        <v>63.6</v>
      </c>
      <c r="O11" s="66">
        <f t="shared" si="6"/>
        <v>63.6</v>
      </c>
      <c r="P11" s="66">
        <f t="shared" si="6"/>
        <v>63.6</v>
      </c>
      <c r="Q11" s="66">
        <f t="shared" si="6"/>
        <v>63.6</v>
      </c>
      <c r="R11" s="66">
        <f t="shared" si="6"/>
        <v>63.6</v>
      </c>
      <c r="S11" s="66">
        <f t="shared" si="6"/>
        <v>63.6</v>
      </c>
      <c r="T11" s="66">
        <f t="shared" si="6"/>
        <v>63.6</v>
      </c>
      <c r="U11" s="66">
        <f t="shared" si="6"/>
        <v>63.6</v>
      </c>
      <c r="V11" s="66">
        <f t="shared" si="6"/>
        <v>63.6</v>
      </c>
      <c r="W11" s="66">
        <f t="shared" si="6"/>
        <v>63.6</v>
      </c>
      <c r="X11" s="66">
        <f t="shared" si="6"/>
        <v>63.6</v>
      </c>
    </row>
    <row r="12" spans="2:24" ht="15">
      <c r="B12" s="115" t="s">
        <v>143</v>
      </c>
      <c r="C12" s="112">
        <v>1200</v>
      </c>
      <c r="D12" s="69">
        <v>0.1</v>
      </c>
      <c r="E12" s="61">
        <v>15</v>
      </c>
      <c r="F12" s="182">
        <f t="shared" si="3"/>
        <v>0.06666666666666667</v>
      </c>
      <c r="G12" s="112">
        <f t="shared" si="4"/>
        <v>120</v>
      </c>
      <c r="H12" s="112">
        <f t="shared" si="5"/>
        <v>1080</v>
      </c>
      <c r="I12" s="71">
        <f t="shared" si="1"/>
        <v>72</v>
      </c>
      <c r="J12" s="66">
        <f t="shared" si="6"/>
        <v>72</v>
      </c>
      <c r="K12" s="66">
        <f t="shared" si="6"/>
        <v>72</v>
      </c>
      <c r="L12" s="66">
        <f t="shared" si="6"/>
        <v>72</v>
      </c>
      <c r="M12" s="66">
        <f t="shared" si="6"/>
        <v>72</v>
      </c>
      <c r="N12" s="66">
        <f t="shared" si="6"/>
        <v>72</v>
      </c>
      <c r="O12" s="66">
        <f t="shared" si="6"/>
        <v>72</v>
      </c>
      <c r="P12" s="66">
        <f t="shared" si="6"/>
        <v>72</v>
      </c>
      <c r="Q12" s="66">
        <f t="shared" si="6"/>
        <v>72</v>
      </c>
      <c r="R12" s="66">
        <f t="shared" si="6"/>
        <v>72</v>
      </c>
      <c r="S12" s="66">
        <f t="shared" si="6"/>
        <v>72</v>
      </c>
      <c r="T12" s="66">
        <f t="shared" si="6"/>
        <v>72</v>
      </c>
      <c r="U12" s="66">
        <f t="shared" si="6"/>
        <v>72</v>
      </c>
      <c r="V12" s="66">
        <f t="shared" si="6"/>
        <v>72</v>
      </c>
      <c r="W12" s="66">
        <f t="shared" si="6"/>
        <v>72</v>
      </c>
      <c r="X12" s="66">
        <f t="shared" si="6"/>
        <v>72</v>
      </c>
    </row>
    <row r="13" spans="2:24" ht="15">
      <c r="B13" s="115" t="s">
        <v>155</v>
      </c>
      <c r="C13" s="112">
        <v>1300</v>
      </c>
      <c r="D13" s="69">
        <v>0.1</v>
      </c>
      <c r="E13" s="61">
        <v>15</v>
      </c>
      <c r="F13" s="182">
        <f t="shared" si="3"/>
        <v>0.06666666666666667</v>
      </c>
      <c r="G13" s="112">
        <f t="shared" si="4"/>
        <v>130</v>
      </c>
      <c r="H13" s="112">
        <f t="shared" si="5"/>
        <v>1170</v>
      </c>
      <c r="I13" s="71">
        <f t="shared" si="1"/>
        <v>78</v>
      </c>
      <c r="J13" s="66">
        <f t="shared" si="6"/>
        <v>78</v>
      </c>
      <c r="K13" s="66">
        <f t="shared" si="6"/>
        <v>78</v>
      </c>
      <c r="L13" s="66">
        <f t="shared" si="6"/>
        <v>78</v>
      </c>
      <c r="M13" s="66">
        <f t="shared" si="6"/>
        <v>78</v>
      </c>
      <c r="N13" s="66">
        <f t="shared" si="6"/>
        <v>78</v>
      </c>
      <c r="O13" s="66">
        <f t="shared" si="6"/>
        <v>78</v>
      </c>
      <c r="P13" s="66">
        <f t="shared" si="6"/>
        <v>78</v>
      </c>
      <c r="Q13" s="66">
        <f t="shared" si="6"/>
        <v>78</v>
      </c>
      <c r="R13" s="66">
        <f t="shared" si="6"/>
        <v>78</v>
      </c>
      <c r="S13" s="66">
        <f t="shared" si="6"/>
        <v>78</v>
      </c>
      <c r="T13" s="66">
        <f t="shared" si="6"/>
        <v>78</v>
      </c>
      <c r="U13" s="66">
        <f t="shared" si="6"/>
        <v>78</v>
      </c>
      <c r="V13" s="66">
        <f t="shared" si="6"/>
        <v>78</v>
      </c>
      <c r="W13" s="66">
        <f t="shared" si="6"/>
        <v>78</v>
      </c>
      <c r="X13" s="66">
        <f t="shared" si="6"/>
        <v>78</v>
      </c>
    </row>
    <row r="14" spans="2:24" ht="15">
      <c r="B14" s="115" t="s">
        <v>154</v>
      </c>
      <c r="C14" s="112">
        <v>1300</v>
      </c>
      <c r="D14" s="69">
        <v>0.1</v>
      </c>
      <c r="E14" s="61">
        <v>15</v>
      </c>
      <c r="F14" s="182">
        <f t="shared" si="3"/>
        <v>0.06666666666666667</v>
      </c>
      <c r="G14" s="112">
        <f t="shared" si="4"/>
        <v>130</v>
      </c>
      <c r="H14" s="112">
        <f t="shared" si="5"/>
        <v>1170</v>
      </c>
      <c r="I14" s="71">
        <f t="shared" si="1"/>
        <v>78</v>
      </c>
      <c r="J14" s="66">
        <f t="shared" si="6"/>
        <v>78</v>
      </c>
      <c r="K14" s="66">
        <f t="shared" si="6"/>
        <v>78</v>
      </c>
      <c r="L14" s="66">
        <f t="shared" si="6"/>
        <v>78</v>
      </c>
      <c r="M14" s="66">
        <f t="shared" si="6"/>
        <v>78</v>
      </c>
      <c r="N14" s="66">
        <f t="shared" si="6"/>
        <v>78</v>
      </c>
      <c r="O14" s="66">
        <f t="shared" si="6"/>
        <v>78</v>
      </c>
      <c r="P14" s="66">
        <f t="shared" si="6"/>
        <v>78</v>
      </c>
      <c r="Q14" s="66">
        <f t="shared" si="6"/>
        <v>78</v>
      </c>
      <c r="R14" s="66">
        <f t="shared" si="6"/>
        <v>78</v>
      </c>
      <c r="S14" s="66">
        <f t="shared" si="6"/>
        <v>78</v>
      </c>
      <c r="T14" s="66">
        <f t="shared" si="6"/>
        <v>78</v>
      </c>
      <c r="U14" s="66">
        <f t="shared" si="6"/>
        <v>78</v>
      </c>
      <c r="V14" s="66">
        <f t="shared" si="6"/>
        <v>78</v>
      </c>
      <c r="W14" s="66">
        <f t="shared" si="6"/>
        <v>78</v>
      </c>
      <c r="X14" s="66">
        <f t="shared" si="6"/>
        <v>78</v>
      </c>
    </row>
    <row r="15" spans="2:24" ht="15">
      <c r="B15" s="115" t="s">
        <v>151</v>
      </c>
      <c r="C15" s="112">
        <v>1500</v>
      </c>
      <c r="D15" s="69">
        <v>0.1</v>
      </c>
      <c r="E15" s="61">
        <v>15</v>
      </c>
      <c r="F15" s="182">
        <f t="shared" si="3"/>
        <v>0.06666666666666667</v>
      </c>
      <c r="G15" s="112">
        <f t="shared" si="4"/>
        <v>150</v>
      </c>
      <c r="H15" s="112">
        <f t="shared" si="5"/>
        <v>1350</v>
      </c>
      <c r="I15" s="71">
        <f t="shared" si="1"/>
        <v>90</v>
      </c>
      <c r="J15" s="66">
        <f t="shared" si="6"/>
        <v>90</v>
      </c>
      <c r="K15" s="66">
        <f t="shared" si="6"/>
        <v>90</v>
      </c>
      <c r="L15" s="66">
        <f t="shared" si="6"/>
        <v>90</v>
      </c>
      <c r="M15" s="66">
        <f t="shared" si="6"/>
        <v>90</v>
      </c>
      <c r="N15" s="66">
        <f t="shared" si="6"/>
        <v>90</v>
      </c>
      <c r="O15" s="66">
        <f t="shared" si="6"/>
        <v>90</v>
      </c>
      <c r="P15" s="66">
        <f t="shared" si="6"/>
        <v>90</v>
      </c>
      <c r="Q15" s="66">
        <f t="shared" si="6"/>
        <v>90</v>
      </c>
      <c r="R15" s="66">
        <f t="shared" si="6"/>
        <v>90</v>
      </c>
      <c r="S15" s="66">
        <f t="shared" si="6"/>
        <v>90</v>
      </c>
      <c r="T15" s="66">
        <f t="shared" si="6"/>
        <v>90</v>
      </c>
      <c r="U15" s="66">
        <f t="shared" si="6"/>
        <v>90</v>
      </c>
      <c r="V15" s="66">
        <f t="shared" si="6"/>
        <v>90</v>
      </c>
      <c r="W15" s="66">
        <f t="shared" si="6"/>
        <v>90</v>
      </c>
      <c r="X15" s="66">
        <f t="shared" si="6"/>
        <v>90</v>
      </c>
    </row>
    <row r="16" spans="2:24" ht="15">
      <c r="B16" s="115" t="s">
        <v>175</v>
      </c>
      <c r="C16" s="112">
        <v>1625</v>
      </c>
      <c r="D16" s="69">
        <v>0.1</v>
      </c>
      <c r="E16" s="61">
        <v>15</v>
      </c>
      <c r="F16" s="182">
        <f t="shared" si="3"/>
        <v>0.06666666666666667</v>
      </c>
      <c r="G16" s="112">
        <f t="shared" si="4"/>
        <v>162.5</v>
      </c>
      <c r="H16" s="112">
        <f t="shared" si="5"/>
        <v>1462.5</v>
      </c>
      <c r="I16" s="71">
        <f t="shared" si="1"/>
        <v>97.5</v>
      </c>
      <c r="J16" s="66">
        <f t="shared" si="6"/>
        <v>97.5</v>
      </c>
      <c r="K16" s="66">
        <f t="shared" si="6"/>
        <v>97.5</v>
      </c>
      <c r="L16" s="66">
        <f t="shared" si="6"/>
        <v>97.5</v>
      </c>
      <c r="M16" s="66">
        <f t="shared" si="6"/>
        <v>97.5</v>
      </c>
      <c r="N16" s="66">
        <f t="shared" si="6"/>
        <v>97.5</v>
      </c>
      <c r="O16" s="66">
        <f t="shared" si="6"/>
        <v>97.5</v>
      </c>
      <c r="P16" s="66">
        <f t="shared" si="6"/>
        <v>97.5</v>
      </c>
      <c r="Q16" s="66">
        <f t="shared" si="6"/>
        <v>97.5</v>
      </c>
      <c r="R16" s="66">
        <f t="shared" si="6"/>
        <v>97.5</v>
      </c>
      <c r="S16" s="66">
        <f t="shared" si="6"/>
        <v>97.5</v>
      </c>
      <c r="T16" s="66">
        <f t="shared" si="6"/>
        <v>97.5</v>
      </c>
      <c r="U16" s="66">
        <f t="shared" si="6"/>
        <v>97.5</v>
      </c>
      <c r="V16" s="66">
        <f t="shared" si="6"/>
        <v>97.5</v>
      </c>
      <c r="W16" s="66">
        <f t="shared" si="6"/>
        <v>97.5</v>
      </c>
      <c r="X16" s="66">
        <f t="shared" si="6"/>
        <v>97.5</v>
      </c>
    </row>
    <row r="17" spans="2:24" ht="15">
      <c r="B17" s="115" t="s">
        <v>169</v>
      </c>
      <c r="C17" s="112">
        <v>2000</v>
      </c>
      <c r="D17" s="69">
        <v>0.1</v>
      </c>
      <c r="E17" s="61">
        <v>15</v>
      </c>
      <c r="F17" s="182">
        <f t="shared" si="3"/>
        <v>0.06666666666666667</v>
      </c>
      <c r="G17" s="112">
        <f t="shared" si="4"/>
        <v>200</v>
      </c>
      <c r="H17" s="112">
        <f t="shared" si="5"/>
        <v>1800</v>
      </c>
      <c r="I17" s="71">
        <f t="shared" si="1"/>
        <v>120</v>
      </c>
      <c r="J17" s="66">
        <f t="shared" si="6"/>
        <v>120</v>
      </c>
      <c r="K17" s="66">
        <f t="shared" si="6"/>
        <v>120</v>
      </c>
      <c r="L17" s="66">
        <f t="shared" si="6"/>
        <v>120</v>
      </c>
      <c r="M17" s="66">
        <f t="shared" si="6"/>
        <v>120</v>
      </c>
      <c r="N17" s="66">
        <f t="shared" si="6"/>
        <v>120</v>
      </c>
      <c r="O17" s="66">
        <f t="shared" si="6"/>
        <v>120</v>
      </c>
      <c r="P17" s="66">
        <f t="shared" si="6"/>
        <v>120</v>
      </c>
      <c r="Q17" s="66">
        <f t="shared" si="6"/>
        <v>120</v>
      </c>
      <c r="R17" s="66">
        <f t="shared" si="6"/>
        <v>120</v>
      </c>
      <c r="S17" s="66">
        <f t="shared" si="6"/>
        <v>120</v>
      </c>
      <c r="T17" s="66">
        <f t="shared" si="6"/>
        <v>120</v>
      </c>
      <c r="U17" s="66">
        <f t="shared" si="6"/>
        <v>120</v>
      </c>
      <c r="V17" s="66">
        <f t="shared" si="6"/>
        <v>120</v>
      </c>
      <c r="W17" s="66">
        <f t="shared" si="6"/>
        <v>120</v>
      </c>
      <c r="X17" s="66">
        <f t="shared" si="6"/>
        <v>120</v>
      </c>
    </row>
    <row r="18" spans="2:24" ht="15">
      <c r="B18" s="115" t="s">
        <v>180</v>
      </c>
      <c r="C18" s="112">
        <v>2000</v>
      </c>
      <c r="D18" s="69">
        <v>0.1</v>
      </c>
      <c r="E18" s="61">
        <v>15</v>
      </c>
      <c r="F18" s="182">
        <f t="shared" si="3"/>
        <v>0.06666666666666667</v>
      </c>
      <c r="G18" s="112">
        <f t="shared" si="4"/>
        <v>200</v>
      </c>
      <c r="H18" s="112">
        <f t="shared" si="5"/>
        <v>1800</v>
      </c>
      <c r="I18" s="71">
        <f t="shared" si="1"/>
        <v>120</v>
      </c>
      <c r="J18" s="66">
        <f t="shared" si="6"/>
        <v>120</v>
      </c>
      <c r="K18" s="66">
        <f t="shared" si="6"/>
        <v>120</v>
      </c>
      <c r="L18" s="66">
        <f t="shared" si="6"/>
        <v>120</v>
      </c>
      <c r="M18" s="66">
        <f t="shared" si="6"/>
        <v>120</v>
      </c>
      <c r="N18" s="66">
        <f t="shared" si="6"/>
        <v>120</v>
      </c>
      <c r="O18" s="66">
        <f t="shared" si="6"/>
        <v>120</v>
      </c>
      <c r="P18" s="66">
        <f t="shared" si="6"/>
        <v>120</v>
      </c>
      <c r="Q18" s="66">
        <f t="shared" si="6"/>
        <v>120</v>
      </c>
      <c r="R18" s="66">
        <f t="shared" si="6"/>
        <v>120</v>
      </c>
      <c r="S18" s="66">
        <f t="shared" si="6"/>
        <v>120</v>
      </c>
      <c r="T18" s="66">
        <f t="shared" si="6"/>
        <v>120</v>
      </c>
      <c r="U18" s="66">
        <f t="shared" si="6"/>
        <v>120</v>
      </c>
      <c r="V18" s="66">
        <f t="shared" si="6"/>
        <v>120</v>
      </c>
      <c r="W18" s="66">
        <f t="shared" si="6"/>
        <v>120</v>
      </c>
      <c r="X18" s="66">
        <f aca="true" t="shared" si="7" ref="K18:X31">+$I18</f>
        <v>120</v>
      </c>
    </row>
    <row r="19" spans="2:24" ht="15">
      <c r="B19" s="115" t="s">
        <v>160</v>
      </c>
      <c r="C19" s="112">
        <v>2040</v>
      </c>
      <c r="D19" s="69">
        <v>0.1</v>
      </c>
      <c r="E19" s="61">
        <v>15</v>
      </c>
      <c r="F19" s="182">
        <f t="shared" si="3"/>
        <v>0.06666666666666667</v>
      </c>
      <c r="G19" s="112">
        <f t="shared" si="4"/>
        <v>204</v>
      </c>
      <c r="H19" s="112">
        <f t="shared" si="5"/>
        <v>1836</v>
      </c>
      <c r="I19" s="71">
        <f t="shared" si="1"/>
        <v>122.4</v>
      </c>
      <c r="J19" s="66">
        <f t="shared" si="6"/>
        <v>122.4</v>
      </c>
      <c r="K19" s="66">
        <f t="shared" si="7"/>
        <v>122.4</v>
      </c>
      <c r="L19" s="66">
        <f t="shared" si="7"/>
        <v>122.4</v>
      </c>
      <c r="M19" s="66">
        <f t="shared" si="7"/>
        <v>122.4</v>
      </c>
      <c r="N19" s="66">
        <f t="shared" si="7"/>
        <v>122.4</v>
      </c>
      <c r="O19" s="66">
        <f t="shared" si="7"/>
        <v>122.4</v>
      </c>
      <c r="P19" s="66">
        <f t="shared" si="7"/>
        <v>122.4</v>
      </c>
      <c r="Q19" s="66">
        <f t="shared" si="7"/>
        <v>122.4</v>
      </c>
      <c r="R19" s="66">
        <f t="shared" si="7"/>
        <v>122.4</v>
      </c>
      <c r="S19" s="66">
        <f t="shared" si="7"/>
        <v>122.4</v>
      </c>
      <c r="T19" s="66">
        <f t="shared" si="7"/>
        <v>122.4</v>
      </c>
      <c r="U19" s="66">
        <f t="shared" si="7"/>
        <v>122.4</v>
      </c>
      <c r="V19" s="66">
        <f t="shared" si="7"/>
        <v>122.4</v>
      </c>
      <c r="W19" s="66">
        <f t="shared" si="7"/>
        <v>122.4</v>
      </c>
      <c r="X19" s="66">
        <f t="shared" si="7"/>
        <v>122.4</v>
      </c>
    </row>
    <row r="20" spans="2:24" ht="15">
      <c r="B20" s="115" t="s">
        <v>176</v>
      </c>
      <c r="C20" s="112">
        <v>2236.56</v>
      </c>
      <c r="D20" s="69">
        <v>0.1</v>
      </c>
      <c r="E20" s="61">
        <v>15</v>
      </c>
      <c r="F20" s="182">
        <f t="shared" si="3"/>
        <v>0.06666666666666667</v>
      </c>
      <c r="G20" s="112">
        <f t="shared" si="4"/>
        <v>223.656</v>
      </c>
      <c r="H20" s="112">
        <f t="shared" si="5"/>
        <v>2012.904</v>
      </c>
      <c r="I20" s="71">
        <f t="shared" si="1"/>
        <v>134.1936</v>
      </c>
      <c r="J20" s="66">
        <f t="shared" si="6"/>
        <v>134.1936</v>
      </c>
      <c r="K20" s="66">
        <f t="shared" si="7"/>
        <v>134.1936</v>
      </c>
      <c r="L20" s="66">
        <f t="shared" si="7"/>
        <v>134.1936</v>
      </c>
      <c r="M20" s="66">
        <f t="shared" si="7"/>
        <v>134.1936</v>
      </c>
      <c r="N20" s="66">
        <f t="shared" si="7"/>
        <v>134.1936</v>
      </c>
      <c r="O20" s="66">
        <f t="shared" si="7"/>
        <v>134.1936</v>
      </c>
      <c r="P20" s="66">
        <f t="shared" si="7"/>
        <v>134.1936</v>
      </c>
      <c r="Q20" s="66">
        <f t="shared" si="7"/>
        <v>134.1936</v>
      </c>
      <c r="R20" s="66">
        <f t="shared" si="7"/>
        <v>134.1936</v>
      </c>
      <c r="S20" s="66">
        <f t="shared" si="7"/>
        <v>134.1936</v>
      </c>
      <c r="T20" s="66">
        <f t="shared" si="7"/>
        <v>134.1936</v>
      </c>
      <c r="U20" s="66">
        <f t="shared" si="7"/>
        <v>134.1936</v>
      </c>
      <c r="V20" s="66">
        <f t="shared" si="7"/>
        <v>134.1936</v>
      </c>
      <c r="W20" s="66">
        <f t="shared" si="7"/>
        <v>134.1936</v>
      </c>
      <c r="X20" s="66">
        <f t="shared" si="7"/>
        <v>134.1936</v>
      </c>
    </row>
    <row r="21" spans="2:24" ht="15">
      <c r="B21" s="115" t="s">
        <v>177</v>
      </c>
      <c r="C21" s="112">
        <v>2253.63</v>
      </c>
      <c r="D21" s="69">
        <v>0.1</v>
      </c>
      <c r="E21" s="61">
        <v>15</v>
      </c>
      <c r="F21" s="182">
        <f t="shared" si="3"/>
        <v>0.06666666666666667</v>
      </c>
      <c r="G21" s="112">
        <f t="shared" si="4"/>
        <v>225.36300000000003</v>
      </c>
      <c r="H21" s="112">
        <f t="shared" si="5"/>
        <v>2028.267</v>
      </c>
      <c r="I21" s="71">
        <f t="shared" si="1"/>
        <v>135.2178</v>
      </c>
      <c r="J21" s="66">
        <f t="shared" si="6"/>
        <v>135.2178</v>
      </c>
      <c r="K21" s="66">
        <f t="shared" si="7"/>
        <v>135.2178</v>
      </c>
      <c r="L21" s="66">
        <f t="shared" si="7"/>
        <v>135.2178</v>
      </c>
      <c r="M21" s="66">
        <f t="shared" si="7"/>
        <v>135.2178</v>
      </c>
      <c r="N21" s="66">
        <f t="shared" si="7"/>
        <v>135.2178</v>
      </c>
      <c r="O21" s="66">
        <f t="shared" si="7"/>
        <v>135.2178</v>
      </c>
      <c r="P21" s="66">
        <f t="shared" si="7"/>
        <v>135.2178</v>
      </c>
      <c r="Q21" s="66">
        <f t="shared" si="7"/>
        <v>135.2178</v>
      </c>
      <c r="R21" s="66">
        <f t="shared" si="7"/>
        <v>135.2178</v>
      </c>
      <c r="S21" s="66">
        <f t="shared" si="7"/>
        <v>135.2178</v>
      </c>
      <c r="T21" s="66">
        <f t="shared" si="7"/>
        <v>135.2178</v>
      </c>
      <c r="U21" s="66">
        <f t="shared" si="7"/>
        <v>135.2178</v>
      </c>
      <c r="V21" s="66">
        <f t="shared" si="7"/>
        <v>135.2178</v>
      </c>
      <c r="W21" s="66">
        <f t="shared" si="7"/>
        <v>135.2178</v>
      </c>
      <c r="X21" s="66">
        <f t="shared" si="7"/>
        <v>135.2178</v>
      </c>
    </row>
    <row r="22" spans="2:24" ht="15">
      <c r="B22" s="115" t="s">
        <v>178</v>
      </c>
      <c r="C22" s="112">
        <v>2540</v>
      </c>
      <c r="D22" s="69">
        <v>0.1</v>
      </c>
      <c r="E22" s="61">
        <v>15</v>
      </c>
      <c r="F22" s="182">
        <f t="shared" si="3"/>
        <v>0.06666666666666667</v>
      </c>
      <c r="G22" s="112">
        <f t="shared" si="4"/>
        <v>254</v>
      </c>
      <c r="H22" s="112">
        <f t="shared" si="5"/>
        <v>2286</v>
      </c>
      <c r="I22" s="71">
        <f t="shared" si="1"/>
        <v>152.4</v>
      </c>
      <c r="J22" s="66">
        <f t="shared" si="6"/>
        <v>152.4</v>
      </c>
      <c r="K22" s="66">
        <f t="shared" si="7"/>
        <v>152.4</v>
      </c>
      <c r="L22" s="66">
        <f t="shared" si="7"/>
        <v>152.4</v>
      </c>
      <c r="M22" s="66">
        <f t="shared" si="7"/>
        <v>152.4</v>
      </c>
      <c r="N22" s="66">
        <f t="shared" si="7"/>
        <v>152.4</v>
      </c>
      <c r="O22" s="66">
        <f t="shared" si="7"/>
        <v>152.4</v>
      </c>
      <c r="P22" s="66">
        <f t="shared" si="7"/>
        <v>152.4</v>
      </c>
      <c r="Q22" s="66">
        <f t="shared" si="7"/>
        <v>152.4</v>
      </c>
      <c r="R22" s="66">
        <f t="shared" si="7"/>
        <v>152.4</v>
      </c>
      <c r="S22" s="66">
        <f t="shared" si="7"/>
        <v>152.4</v>
      </c>
      <c r="T22" s="66">
        <f t="shared" si="7"/>
        <v>152.4</v>
      </c>
      <c r="U22" s="66">
        <f t="shared" si="7"/>
        <v>152.4</v>
      </c>
      <c r="V22" s="66">
        <f t="shared" si="7"/>
        <v>152.4</v>
      </c>
      <c r="W22" s="66">
        <f t="shared" si="7"/>
        <v>152.4</v>
      </c>
      <c r="X22" s="66">
        <f t="shared" si="7"/>
        <v>152.4</v>
      </c>
    </row>
    <row r="23" spans="2:24" ht="15">
      <c r="B23" s="115" t="s">
        <v>241</v>
      </c>
      <c r="C23" s="112">
        <v>2600</v>
      </c>
      <c r="D23" s="69">
        <v>0.1</v>
      </c>
      <c r="E23" s="61">
        <v>15</v>
      </c>
      <c r="F23" s="182">
        <f t="shared" si="3"/>
        <v>0.06666666666666667</v>
      </c>
      <c r="G23" s="112">
        <f t="shared" si="4"/>
        <v>260</v>
      </c>
      <c r="H23" s="112">
        <f t="shared" si="5"/>
        <v>2340</v>
      </c>
      <c r="I23" s="71">
        <f t="shared" si="1"/>
        <v>156</v>
      </c>
      <c r="J23" s="66">
        <f t="shared" si="6"/>
        <v>156</v>
      </c>
      <c r="K23" s="66">
        <f t="shared" si="7"/>
        <v>156</v>
      </c>
      <c r="L23" s="66">
        <f t="shared" si="7"/>
        <v>156</v>
      </c>
      <c r="M23" s="66">
        <f t="shared" si="7"/>
        <v>156</v>
      </c>
      <c r="N23" s="66">
        <f t="shared" si="7"/>
        <v>156</v>
      </c>
      <c r="O23" s="66">
        <f t="shared" si="7"/>
        <v>156</v>
      </c>
      <c r="P23" s="66">
        <f t="shared" si="7"/>
        <v>156</v>
      </c>
      <c r="Q23" s="66">
        <f t="shared" si="7"/>
        <v>156</v>
      </c>
      <c r="R23" s="66">
        <f t="shared" si="7"/>
        <v>156</v>
      </c>
      <c r="S23" s="66">
        <f t="shared" si="7"/>
        <v>156</v>
      </c>
      <c r="T23" s="66">
        <f t="shared" si="7"/>
        <v>156</v>
      </c>
      <c r="U23" s="66">
        <f t="shared" si="7"/>
        <v>156</v>
      </c>
      <c r="V23" s="66">
        <f t="shared" si="7"/>
        <v>156</v>
      </c>
      <c r="W23" s="66">
        <f t="shared" si="7"/>
        <v>156</v>
      </c>
      <c r="X23" s="66">
        <f t="shared" si="7"/>
        <v>156</v>
      </c>
    </row>
    <row r="24" spans="2:24" ht="15">
      <c r="B24" s="115" t="s">
        <v>156</v>
      </c>
      <c r="C24" s="112">
        <v>2917.9410000000003</v>
      </c>
      <c r="D24" s="69">
        <v>0.1</v>
      </c>
      <c r="E24" s="61">
        <v>15</v>
      </c>
      <c r="F24" s="182">
        <f t="shared" si="3"/>
        <v>0.06666666666666667</v>
      </c>
      <c r="G24" s="112">
        <f t="shared" si="4"/>
        <v>291.7941</v>
      </c>
      <c r="H24" s="112">
        <f t="shared" si="5"/>
        <v>2626.1469</v>
      </c>
      <c r="I24" s="71">
        <f t="shared" si="1"/>
        <v>175.07646000000003</v>
      </c>
      <c r="J24" s="66">
        <f t="shared" si="6"/>
        <v>175.07646000000003</v>
      </c>
      <c r="K24" s="66">
        <f t="shared" si="7"/>
        <v>175.07646000000003</v>
      </c>
      <c r="L24" s="66">
        <f t="shared" si="7"/>
        <v>175.07646000000003</v>
      </c>
      <c r="M24" s="66">
        <f t="shared" si="7"/>
        <v>175.07646000000003</v>
      </c>
      <c r="N24" s="66">
        <f t="shared" si="7"/>
        <v>175.07646000000003</v>
      </c>
      <c r="O24" s="66">
        <f t="shared" si="7"/>
        <v>175.07646000000003</v>
      </c>
      <c r="P24" s="66">
        <f t="shared" si="7"/>
        <v>175.07646000000003</v>
      </c>
      <c r="Q24" s="66">
        <f t="shared" si="7"/>
        <v>175.07646000000003</v>
      </c>
      <c r="R24" s="66">
        <f t="shared" si="7"/>
        <v>175.07646000000003</v>
      </c>
      <c r="S24" s="66">
        <f t="shared" si="7"/>
        <v>175.07646000000003</v>
      </c>
      <c r="T24" s="66">
        <f t="shared" si="7"/>
        <v>175.07646000000003</v>
      </c>
      <c r="U24" s="66">
        <f t="shared" si="7"/>
        <v>175.07646000000003</v>
      </c>
      <c r="V24" s="66">
        <f t="shared" si="7"/>
        <v>175.07646000000003</v>
      </c>
      <c r="W24" s="66">
        <f t="shared" si="7"/>
        <v>175.07646000000003</v>
      </c>
      <c r="X24" s="66">
        <f t="shared" si="7"/>
        <v>175.07646000000003</v>
      </c>
    </row>
    <row r="25" spans="2:24" ht="15">
      <c r="B25" s="115" t="s">
        <v>183</v>
      </c>
      <c r="C25" s="112">
        <v>3000</v>
      </c>
      <c r="D25" s="69">
        <v>0.1</v>
      </c>
      <c r="E25" s="61">
        <v>15</v>
      </c>
      <c r="F25" s="182">
        <f t="shared" si="3"/>
        <v>0.06666666666666667</v>
      </c>
      <c r="G25" s="112">
        <f t="shared" si="4"/>
        <v>300</v>
      </c>
      <c r="H25" s="112">
        <f t="shared" si="5"/>
        <v>2700</v>
      </c>
      <c r="I25" s="71">
        <f t="shared" si="1"/>
        <v>180</v>
      </c>
      <c r="J25" s="66">
        <f t="shared" si="6"/>
        <v>180</v>
      </c>
      <c r="K25" s="66">
        <f t="shared" si="7"/>
        <v>180</v>
      </c>
      <c r="L25" s="66">
        <f t="shared" si="7"/>
        <v>180</v>
      </c>
      <c r="M25" s="66">
        <f t="shared" si="7"/>
        <v>180</v>
      </c>
      <c r="N25" s="66">
        <f t="shared" si="7"/>
        <v>180</v>
      </c>
      <c r="O25" s="66">
        <f t="shared" si="7"/>
        <v>180</v>
      </c>
      <c r="P25" s="66">
        <f t="shared" si="7"/>
        <v>180</v>
      </c>
      <c r="Q25" s="66">
        <f t="shared" si="7"/>
        <v>180</v>
      </c>
      <c r="R25" s="66">
        <f t="shared" si="7"/>
        <v>180</v>
      </c>
      <c r="S25" s="66">
        <f t="shared" si="7"/>
        <v>180</v>
      </c>
      <c r="T25" s="66">
        <f t="shared" si="7"/>
        <v>180</v>
      </c>
      <c r="U25" s="66">
        <f t="shared" si="7"/>
        <v>180</v>
      </c>
      <c r="V25" s="66">
        <f t="shared" si="7"/>
        <v>180</v>
      </c>
      <c r="W25" s="66">
        <f t="shared" si="7"/>
        <v>180</v>
      </c>
      <c r="X25" s="66">
        <f t="shared" si="7"/>
        <v>180</v>
      </c>
    </row>
    <row r="26" spans="2:24" ht="15">
      <c r="B26" s="115" t="s">
        <v>182</v>
      </c>
      <c r="C26" s="112">
        <v>3210.68</v>
      </c>
      <c r="D26" s="69">
        <v>0.1</v>
      </c>
      <c r="E26" s="61">
        <v>15</v>
      </c>
      <c r="F26" s="182">
        <f t="shared" si="3"/>
        <v>0.06666666666666667</v>
      </c>
      <c r="G26" s="112">
        <f t="shared" si="4"/>
        <v>321.068</v>
      </c>
      <c r="H26" s="112">
        <f t="shared" si="5"/>
        <v>2889.612</v>
      </c>
      <c r="I26" s="71">
        <f t="shared" si="1"/>
        <v>192.6408</v>
      </c>
      <c r="J26" s="66">
        <f t="shared" si="6"/>
        <v>192.6408</v>
      </c>
      <c r="K26" s="66">
        <f t="shared" si="7"/>
        <v>192.6408</v>
      </c>
      <c r="L26" s="66">
        <f t="shared" si="7"/>
        <v>192.6408</v>
      </c>
      <c r="M26" s="66">
        <f t="shared" si="7"/>
        <v>192.6408</v>
      </c>
      <c r="N26" s="66">
        <f t="shared" si="7"/>
        <v>192.6408</v>
      </c>
      <c r="O26" s="66">
        <f t="shared" si="7"/>
        <v>192.6408</v>
      </c>
      <c r="P26" s="66">
        <f t="shared" si="7"/>
        <v>192.6408</v>
      </c>
      <c r="Q26" s="66">
        <f t="shared" si="7"/>
        <v>192.6408</v>
      </c>
      <c r="R26" s="66">
        <f t="shared" si="7"/>
        <v>192.6408</v>
      </c>
      <c r="S26" s="66">
        <f t="shared" si="7"/>
        <v>192.6408</v>
      </c>
      <c r="T26" s="66">
        <f t="shared" si="7"/>
        <v>192.6408</v>
      </c>
      <c r="U26" s="66">
        <f t="shared" si="7"/>
        <v>192.6408</v>
      </c>
      <c r="V26" s="66">
        <f t="shared" si="7"/>
        <v>192.6408</v>
      </c>
      <c r="W26" s="66">
        <f t="shared" si="7"/>
        <v>192.6408</v>
      </c>
      <c r="X26" s="66">
        <f t="shared" si="7"/>
        <v>192.6408</v>
      </c>
    </row>
    <row r="27" spans="2:24" ht="15">
      <c r="B27" s="115" t="s">
        <v>181</v>
      </c>
      <c r="C27" s="112">
        <v>3286.06</v>
      </c>
      <c r="D27" s="69">
        <v>0.1</v>
      </c>
      <c r="E27" s="61">
        <v>15</v>
      </c>
      <c r="F27" s="182">
        <f t="shared" si="3"/>
        <v>0.06666666666666667</v>
      </c>
      <c r="G27" s="112">
        <f t="shared" si="4"/>
        <v>328.606</v>
      </c>
      <c r="H27" s="112">
        <f t="shared" si="5"/>
        <v>2957.4539999999997</v>
      </c>
      <c r="I27" s="71">
        <f t="shared" si="1"/>
        <v>197.16359999999997</v>
      </c>
      <c r="J27" s="66">
        <f t="shared" si="6"/>
        <v>197.16359999999997</v>
      </c>
      <c r="K27" s="66">
        <f t="shared" si="7"/>
        <v>197.16359999999997</v>
      </c>
      <c r="L27" s="66">
        <f t="shared" si="7"/>
        <v>197.16359999999997</v>
      </c>
      <c r="M27" s="66">
        <f t="shared" si="7"/>
        <v>197.16359999999997</v>
      </c>
      <c r="N27" s="66">
        <f t="shared" si="7"/>
        <v>197.16359999999997</v>
      </c>
      <c r="O27" s="66">
        <f t="shared" si="7"/>
        <v>197.16359999999997</v>
      </c>
      <c r="P27" s="66">
        <f t="shared" si="7"/>
        <v>197.16359999999997</v>
      </c>
      <c r="Q27" s="66">
        <f t="shared" si="7"/>
        <v>197.16359999999997</v>
      </c>
      <c r="R27" s="66">
        <f t="shared" si="7"/>
        <v>197.16359999999997</v>
      </c>
      <c r="S27" s="66">
        <f t="shared" si="7"/>
        <v>197.16359999999997</v>
      </c>
      <c r="T27" s="66">
        <f t="shared" si="7"/>
        <v>197.16359999999997</v>
      </c>
      <c r="U27" s="66">
        <f t="shared" si="7"/>
        <v>197.16359999999997</v>
      </c>
      <c r="V27" s="66">
        <f t="shared" si="7"/>
        <v>197.16359999999997</v>
      </c>
      <c r="W27" s="66">
        <f t="shared" si="7"/>
        <v>197.16359999999997</v>
      </c>
      <c r="X27" s="66">
        <f t="shared" si="7"/>
        <v>197.16359999999997</v>
      </c>
    </row>
    <row r="28" spans="2:24" ht="15">
      <c r="B28" s="115" t="s">
        <v>184</v>
      </c>
      <c r="C28" s="112">
        <v>3873</v>
      </c>
      <c r="D28" s="69">
        <v>0.1</v>
      </c>
      <c r="E28" s="61">
        <v>15</v>
      </c>
      <c r="F28" s="182">
        <f t="shared" si="3"/>
        <v>0.06666666666666667</v>
      </c>
      <c r="G28" s="112">
        <f t="shared" si="4"/>
        <v>387.3</v>
      </c>
      <c r="H28" s="112">
        <f t="shared" si="5"/>
        <v>3485.7</v>
      </c>
      <c r="I28" s="71">
        <f t="shared" si="1"/>
        <v>232.38</v>
      </c>
      <c r="J28" s="66">
        <f t="shared" si="6"/>
        <v>232.38</v>
      </c>
      <c r="K28" s="66">
        <f t="shared" si="7"/>
        <v>232.38</v>
      </c>
      <c r="L28" s="66">
        <f t="shared" si="7"/>
        <v>232.38</v>
      </c>
      <c r="M28" s="66">
        <f t="shared" si="7"/>
        <v>232.38</v>
      </c>
      <c r="N28" s="66">
        <f t="shared" si="7"/>
        <v>232.38</v>
      </c>
      <c r="O28" s="66">
        <f t="shared" si="7"/>
        <v>232.38</v>
      </c>
      <c r="P28" s="66">
        <f t="shared" si="7"/>
        <v>232.38</v>
      </c>
      <c r="Q28" s="66">
        <f t="shared" si="7"/>
        <v>232.38</v>
      </c>
      <c r="R28" s="66">
        <f t="shared" si="7"/>
        <v>232.38</v>
      </c>
      <c r="S28" s="66">
        <f t="shared" si="7"/>
        <v>232.38</v>
      </c>
      <c r="T28" s="66">
        <f t="shared" si="7"/>
        <v>232.38</v>
      </c>
      <c r="U28" s="66">
        <f t="shared" si="7"/>
        <v>232.38</v>
      </c>
      <c r="V28" s="66">
        <f t="shared" si="7"/>
        <v>232.38</v>
      </c>
      <c r="W28" s="66">
        <f t="shared" si="7"/>
        <v>232.38</v>
      </c>
      <c r="X28" s="66">
        <f t="shared" si="7"/>
        <v>232.38</v>
      </c>
    </row>
    <row r="29" spans="2:24" ht="15">
      <c r="B29" s="115" t="s">
        <v>137</v>
      </c>
      <c r="C29" s="112">
        <v>4200</v>
      </c>
      <c r="D29" s="69">
        <v>0.1</v>
      </c>
      <c r="E29" s="61">
        <v>15</v>
      </c>
      <c r="F29" s="182">
        <f t="shared" si="3"/>
        <v>0.06666666666666667</v>
      </c>
      <c r="G29" s="112">
        <f t="shared" si="4"/>
        <v>420</v>
      </c>
      <c r="H29" s="112">
        <f t="shared" si="5"/>
        <v>3780</v>
      </c>
      <c r="I29" s="71">
        <f t="shared" si="1"/>
        <v>252</v>
      </c>
      <c r="J29" s="66">
        <f t="shared" si="6"/>
        <v>252</v>
      </c>
      <c r="K29" s="66">
        <f t="shared" si="7"/>
        <v>252</v>
      </c>
      <c r="L29" s="66">
        <f t="shared" si="7"/>
        <v>252</v>
      </c>
      <c r="M29" s="66">
        <f t="shared" si="7"/>
        <v>252</v>
      </c>
      <c r="N29" s="66">
        <f t="shared" si="7"/>
        <v>252</v>
      </c>
      <c r="O29" s="66">
        <f t="shared" si="7"/>
        <v>252</v>
      </c>
      <c r="P29" s="66">
        <f t="shared" si="7"/>
        <v>252</v>
      </c>
      <c r="Q29" s="66">
        <f t="shared" si="7"/>
        <v>252</v>
      </c>
      <c r="R29" s="66">
        <f t="shared" si="7"/>
        <v>252</v>
      </c>
      <c r="S29" s="66">
        <f t="shared" si="7"/>
        <v>252</v>
      </c>
      <c r="T29" s="66">
        <f t="shared" si="7"/>
        <v>252</v>
      </c>
      <c r="U29" s="66">
        <f t="shared" si="7"/>
        <v>252</v>
      </c>
      <c r="V29" s="66">
        <f t="shared" si="7"/>
        <v>252</v>
      </c>
      <c r="W29" s="66">
        <f t="shared" si="7"/>
        <v>252</v>
      </c>
      <c r="X29" s="66">
        <f t="shared" si="7"/>
        <v>252</v>
      </c>
    </row>
    <row r="30" spans="2:24" ht="15">
      <c r="B30" s="115" t="s">
        <v>135</v>
      </c>
      <c r="C30" s="112">
        <v>4900</v>
      </c>
      <c r="D30" s="69">
        <v>0.1</v>
      </c>
      <c r="E30" s="61">
        <v>15</v>
      </c>
      <c r="F30" s="182">
        <f t="shared" si="3"/>
        <v>0.06666666666666667</v>
      </c>
      <c r="G30" s="112">
        <f t="shared" si="4"/>
        <v>490</v>
      </c>
      <c r="H30" s="112">
        <f t="shared" si="5"/>
        <v>4410</v>
      </c>
      <c r="I30" s="71">
        <f t="shared" si="1"/>
        <v>294</v>
      </c>
      <c r="J30" s="66">
        <f t="shared" si="6"/>
        <v>294</v>
      </c>
      <c r="K30" s="66">
        <f t="shared" si="7"/>
        <v>294</v>
      </c>
      <c r="L30" s="66">
        <f t="shared" si="7"/>
        <v>294</v>
      </c>
      <c r="M30" s="66">
        <f t="shared" si="7"/>
        <v>294</v>
      </c>
      <c r="N30" s="66">
        <f t="shared" si="7"/>
        <v>294</v>
      </c>
      <c r="O30" s="66">
        <f t="shared" si="7"/>
        <v>294</v>
      </c>
      <c r="P30" s="66">
        <f t="shared" si="7"/>
        <v>294</v>
      </c>
      <c r="Q30" s="66">
        <f t="shared" si="7"/>
        <v>294</v>
      </c>
      <c r="R30" s="66">
        <f t="shared" si="7"/>
        <v>294</v>
      </c>
      <c r="S30" s="66">
        <f t="shared" si="7"/>
        <v>294</v>
      </c>
      <c r="T30" s="66">
        <f t="shared" si="7"/>
        <v>294</v>
      </c>
      <c r="U30" s="66">
        <f t="shared" si="7"/>
        <v>294</v>
      </c>
      <c r="V30" s="66">
        <f t="shared" si="7"/>
        <v>294</v>
      </c>
      <c r="W30" s="66">
        <f t="shared" si="7"/>
        <v>294</v>
      </c>
      <c r="X30" s="66">
        <f t="shared" si="7"/>
        <v>294</v>
      </c>
    </row>
    <row r="31" spans="2:24" ht="15">
      <c r="B31" s="115" t="s">
        <v>239</v>
      </c>
      <c r="C31" s="112">
        <v>6000</v>
      </c>
      <c r="D31" s="69">
        <v>0.1</v>
      </c>
      <c r="E31" s="61">
        <v>15</v>
      </c>
      <c r="F31" s="182">
        <f t="shared" si="3"/>
        <v>0.06666666666666667</v>
      </c>
      <c r="G31" s="112">
        <f t="shared" si="4"/>
        <v>600</v>
      </c>
      <c r="H31" s="112">
        <f t="shared" si="5"/>
        <v>5400</v>
      </c>
      <c r="I31" s="71">
        <f t="shared" si="1"/>
        <v>360</v>
      </c>
      <c r="J31" s="66">
        <f t="shared" si="6"/>
        <v>360</v>
      </c>
      <c r="K31" s="66">
        <f t="shared" si="7"/>
        <v>360</v>
      </c>
      <c r="L31" s="66">
        <f t="shared" si="7"/>
        <v>360</v>
      </c>
      <c r="M31" s="66">
        <f t="shared" si="7"/>
        <v>360</v>
      </c>
      <c r="N31" s="66">
        <f t="shared" si="7"/>
        <v>360</v>
      </c>
      <c r="O31" s="66">
        <f t="shared" si="7"/>
        <v>360</v>
      </c>
      <c r="P31" s="66">
        <f t="shared" si="7"/>
        <v>360</v>
      </c>
      <c r="Q31" s="66">
        <f t="shared" si="7"/>
        <v>360</v>
      </c>
      <c r="R31" s="66">
        <f t="shared" si="7"/>
        <v>360</v>
      </c>
      <c r="S31" s="66">
        <f t="shared" si="7"/>
        <v>360</v>
      </c>
      <c r="T31" s="66">
        <f t="shared" si="7"/>
        <v>360</v>
      </c>
      <c r="U31" s="66">
        <f t="shared" si="7"/>
        <v>360</v>
      </c>
      <c r="V31" s="66">
        <f t="shared" si="7"/>
        <v>360</v>
      </c>
      <c r="W31" s="66">
        <f t="shared" si="7"/>
        <v>360</v>
      </c>
      <c r="X31" s="66">
        <f t="shared" si="7"/>
        <v>360</v>
      </c>
    </row>
    <row r="32" spans="2:24" ht="15">
      <c r="B32" s="115" t="s">
        <v>190</v>
      </c>
      <c r="C32" s="112">
        <v>12333.333333333334</v>
      </c>
      <c r="D32" s="69">
        <v>0.1</v>
      </c>
      <c r="E32" s="61">
        <v>20</v>
      </c>
      <c r="F32" s="182">
        <f t="shared" si="3"/>
        <v>0.05</v>
      </c>
      <c r="G32" s="112">
        <f t="shared" si="4"/>
        <v>1233.3333333333335</v>
      </c>
      <c r="H32" s="112">
        <f t="shared" si="5"/>
        <v>11100</v>
      </c>
      <c r="I32" s="71">
        <f t="shared" si="1"/>
        <v>555</v>
      </c>
      <c r="J32" s="66">
        <f t="shared" si="6"/>
        <v>555</v>
      </c>
      <c r="K32" s="66">
        <f t="shared" si="6"/>
        <v>555</v>
      </c>
      <c r="L32" s="66">
        <f t="shared" si="6"/>
        <v>555</v>
      </c>
      <c r="M32" s="66">
        <f t="shared" si="6"/>
        <v>555</v>
      </c>
      <c r="N32" s="66">
        <f t="shared" si="6"/>
        <v>555</v>
      </c>
      <c r="O32" s="66">
        <f t="shared" si="6"/>
        <v>555</v>
      </c>
      <c r="P32" s="66">
        <f t="shared" si="6"/>
        <v>555</v>
      </c>
      <c r="Q32" s="66">
        <f t="shared" si="6"/>
        <v>555</v>
      </c>
      <c r="R32" s="66">
        <f t="shared" si="6"/>
        <v>555</v>
      </c>
      <c r="S32" s="66">
        <f t="shared" si="6"/>
        <v>555</v>
      </c>
      <c r="T32" s="66">
        <f t="shared" si="6"/>
        <v>555</v>
      </c>
      <c r="U32" s="66">
        <f t="shared" si="6"/>
        <v>555</v>
      </c>
      <c r="V32" s="66">
        <f t="shared" si="6"/>
        <v>555</v>
      </c>
      <c r="W32" s="66">
        <f t="shared" si="6"/>
        <v>555</v>
      </c>
      <c r="X32" s="66">
        <f t="shared" si="6"/>
        <v>555</v>
      </c>
    </row>
    <row r="33" spans="2:24" ht="15">
      <c r="B33" s="115" t="s">
        <v>188</v>
      </c>
      <c r="C33" s="112">
        <v>14800</v>
      </c>
      <c r="D33" s="69">
        <v>0.1</v>
      </c>
      <c r="E33" s="61">
        <v>20</v>
      </c>
      <c r="F33" s="182">
        <f t="shared" si="3"/>
        <v>0.05</v>
      </c>
      <c r="G33" s="112">
        <f t="shared" si="4"/>
        <v>1480</v>
      </c>
      <c r="H33" s="112">
        <f t="shared" si="5"/>
        <v>13320</v>
      </c>
      <c r="I33" s="71">
        <f t="shared" si="1"/>
        <v>666</v>
      </c>
      <c r="J33" s="66">
        <f t="shared" si="6"/>
        <v>666</v>
      </c>
      <c r="K33" s="66">
        <f t="shared" si="6"/>
        <v>666</v>
      </c>
      <c r="L33" s="66">
        <f t="shared" si="6"/>
        <v>666</v>
      </c>
      <c r="M33" s="66">
        <f t="shared" si="6"/>
        <v>666</v>
      </c>
      <c r="N33" s="66">
        <f t="shared" si="6"/>
        <v>666</v>
      </c>
      <c r="O33" s="66">
        <f t="shared" si="6"/>
        <v>666</v>
      </c>
      <c r="P33" s="66">
        <f t="shared" si="6"/>
        <v>666</v>
      </c>
      <c r="Q33" s="66">
        <f t="shared" si="6"/>
        <v>666</v>
      </c>
      <c r="R33" s="66">
        <f t="shared" si="6"/>
        <v>666</v>
      </c>
      <c r="S33" s="66">
        <f t="shared" si="6"/>
        <v>666</v>
      </c>
      <c r="T33" s="66">
        <f t="shared" si="6"/>
        <v>666</v>
      </c>
      <c r="U33" s="66">
        <f t="shared" si="6"/>
        <v>666</v>
      </c>
      <c r="V33" s="66">
        <f t="shared" si="6"/>
        <v>666</v>
      </c>
      <c r="W33" s="66">
        <f t="shared" si="6"/>
        <v>666</v>
      </c>
      <c r="X33" s="66">
        <f t="shared" si="6"/>
        <v>666</v>
      </c>
    </row>
    <row r="34" spans="2:24" ht="15">
      <c r="B34" s="115" t="s">
        <v>194</v>
      </c>
      <c r="C34" s="112">
        <v>25000</v>
      </c>
      <c r="D34" s="69">
        <v>0.1</v>
      </c>
      <c r="E34" s="61">
        <v>20</v>
      </c>
      <c r="F34" s="182">
        <f t="shared" si="3"/>
        <v>0.05</v>
      </c>
      <c r="G34" s="112">
        <f t="shared" si="4"/>
        <v>2500</v>
      </c>
      <c r="H34" s="112">
        <f t="shared" si="5"/>
        <v>22500</v>
      </c>
      <c r="I34" s="71">
        <f t="shared" si="1"/>
        <v>1125</v>
      </c>
      <c r="J34" s="66">
        <f t="shared" si="6"/>
        <v>1125</v>
      </c>
      <c r="K34" s="66">
        <f t="shared" si="6"/>
        <v>1125</v>
      </c>
      <c r="L34" s="66">
        <f t="shared" si="6"/>
        <v>1125</v>
      </c>
      <c r="M34" s="66">
        <f t="shared" si="6"/>
        <v>1125</v>
      </c>
      <c r="N34" s="66">
        <f t="shared" si="6"/>
        <v>1125</v>
      </c>
      <c r="O34" s="66">
        <f t="shared" si="6"/>
        <v>1125</v>
      </c>
      <c r="P34" s="66">
        <f t="shared" si="6"/>
        <v>1125</v>
      </c>
      <c r="Q34" s="66">
        <f t="shared" si="6"/>
        <v>1125</v>
      </c>
      <c r="R34" s="66">
        <f t="shared" si="6"/>
        <v>1125</v>
      </c>
      <c r="S34" s="66">
        <f t="shared" si="6"/>
        <v>1125</v>
      </c>
      <c r="T34" s="66">
        <f t="shared" si="6"/>
        <v>1125</v>
      </c>
      <c r="U34" s="66">
        <f t="shared" si="6"/>
        <v>1125</v>
      </c>
      <c r="V34" s="66">
        <f t="shared" si="6"/>
        <v>1125</v>
      </c>
      <c r="W34" s="66">
        <f t="shared" si="6"/>
        <v>1125</v>
      </c>
      <c r="X34" s="66">
        <f t="shared" si="6"/>
        <v>1125</v>
      </c>
    </row>
    <row r="35" spans="2:24" ht="15">
      <c r="B35" s="115" t="s">
        <v>240</v>
      </c>
      <c r="C35" s="112">
        <v>29859.77</v>
      </c>
      <c r="D35" s="69">
        <v>0.1</v>
      </c>
      <c r="E35" s="61">
        <v>20</v>
      </c>
      <c r="F35" s="182">
        <f t="shared" si="3"/>
        <v>0.05</v>
      </c>
      <c r="G35" s="112">
        <f t="shared" si="4"/>
        <v>2985.9770000000003</v>
      </c>
      <c r="H35" s="112">
        <f t="shared" si="5"/>
        <v>26873.793</v>
      </c>
      <c r="I35" s="71">
        <f t="shared" si="1"/>
        <v>1343.68965</v>
      </c>
      <c r="J35" s="66">
        <f t="shared" si="6"/>
        <v>1343.68965</v>
      </c>
      <c r="K35" s="66">
        <f t="shared" si="6"/>
        <v>1343.68965</v>
      </c>
      <c r="L35" s="66">
        <f t="shared" si="6"/>
        <v>1343.68965</v>
      </c>
      <c r="M35" s="66">
        <f t="shared" si="6"/>
        <v>1343.68965</v>
      </c>
      <c r="N35" s="66">
        <f t="shared" si="6"/>
        <v>1343.68965</v>
      </c>
      <c r="O35" s="66">
        <f t="shared" si="6"/>
        <v>1343.68965</v>
      </c>
      <c r="P35" s="66">
        <f t="shared" si="6"/>
        <v>1343.68965</v>
      </c>
      <c r="Q35" s="66">
        <f t="shared" si="6"/>
        <v>1343.68965</v>
      </c>
      <c r="R35" s="66">
        <f t="shared" si="6"/>
        <v>1343.68965</v>
      </c>
      <c r="S35" s="66">
        <f t="shared" si="6"/>
        <v>1343.68965</v>
      </c>
      <c r="T35" s="66">
        <f t="shared" si="6"/>
        <v>1343.68965</v>
      </c>
      <c r="U35" s="66">
        <f t="shared" si="6"/>
        <v>1343.68965</v>
      </c>
      <c r="V35" s="66">
        <f t="shared" si="6"/>
        <v>1343.68965</v>
      </c>
      <c r="W35" s="66">
        <f t="shared" si="6"/>
        <v>1343.68965</v>
      </c>
      <c r="X35" s="66">
        <f t="shared" si="6"/>
        <v>1343.68965</v>
      </c>
    </row>
    <row r="36" spans="10:24" ht="15.75">
      <c r="J36" s="183">
        <f>SUM(J5:J35)</f>
        <v>7199.19441</v>
      </c>
      <c r="K36" s="183">
        <f aca="true" t="shared" si="8" ref="K36:X36">SUM(K5:K35)</f>
        <v>7199.19441</v>
      </c>
      <c r="L36" s="183">
        <f t="shared" si="8"/>
        <v>7199.19441</v>
      </c>
      <c r="M36" s="183">
        <f t="shared" si="8"/>
        <v>7199.19441</v>
      </c>
      <c r="N36" s="183">
        <f t="shared" si="8"/>
        <v>7199.19441</v>
      </c>
      <c r="O36" s="183">
        <f t="shared" si="8"/>
        <v>7199.19441</v>
      </c>
      <c r="P36" s="183">
        <f t="shared" si="8"/>
        <v>7199.19441</v>
      </c>
      <c r="Q36" s="183">
        <f t="shared" si="8"/>
        <v>7199.19441</v>
      </c>
      <c r="R36" s="183">
        <f t="shared" si="8"/>
        <v>7199.19441</v>
      </c>
      <c r="S36" s="183">
        <f t="shared" si="8"/>
        <v>7199.19441</v>
      </c>
      <c r="T36" s="183">
        <f t="shared" si="8"/>
        <v>7199.19441</v>
      </c>
      <c r="U36" s="183">
        <f t="shared" si="8"/>
        <v>7199.19441</v>
      </c>
      <c r="V36" s="183">
        <f t="shared" si="8"/>
        <v>7064.26191</v>
      </c>
      <c r="W36" s="183">
        <f t="shared" si="8"/>
        <v>7064.26191</v>
      </c>
      <c r="X36" s="183">
        <f t="shared" si="8"/>
        <v>7064.26191</v>
      </c>
    </row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Meri</cp:lastModifiedBy>
  <cp:lastPrinted>2004-09-21T02:21:28Z</cp:lastPrinted>
  <dcterms:created xsi:type="dcterms:W3CDTF">2001-08-29T02:13:51Z</dcterms:created>
  <dcterms:modified xsi:type="dcterms:W3CDTF">2004-12-10T03:25:09Z</dcterms:modified>
  <cp:category/>
  <cp:version/>
  <cp:contentType/>
  <cp:contentStatus/>
</cp:coreProperties>
</file>