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83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'Hoja1'!$A$2:$N$15</definedName>
  </definedNames>
  <calcPr fullCalcOnLoad="1"/>
</workbook>
</file>

<file path=xl/sharedStrings.xml><?xml version="1.0" encoding="utf-8"?>
<sst xmlns="http://schemas.openxmlformats.org/spreadsheetml/2006/main" count="257" uniqueCount="97">
  <si>
    <t>M I L A G R O</t>
  </si>
  <si>
    <t xml:space="preserve">FALLA EN </t>
  </si>
  <si>
    <t>FALLA EN</t>
  </si>
  <si>
    <t>NIVEL DE</t>
  </si>
  <si>
    <t>CARGA</t>
  </si>
  <si>
    <t>INSTALADA</t>
  </si>
  <si>
    <t>%KVA</t>
  </si>
  <si>
    <t>FALLA</t>
  </si>
  <si>
    <t>CAUSA ORIGINAL DE LA FALLA</t>
  </si>
  <si>
    <t xml:space="preserve">FECHA </t>
  </si>
  <si>
    <t>mmm-aa</t>
  </si>
  <si>
    <t>Desconexion dd-</t>
  </si>
  <si>
    <t xml:space="preserve">HORA </t>
  </si>
  <si>
    <t>Desconexion</t>
  </si>
  <si>
    <t>hh:mm</t>
  </si>
  <si>
    <t>Conexión/Normalizacion dd-</t>
  </si>
  <si>
    <t>Conexión/Normalizacion</t>
  </si>
  <si>
    <t>TIEMPO</t>
  </si>
  <si>
    <t>Duracion de la falla</t>
  </si>
  <si>
    <t>Horas</t>
  </si>
  <si>
    <t>S/E.</t>
  </si>
  <si>
    <t>(2)</t>
  </si>
  <si>
    <t>ALIMENTADOR (3)</t>
  </si>
  <si>
    <t>VOLTAJE KV</t>
  </si>
  <si>
    <t>(4)</t>
  </si>
  <si>
    <t>ALIMENTADOR KVA</t>
  </si>
  <si>
    <t>(5)</t>
  </si>
  <si>
    <t>Desconectada</t>
  </si>
  <si>
    <t>Kva</t>
  </si>
  <si>
    <t>(6)</t>
  </si>
  <si>
    <t>No. De</t>
  </si>
  <si>
    <t>Consumidores</t>
  </si>
  <si>
    <t>Afectados</t>
  </si>
  <si>
    <t>CLASIFICACION</t>
  </si>
  <si>
    <t>DE LA FALLA</t>
  </si>
  <si>
    <t>(7)</t>
  </si>
  <si>
    <t>(8)</t>
  </si>
  <si>
    <t>IF</t>
  </si>
  <si>
    <t>S. N. I.</t>
  </si>
  <si>
    <t>MILAGRO I ( 69 KV )</t>
  </si>
  <si>
    <t>FALLA POR MALEZA</t>
  </si>
  <si>
    <t>MILAGRO II ( 69 KV )</t>
  </si>
  <si>
    <t>ANTENA DE TV. SOBRE LA LINEA</t>
  </si>
  <si>
    <t>M E S   D E   E N E R O   D E L   2 0 0 3</t>
  </si>
  <si>
    <t>MILAGRO SUR</t>
  </si>
  <si>
    <t>B - 6</t>
  </si>
  <si>
    <t>MANTENIMIENTO</t>
  </si>
  <si>
    <t>MILAGRO II</t>
  </si>
  <si>
    <t>IP</t>
  </si>
  <si>
    <t>(*) REMODELACION A 13.8 EN MILAGRO</t>
  </si>
  <si>
    <t>B - 9</t>
  </si>
  <si>
    <t>(**) REMODELACION EN MILAGRO</t>
  </si>
  <si>
    <t>LINEAS ARRANCADAS</t>
  </si>
  <si>
    <t>B - 2</t>
  </si>
  <si>
    <t>ARBOL SOBRE LA LINEA</t>
  </si>
  <si>
    <t>FALLA POR LLOVISNA</t>
  </si>
  <si>
    <t>S.N.I.</t>
  </si>
  <si>
    <t xml:space="preserve">MALAGRO I, II, III ( 69 KV </t>
  </si>
  <si>
    <t>EF</t>
  </si>
  <si>
    <t>POR INTERCONEXION CON COLOMBIA</t>
  </si>
  <si>
    <t>B - 2 ( 69 KV )</t>
  </si>
  <si>
    <t>FALLA LINEA MONTERO-NARANJAL</t>
  </si>
  <si>
    <t>TRABAJOS EN S. N. I. ( S/E. MILAGRO )</t>
  </si>
  <si>
    <t>FALLA POR DESCARGAS ATMOSFERICAS</t>
  </si>
  <si>
    <t>CENTRAL DIESEL</t>
  </si>
  <si>
    <t>ALIM. NARANJITO</t>
  </si>
  <si>
    <t>LINEA ARRANCADA</t>
  </si>
  <si>
    <t>CAJA FUSIBLE EN MAL ESTADO</t>
  </si>
  <si>
    <t>SALIDA # 2</t>
  </si>
  <si>
    <t xml:space="preserve">CAMBIO DE SWICH </t>
  </si>
  <si>
    <t>PUNTO FLOJO CAJA SECCIONADORA</t>
  </si>
  <si>
    <t>REPARACION DE PUENTE VOLADO</t>
  </si>
  <si>
    <t>ABRIR SECCIONADORES</t>
  </si>
  <si>
    <t>RAMA SOBRE LA LINEA</t>
  </si>
  <si>
    <t>REPARAR PUENTE VOLADO</t>
  </si>
  <si>
    <t>FALLA POR COMETAS</t>
  </si>
  <si>
    <t>FALLA B - 2 ( 69 KV )</t>
  </si>
  <si>
    <t>CAÑAS SOBRE LA LINEA</t>
  </si>
  <si>
    <t>SALIDA # 3</t>
  </si>
  <si>
    <t>PARA CERAR PUENTES</t>
  </si>
  <si>
    <t>NARANJITO</t>
  </si>
  <si>
    <t>ACOMETIDA SOBRE LINEA DE ALTA</t>
  </si>
  <si>
    <t>FALLA EN TRANSFORMADOR</t>
  </si>
  <si>
    <t>( ** ) MANTENIMIENTO TX PODER S/E. SUR</t>
  </si>
  <si>
    <t>B - 8</t>
  </si>
  <si>
    <t>( ** ) MANTENIMIENTO EN PATIOS DEL S.N.I.</t>
  </si>
  <si>
    <t>FALLA ALIM. B - 2</t>
  </si>
  <si>
    <t>( * ) ARBOL SOBRE LA LINEA</t>
  </si>
  <si>
    <t>S.N.I</t>
  </si>
  <si>
    <t>(*) AISLADORES CONTAMINADOS POR LLUVIAS</t>
  </si>
  <si>
    <t>POR FALLA EN ALIM. MONTERO - NARANJAL</t>
  </si>
  <si>
    <t>POR POSTE CHOCADO</t>
  </si>
  <si>
    <t>FALLA  EN RAMAL A 100 CAMAS</t>
  </si>
  <si>
    <t>LINEA FUERA DEL AISLADOR</t>
  </si>
  <si>
    <t>( *** ) POR CONTAMINACION EN AISLADORES</t>
  </si>
  <si>
    <t>POSTE CHOCADO</t>
  </si>
  <si>
    <t>FALLA ALIM. MONTERO NARANJAL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</si>
</sst>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d\-mmm\-yy"/>
    <numFmt numFmtId="187" formatCode="0.000"/>
    <numFmt numFmtId="188" formatCode="0.0"/>
    <numFmt numFmtId="189" formatCode="0.00000"/>
    <numFmt numFmtId="190" formatCode="0.000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7" xfId="0" applyBorder="1" applyAlignment="1">
      <alignment/>
    </xf>
    <xf numFmtId="15" fontId="0" fillId="0" borderId="6" xfId="0" applyNumberFormat="1" applyBorder="1" applyAlignment="1">
      <alignment horizontal="center"/>
    </xf>
    <xf numFmtId="20" fontId="0" fillId="0" borderId="6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88" fontId="0" fillId="0" borderId="15" xfId="0" applyNumberForma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/>
    </xf>
    <xf numFmtId="15" fontId="0" fillId="0" borderId="19" xfId="0" applyNumberFormat="1" applyBorder="1" applyAlignment="1">
      <alignment horizontal="center"/>
    </xf>
    <xf numFmtId="20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5" fontId="0" fillId="0" borderId="21" xfId="0" applyNumberFormat="1" applyBorder="1" applyAlignment="1">
      <alignment horizontal="center"/>
    </xf>
    <xf numFmtId="20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88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188" fontId="0" fillId="0" borderId="6" xfId="0" applyNumberFormat="1" applyBorder="1" applyAlignment="1">
      <alignment horizontal="center"/>
    </xf>
    <xf numFmtId="9" fontId="0" fillId="0" borderId="15" xfId="19" applyBorder="1" applyAlignment="1">
      <alignment horizontal="center"/>
    </xf>
    <xf numFmtId="188" fontId="0" fillId="0" borderId="19" xfId="0" applyNumberFormat="1" applyBorder="1" applyAlignment="1">
      <alignment horizontal="center"/>
    </xf>
    <xf numFmtId="188" fontId="0" fillId="0" borderId="23" xfId="0" applyNumberFormat="1" applyBorder="1" applyAlignment="1">
      <alignment horizontal="center"/>
    </xf>
    <xf numFmtId="188" fontId="0" fillId="0" borderId="15" xfId="0" applyNumberFormat="1" applyFont="1" applyBorder="1" applyAlignment="1">
      <alignment horizontal="center"/>
    </xf>
    <xf numFmtId="187" fontId="0" fillId="0" borderId="0" xfId="0" applyNumberFormat="1" applyBorder="1" applyAlignment="1">
      <alignment horizontal="center"/>
    </xf>
    <xf numFmtId="9" fontId="0" fillId="0" borderId="15" xfId="19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3"/>
  <sheetViews>
    <sheetView tabSelected="1" workbookViewId="0" topLeftCell="A1">
      <selection activeCell="F65" sqref="F65"/>
      <selection activeCell="C4" sqref="C4"/>
    </sheetView>
  </sheetViews>
  <sheetFormatPr defaultColWidth="11.421875" defaultRowHeight="12.75"/>
  <cols>
    <col min="1" max="1" width="14.421875" style="0" customWidth="1"/>
    <col min="2" max="2" width="11.57421875" style="0" customWidth="1"/>
    <col min="3" max="3" width="22.7109375" style="0" customWidth="1"/>
    <col min="4" max="4" width="20.00390625" style="0" customWidth="1"/>
    <col min="5" max="5" width="15.8515625" style="0" customWidth="1"/>
    <col min="6" max="6" width="16.28125" style="0" customWidth="1"/>
    <col min="7" max="7" width="31.57421875" style="0" customWidth="1"/>
    <col min="8" max="8" width="11.57421875" style="0" customWidth="1"/>
    <col min="9" max="9" width="16.140625" style="0" customWidth="1"/>
    <col min="10" max="11" width="12.28125" style="0" customWidth="1"/>
    <col min="12" max="13" width="13.421875" style="0" customWidth="1"/>
    <col min="14" max="14" width="37.140625" style="0" customWidth="1"/>
  </cols>
  <sheetData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4" ht="12.75">
      <c r="A4" s="3"/>
      <c r="B4" s="3"/>
      <c r="C4" s="3"/>
      <c r="D4" s="3"/>
      <c r="E4" s="3"/>
      <c r="F4" s="3"/>
      <c r="G4" s="3"/>
      <c r="H4" s="10" t="s">
        <v>43</v>
      </c>
      <c r="I4" s="3"/>
      <c r="J4" s="3"/>
      <c r="K4" s="3"/>
      <c r="L4" s="3"/>
      <c r="M4" s="3"/>
      <c r="N4" s="4"/>
    </row>
    <row r="5" spans="1:14" ht="15.75">
      <c r="A5" s="5"/>
      <c r="B5" s="6" t="s">
        <v>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</row>
    <row r="6" ht="13.5" thickBot="1"/>
    <row r="7" spans="1:14" ht="12.75">
      <c r="A7" s="14" t="s">
        <v>9</v>
      </c>
      <c r="B7" s="14" t="s">
        <v>12</v>
      </c>
      <c r="C7" s="14" t="s">
        <v>9</v>
      </c>
      <c r="D7" s="14" t="s">
        <v>12</v>
      </c>
      <c r="E7" s="15" t="s">
        <v>17</v>
      </c>
      <c r="F7" s="14" t="s">
        <v>1</v>
      </c>
      <c r="G7" s="14"/>
      <c r="H7" s="15" t="s">
        <v>3</v>
      </c>
      <c r="I7" s="15" t="s">
        <v>4</v>
      </c>
      <c r="J7" s="16" t="s">
        <v>4</v>
      </c>
      <c r="K7" s="15" t="s">
        <v>4</v>
      </c>
      <c r="L7" s="17" t="s">
        <v>30</v>
      </c>
      <c r="M7" s="15" t="s">
        <v>33</v>
      </c>
      <c r="N7" s="15"/>
    </row>
    <row r="8" spans="1:14" ht="12.75">
      <c r="A8" s="18" t="s">
        <v>11</v>
      </c>
      <c r="B8" s="18" t="s">
        <v>13</v>
      </c>
      <c r="C8" s="18" t="s">
        <v>15</v>
      </c>
      <c r="D8" s="18" t="s">
        <v>16</v>
      </c>
      <c r="E8" s="18" t="s">
        <v>18</v>
      </c>
      <c r="F8" s="18" t="s">
        <v>20</v>
      </c>
      <c r="G8" s="18" t="s">
        <v>2</v>
      </c>
      <c r="H8" s="18" t="s">
        <v>23</v>
      </c>
      <c r="I8" s="18" t="s">
        <v>5</v>
      </c>
      <c r="J8" s="19" t="s">
        <v>27</v>
      </c>
      <c r="K8" s="18" t="s">
        <v>27</v>
      </c>
      <c r="L8" s="20" t="s">
        <v>31</v>
      </c>
      <c r="M8" s="18" t="s">
        <v>34</v>
      </c>
      <c r="N8" s="21" t="s">
        <v>8</v>
      </c>
    </row>
    <row r="9" spans="1:14" ht="12.75">
      <c r="A9" s="26" t="s">
        <v>10</v>
      </c>
      <c r="B9" s="26" t="s">
        <v>14</v>
      </c>
      <c r="C9" s="26" t="s">
        <v>10</v>
      </c>
      <c r="D9" s="26" t="s">
        <v>14</v>
      </c>
      <c r="E9" s="26" t="s">
        <v>19</v>
      </c>
      <c r="F9" s="28" t="s">
        <v>21</v>
      </c>
      <c r="G9" s="26" t="s">
        <v>22</v>
      </c>
      <c r="H9" s="28" t="s">
        <v>24</v>
      </c>
      <c r="I9" s="26" t="s">
        <v>25</v>
      </c>
      <c r="J9" s="24" t="s">
        <v>28</v>
      </c>
      <c r="K9" s="26" t="s">
        <v>6</v>
      </c>
      <c r="L9" s="25" t="s">
        <v>32</v>
      </c>
      <c r="M9" s="26" t="s">
        <v>7</v>
      </c>
      <c r="N9" s="28" t="s">
        <v>36</v>
      </c>
    </row>
    <row r="10" spans="1:14" ht="13.5" thickBot="1">
      <c r="A10" s="22"/>
      <c r="B10" s="22"/>
      <c r="C10" s="22"/>
      <c r="D10" s="22"/>
      <c r="E10" s="22"/>
      <c r="F10" s="22"/>
      <c r="G10" s="22"/>
      <c r="H10" s="22"/>
      <c r="I10" s="27" t="s">
        <v>26</v>
      </c>
      <c r="J10" s="22"/>
      <c r="K10" s="27" t="s">
        <v>29</v>
      </c>
      <c r="L10" s="22"/>
      <c r="M10" s="27" t="s">
        <v>35</v>
      </c>
      <c r="N10" s="22"/>
    </row>
    <row r="11" spans="1:14" ht="12.75">
      <c r="A11" s="12">
        <v>37630</v>
      </c>
      <c r="B11" s="13">
        <v>0.4916666666666667</v>
      </c>
      <c r="C11" s="12">
        <v>37630</v>
      </c>
      <c r="D11" s="13">
        <v>0.5069444444444444</v>
      </c>
      <c r="E11" s="13">
        <v>0.015277777777777777</v>
      </c>
      <c r="F11" s="8" t="s">
        <v>38</v>
      </c>
      <c r="G11" s="8" t="s">
        <v>39</v>
      </c>
      <c r="H11" s="9">
        <v>69</v>
      </c>
      <c r="I11" s="23">
        <f>7000*0.96</f>
        <v>6720</v>
      </c>
      <c r="J11" s="8"/>
      <c r="K11" s="23">
        <f>I11*0.96*100/30300</f>
        <v>21.291089108910892</v>
      </c>
      <c r="L11" s="9">
        <v>21693</v>
      </c>
      <c r="M11" s="9" t="s">
        <v>37</v>
      </c>
      <c r="N11" s="11" t="s">
        <v>40</v>
      </c>
    </row>
    <row r="12" spans="1:14" ht="12.75">
      <c r="A12" s="12">
        <v>37643</v>
      </c>
      <c r="B12" s="13">
        <v>0.8020833333333334</v>
      </c>
      <c r="C12" s="12">
        <v>37643</v>
      </c>
      <c r="D12" s="13">
        <v>0.8194444444444445</v>
      </c>
      <c r="E12" s="13">
        <v>0.017361111111111112</v>
      </c>
      <c r="F12" s="8" t="s">
        <v>38</v>
      </c>
      <c r="G12" s="8" t="s">
        <v>41</v>
      </c>
      <c r="H12" s="9">
        <v>69</v>
      </c>
      <c r="I12" s="23">
        <f>12000*0.96</f>
        <v>11520</v>
      </c>
      <c r="J12" s="8"/>
      <c r="K12" s="23">
        <f>I12*0.96*100/48200</f>
        <v>22.944398340248963</v>
      </c>
      <c r="L12" s="9">
        <v>31195</v>
      </c>
      <c r="M12" s="9" t="s">
        <v>37</v>
      </c>
      <c r="N12" s="11" t="s">
        <v>40</v>
      </c>
    </row>
    <row r="13" spans="1:14" ht="12.75">
      <c r="A13" s="12">
        <v>37644</v>
      </c>
      <c r="B13" s="13">
        <v>0.5097222222222222</v>
      </c>
      <c r="C13" s="12">
        <v>37644</v>
      </c>
      <c r="D13" s="13">
        <v>0.54375</v>
      </c>
      <c r="E13" s="13">
        <v>0.049305555555555554</v>
      </c>
      <c r="F13" s="8" t="s">
        <v>38</v>
      </c>
      <c r="G13" s="8" t="s">
        <v>39</v>
      </c>
      <c r="H13" s="9">
        <v>69</v>
      </c>
      <c r="I13" s="23">
        <f>7000*0.96</f>
        <v>6720</v>
      </c>
      <c r="J13" s="8"/>
      <c r="K13" s="23">
        <f>I13*0.96*100/30300</f>
        <v>21.291089108910892</v>
      </c>
      <c r="L13" s="9">
        <v>21693</v>
      </c>
      <c r="M13" s="9" t="s">
        <v>37</v>
      </c>
      <c r="N13" s="11" t="s">
        <v>42</v>
      </c>
    </row>
    <row r="14" spans="1:14" ht="12.75">
      <c r="A14" s="12">
        <v>37653</v>
      </c>
      <c r="B14" s="13">
        <v>0.40625</v>
      </c>
      <c r="C14" s="12">
        <v>37653</v>
      </c>
      <c r="D14" s="13">
        <v>0.4166666666666667</v>
      </c>
      <c r="E14" s="13">
        <v>0.010416666666666666</v>
      </c>
      <c r="F14" s="8" t="s">
        <v>44</v>
      </c>
      <c r="G14" s="8" t="s">
        <v>45</v>
      </c>
      <c r="H14" s="9">
        <v>13.8</v>
      </c>
      <c r="I14" s="23">
        <f>4100*0.96</f>
        <v>3936</v>
      </c>
      <c r="J14" s="8"/>
      <c r="K14" s="23">
        <f>I14*0.96*100/37900</f>
        <v>9.96981530343008</v>
      </c>
      <c r="L14" s="9">
        <v>9454</v>
      </c>
      <c r="M14" s="29" t="s">
        <v>37</v>
      </c>
      <c r="N14" s="11" t="s">
        <v>46</v>
      </c>
    </row>
    <row r="15" spans="1:14" ht="12.75">
      <c r="A15" s="12">
        <v>37655</v>
      </c>
      <c r="B15" s="13">
        <v>0.3368055555555556</v>
      </c>
      <c r="C15" s="12">
        <v>37655</v>
      </c>
      <c r="D15" s="13">
        <v>0.6986111111111111</v>
      </c>
      <c r="E15" s="13">
        <v>0.36180555555555555</v>
      </c>
      <c r="F15" s="8" t="s">
        <v>38</v>
      </c>
      <c r="G15" s="8" t="s">
        <v>47</v>
      </c>
      <c r="H15" s="9">
        <v>69</v>
      </c>
      <c r="I15" s="23">
        <f>12000*0.96</f>
        <v>11520</v>
      </c>
      <c r="J15" s="8"/>
      <c r="K15" s="23">
        <f>I15*0.96*100/29100</f>
        <v>38.004123711340206</v>
      </c>
      <c r="L15" s="9">
        <v>31195</v>
      </c>
      <c r="M15" s="29" t="s">
        <v>48</v>
      </c>
      <c r="N15" s="11" t="s">
        <v>49</v>
      </c>
    </row>
    <row r="16" spans="1:14" ht="12.75">
      <c r="A16" s="12">
        <v>37655</v>
      </c>
      <c r="B16" s="13">
        <v>0.45416666666666666</v>
      </c>
      <c r="C16" s="12">
        <v>37655</v>
      </c>
      <c r="D16" s="13">
        <v>0.6833333333333332</v>
      </c>
      <c r="E16" s="13">
        <v>0.22916666666666666</v>
      </c>
      <c r="F16" s="8" t="s">
        <v>44</v>
      </c>
      <c r="G16" s="8" t="s">
        <v>50</v>
      </c>
      <c r="H16" s="9">
        <v>13.8</v>
      </c>
      <c r="I16" s="23">
        <f>3500*0.96</f>
        <v>3360</v>
      </c>
      <c r="J16" s="8"/>
      <c r="K16" s="23">
        <f>I16*0.96*100/30600</f>
        <v>10.541176470588235</v>
      </c>
      <c r="L16" s="9">
        <v>4737</v>
      </c>
      <c r="M16" s="29" t="s">
        <v>48</v>
      </c>
      <c r="N16" s="11" t="s">
        <v>51</v>
      </c>
    </row>
    <row r="17" spans="1:14" ht="12.75">
      <c r="A17" s="12">
        <v>37656</v>
      </c>
      <c r="B17" s="13">
        <v>0.3368055555555556</v>
      </c>
      <c r="C17" s="12">
        <v>37656</v>
      </c>
      <c r="D17" s="13">
        <v>0.7361111111111112</v>
      </c>
      <c r="E17" s="13">
        <v>0.3993055555555556</v>
      </c>
      <c r="F17" s="8" t="s">
        <v>38</v>
      </c>
      <c r="G17" s="8" t="s">
        <v>47</v>
      </c>
      <c r="H17" s="9">
        <v>69</v>
      </c>
      <c r="I17" s="23">
        <f>12000*0.96</f>
        <v>11520</v>
      </c>
      <c r="J17" s="8"/>
      <c r="K17" s="23">
        <f>I17*0.96*100/29100</f>
        <v>38.004123711340206</v>
      </c>
      <c r="L17" s="9">
        <v>31195</v>
      </c>
      <c r="M17" s="29" t="s">
        <v>48</v>
      </c>
      <c r="N17" s="11" t="s">
        <v>49</v>
      </c>
    </row>
    <row r="18" spans="1:14" ht="12.75">
      <c r="A18" s="12">
        <v>37656</v>
      </c>
      <c r="B18" s="13">
        <v>0.4055555555555555</v>
      </c>
      <c r="C18" s="12">
        <v>37656</v>
      </c>
      <c r="D18" s="13">
        <v>0.4583333333333333</v>
      </c>
      <c r="E18" s="13">
        <v>0.05277777777777778</v>
      </c>
      <c r="F18" s="8" t="s">
        <v>44</v>
      </c>
      <c r="G18" s="8" t="s">
        <v>50</v>
      </c>
      <c r="H18" s="9">
        <v>13.8</v>
      </c>
      <c r="I18" s="23">
        <f>3500*0.96</f>
        <v>3360</v>
      </c>
      <c r="J18" s="8"/>
      <c r="K18" s="23">
        <f>I18*0.96*100/30300</f>
        <v>10.645544554455446</v>
      </c>
      <c r="L18" s="9">
        <v>4737</v>
      </c>
      <c r="M18" s="29" t="s">
        <v>48</v>
      </c>
      <c r="N18" s="11" t="s">
        <v>51</v>
      </c>
    </row>
    <row r="19" spans="1:14" ht="12.75">
      <c r="A19" s="12">
        <v>37656</v>
      </c>
      <c r="B19" s="13">
        <v>0.7916666666666666</v>
      </c>
      <c r="C19" s="12">
        <v>37656</v>
      </c>
      <c r="D19" s="13">
        <v>0.8319444444444444</v>
      </c>
      <c r="E19" s="13">
        <v>0.04027777777777778</v>
      </c>
      <c r="F19" s="8" t="s">
        <v>44</v>
      </c>
      <c r="G19" s="8" t="s">
        <v>50</v>
      </c>
      <c r="H19" s="9">
        <v>13.8</v>
      </c>
      <c r="I19" s="23">
        <f>3500*0.96</f>
        <v>3360</v>
      </c>
      <c r="J19" s="8"/>
      <c r="K19" s="23">
        <f>I19*0.96*100/48200</f>
        <v>6.692116182572614</v>
      </c>
      <c r="L19" s="9">
        <v>4737</v>
      </c>
      <c r="M19" s="29" t="s">
        <v>37</v>
      </c>
      <c r="N19" s="11" t="s">
        <v>52</v>
      </c>
    </row>
    <row r="20" spans="1:14" ht="12.75">
      <c r="A20" s="12">
        <v>37657</v>
      </c>
      <c r="B20" s="13">
        <v>0.33055555555555555</v>
      </c>
      <c r="C20" s="12">
        <v>37657</v>
      </c>
      <c r="D20" s="13">
        <v>0.7638888888888888</v>
      </c>
      <c r="E20" s="13">
        <v>0.43333333333333335</v>
      </c>
      <c r="F20" s="8" t="s">
        <v>38</v>
      </c>
      <c r="G20" s="8" t="s">
        <v>47</v>
      </c>
      <c r="H20" s="9">
        <v>69</v>
      </c>
      <c r="I20" s="23">
        <f>12000*0.96</f>
        <v>11520</v>
      </c>
      <c r="J20" s="8"/>
      <c r="K20" s="23">
        <f>I20*0.96*100/29100</f>
        <v>38.004123711340206</v>
      </c>
      <c r="L20" s="9">
        <v>31195</v>
      </c>
      <c r="M20" s="29" t="s">
        <v>48</v>
      </c>
      <c r="N20" s="11" t="s">
        <v>49</v>
      </c>
    </row>
    <row r="21" spans="1:14" ht="12.75">
      <c r="A21" s="12">
        <v>37657</v>
      </c>
      <c r="B21" s="13">
        <v>0.4125</v>
      </c>
      <c r="C21" s="12">
        <v>37657</v>
      </c>
      <c r="D21" s="13">
        <v>0.6965277777777777</v>
      </c>
      <c r="E21" s="13">
        <v>0.28402777777777777</v>
      </c>
      <c r="F21" s="8" t="s">
        <v>44</v>
      </c>
      <c r="G21" s="8" t="s">
        <v>45</v>
      </c>
      <c r="H21" s="9">
        <v>13.8</v>
      </c>
      <c r="I21" s="23">
        <f>4100*0.96</f>
        <v>3936</v>
      </c>
      <c r="J21" s="8"/>
      <c r="K21" s="23">
        <f>I21*0.96*100/30300</f>
        <v>12.470495049504951</v>
      </c>
      <c r="L21" s="9">
        <v>9454</v>
      </c>
      <c r="M21" s="29" t="s">
        <v>48</v>
      </c>
      <c r="N21" s="11" t="s">
        <v>51</v>
      </c>
    </row>
    <row r="22" spans="1:14" ht="12.75">
      <c r="A22" s="31">
        <v>37669</v>
      </c>
      <c r="B22" s="32">
        <v>0.5694444444444444</v>
      </c>
      <c r="C22" s="31">
        <v>37669</v>
      </c>
      <c r="D22" s="32">
        <v>0.6215277777777778</v>
      </c>
      <c r="E22" s="32">
        <v>0.04513888888888889</v>
      </c>
      <c r="F22" s="30" t="s">
        <v>44</v>
      </c>
      <c r="G22" s="30" t="s">
        <v>53</v>
      </c>
      <c r="H22" s="33">
        <v>69</v>
      </c>
      <c r="I22" s="23">
        <f>12000*0.96</f>
        <v>11520</v>
      </c>
      <c r="J22" s="30"/>
      <c r="K22" s="23">
        <f>I22*0.96*100/31000</f>
        <v>35.67483870967742</v>
      </c>
      <c r="L22" s="33">
        <v>14109</v>
      </c>
      <c r="M22" s="33" t="s">
        <v>37</v>
      </c>
      <c r="N22" s="34" t="s">
        <v>54</v>
      </c>
    </row>
    <row r="23" spans="1:14" ht="12.75">
      <c r="A23" s="31">
        <v>37671</v>
      </c>
      <c r="B23" s="32">
        <v>0.6840277777777778</v>
      </c>
      <c r="C23" s="31">
        <v>37671</v>
      </c>
      <c r="D23" s="32">
        <v>0.6958333333333333</v>
      </c>
      <c r="E23" s="32">
        <v>0.011805555555555555</v>
      </c>
      <c r="F23" s="30" t="s">
        <v>38</v>
      </c>
      <c r="G23" s="30" t="s">
        <v>47</v>
      </c>
      <c r="H23" s="33">
        <v>69</v>
      </c>
      <c r="I23" s="23">
        <f>12000*0.96</f>
        <v>11520</v>
      </c>
      <c r="J23" s="30"/>
      <c r="K23" s="23">
        <f>I23*0.96*100/30000</f>
        <v>36.864</v>
      </c>
      <c r="L23" s="33">
        <v>31195</v>
      </c>
      <c r="M23" s="33" t="s">
        <v>37</v>
      </c>
      <c r="N23" s="34" t="s">
        <v>40</v>
      </c>
    </row>
    <row r="24" spans="1:14" ht="12.75">
      <c r="A24" s="31">
        <v>37677</v>
      </c>
      <c r="B24" s="32">
        <v>0.2152777777777778</v>
      </c>
      <c r="C24" s="31">
        <v>37677</v>
      </c>
      <c r="D24" s="32">
        <v>0.22916666666666666</v>
      </c>
      <c r="E24" s="32">
        <v>0.013888888888888888</v>
      </c>
      <c r="F24" s="30" t="s">
        <v>38</v>
      </c>
      <c r="G24" s="30" t="s">
        <v>47</v>
      </c>
      <c r="H24" s="33">
        <v>69</v>
      </c>
      <c r="I24" s="23">
        <f>12000*0.96</f>
        <v>11520</v>
      </c>
      <c r="J24" s="30"/>
      <c r="K24" s="23">
        <f>I24*0.96*100/31800</f>
        <v>34.77735849056604</v>
      </c>
      <c r="L24" s="33">
        <v>31195</v>
      </c>
      <c r="M24" s="33" t="s">
        <v>37</v>
      </c>
      <c r="N24" s="34" t="s">
        <v>55</v>
      </c>
    </row>
    <row r="25" spans="1:14" ht="12.75">
      <c r="A25" s="12">
        <v>37681</v>
      </c>
      <c r="B25" s="13">
        <v>0.40347222222222223</v>
      </c>
      <c r="C25" s="12">
        <v>37681</v>
      </c>
      <c r="D25" s="13">
        <v>0.4902777777777778</v>
      </c>
      <c r="E25" s="13">
        <v>0.08680555555555557</v>
      </c>
      <c r="F25" s="8" t="s">
        <v>56</v>
      </c>
      <c r="G25" s="8" t="s">
        <v>57</v>
      </c>
      <c r="H25" s="9">
        <v>69</v>
      </c>
      <c r="I25" s="23">
        <f>39200*0.96</f>
        <v>37632</v>
      </c>
      <c r="J25" s="8"/>
      <c r="K25" s="23">
        <f>I25*0.96*100/34300</f>
        <v>105.32571428571428</v>
      </c>
      <c r="L25" s="9">
        <v>75001</v>
      </c>
      <c r="M25" s="29" t="s">
        <v>58</v>
      </c>
      <c r="N25" s="11" t="s">
        <v>59</v>
      </c>
    </row>
    <row r="26" spans="1:14" ht="12.75">
      <c r="A26" s="12">
        <v>37689</v>
      </c>
      <c r="B26" s="13">
        <v>0.8409722222222222</v>
      </c>
      <c r="C26" s="12">
        <v>37689</v>
      </c>
      <c r="D26" s="13">
        <v>0.8638888888888889</v>
      </c>
      <c r="E26" s="13">
        <v>0.029861111111111113</v>
      </c>
      <c r="F26" s="8" t="s">
        <v>44</v>
      </c>
      <c r="G26" s="8" t="s">
        <v>60</v>
      </c>
      <c r="H26" s="9">
        <v>69</v>
      </c>
      <c r="I26" s="23">
        <f>10500*0.96</f>
        <v>10080</v>
      </c>
      <c r="J26" s="8"/>
      <c r="K26" s="23">
        <f>I26*0.96*100/55100</f>
        <v>17.562250453720505</v>
      </c>
      <c r="L26" s="9">
        <v>14109</v>
      </c>
      <c r="M26" s="29" t="s">
        <v>37</v>
      </c>
      <c r="N26" s="11" t="s">
        <v>61</v>
      </c>
    </row>
    <row r="27" spans="1:14" ht="12.75">
      <c r="A27" s="12">
        <v>37696</v>
      </c>
      <c r="B27" s="13">
        <v>0.3416666666666666</v>
      </c>
      <c r="C27" s="12">
        <v>37696</v>
      </c>
      <c r="D27" s="13">
        <v>0.4763888888888889</v>
      </c>
      <c r="E27" s="13">
        <v>0.13472222222222222</v>
      </c>
      <c r="F27" s="8" t="s">
        <v>56</v>
      </c>
      <c r="G27" s="8" t="s">
        <v>57</v>
      </c>
      <c r="H27" s="9">
        <v>69</v>
      </c>
      <c r="I27" s="23">
        <f>39200*0.96</f>
        <v>37632</v>
      </c>
      <c r="J27" s="8"/>
      <c r="K27" s="23">
        <f>I27*0.96*100/33400</f>
        <v>108.16383233532935</v>
      </c>
      <c r="L27" s="9">
        <v>75001</v>
      </c>
      <c r="M27" s="29" t="s">
        <v>48</v>
      </c>
      <c r="N27" s="11" t="s">
        <v>62</v>
      </c>
    </row>
    <row r="28" spans="1:14" ht="12.75">
      <c r="A28" s="12">
        <v>37698</v>
      </c>
      <c r="B28" s="13">
        <v>0.2465277777777778</v>
      </c>
      <c r="C28" s="12">
        <v>37698</v>
      </c>
      <c r="D28" s="13">
        <v>0.26666666666666666</v>
      </c>
      <c r="E28" s="13">
        <v>0.02013888888888889</v>
      </c>
      <c r="F28" s="8" t="s">
        <v>44</v>
      </c>
      <c r="G28" s="8" t="s">
        <v>60</v>
      </c>
      <c r="H28" s="9">
        <v>69</v>
      </c>
      <c r="I28" s="23">
        <f>7000*0.96</f>
        <v>6720</v>
      </c>
      <c r="J28" s="8"/>
      <c r="K28" s="23">
        <f>I28*0.96*100/32100</f>
        <v>20.097196261682242</v>
      </c>
      <c r="L28" s="9">
        <v>14109</v>
      </c>
      <c r="M28" s="29" t="s">
        <v>37</v>
      </c>
      <c r="N28" s="11" t="s">
        <v>63</v>
      </c>
    </row>
    <row r="29" spans="1:14" ht="12.75">
      <c r="A29" s="31">
        <v>37701</v>
      </c>
      <c r="B29" s="32">
        <v>0.9694444444444444</v>
      </c>
      <c r="C29" s="31">
        <v>37701</v>
      </c>
      <c r="D29" s="32">
        <v>0.9861111111111112</v>
      </c>
      <c r="E29" s="32">
        <v>0.016666666666666666</v>
      </c>
      <c r="F29" s="30" t="s">
        <v>64</v>
      </c>
      <c r="G29" s="30" t="s">
        <v>65</v>
      </c>
      <c r="H29" s="33">
        <v>13.8</v>
      </c>
      <c r="I29" s="23">
        <f>1400*0.96</f>
        <v>1344</v>
      </c>
      <c r="J29" s="30"/>
      <c r="K29" s="23">
        <f>I29*0.96*100/39000</f>
        <v>3.308307692307692</v>
      </c>
      <c r="L29" s="33">
        <v>2500</v>
      </c>
      <c r="M29" s="33" t="s">
        <v>37</v>
      </c>
      <c r="N29" s="34" t="s">
        <v>66</v>
      </c>
    </row>
    <row r="30" spans="1:14" ht="12.75">
      <c r="A30" s="12">
        <v>37717</v>
      </c>
      <c r="B30" s="13">
        <v>0.8402777777777778</v>
      </c>
      <c r="C30" s="12">
        <v>37717</v>
      </c>
      <c r="D30" s="13">
        <v>0.8541666666666666</v>
      </c>
      <c r="E30" s="13">
        <v>0.013888888888888888</v>
      </c>
      <c r="F30" s="8" t="s">
        <v>44</v>
      </c>
      <c r="G30" s="8" t="s">
        <v>45</v>
      </c>
      <c r="H30" s="9">
        <v>13.8</v>
      </c>
      <c r="I30" s="23">
        <f>4000*0.96</f>
        <v>3840</v>
      </c>
      <c r="J30" s="8"/>
      <c r="K30" s="23">
        <f>I30*0.96*100/55100</f>
        <v>6.6903811252268595</v>
      </c>
      <c r="L30" s="9">
        <v>9454</v>
      </c>
      <c r="M30" s="29" t="s">
        <v>37</v>
      </c>
      <c r="N30" s="11" t="s">
        <v>67</v>
      </c>
    </row>
    <row r="31" spans="1:14" ht="12.75">
      <c r="A31" s="12">
        <v>37723</v>
      </c>
      <c r="B31" s="13">
        <v>0.45555555555555555</v>
      </c>
      <c r="C31" s="12">
        <v>37723</v>
      </c>
      <c r="D31" s="13">
        <v>0.4902777777777778</v>
      </c>
      <c r="E31" s="13">
        <v>0.034722222222222224</v>
      </c>
      <c r="F31" s="8" t="s">
        <v>44</v>
      </c>
      <c r="G31" s="8" t="s">
        <v>68</v>
      </c>
      <c r="H31" s="9">
        <v>13.8</v>
      </c>
      <c r="I31" s="23">
        <f>2500*0.96</f>
        <v>2400</v>
      </c>
      <c r="J31" s="8"/>
      <c r="K31" s="23">
        <f>I31*0.96*100/36500</f>
        <v>6.3123287671232875</v>
      </c>
      <c r="L31" s="9">
        <v>6147</v>
      </c>
      <c r="M31" s="29" t="s">
        <v>37</v>
      </c>
      <c r="N31" s="11" t="s">
        <v>69</v>
      </c>
    </row>
    <row r="32" spans="1:14" ht="12.75">
      <c r="A32" s="31">
        <v>37741</v>
      </c>
      <c r="B32" s="32">
        <v>0.7986111111111112</v>
      </c>
      <c r="C32" s="31">
        <v>37741</v>
      </c>
      <c r="D32" s="32">
        <v>0.8472222222222222</v>
      </c>
      <c r="E32" s="32">
        <v>0.04861111111111111</v>
      </c>
      <c r="F32" s="30" t="s">
        <v>44</v>
      </c>
      <c r="G32" s="30" t="s">
        <v>68</v>
      </c>
      <c r="H32" s="33">
        <v>13.8</v>
      </c>
      <c r="I32" s="23">
        <f>3500*0.96</f>
        <v>3360</v>
      </c>
      <c r="J32" s="30"/>
      <c r="K32" s="23">
        <f>I32*0.96*100/44000</f>
        <v>7.330909090909091</v>
      </c>
      <c r="L32" s="33">
        <v>6147</v>
      </c>
      <c r="M32" s="33" t="s">
        <v>37</v>
      </c>
      <c r="N32" s="34" t="s">
        <v>70</v>
      </c>
    </row>
    <row r="33" spans="1:14" ht="13.5" thickBot="1">
      <c r="A33" s="36">
        <v>37741</v>
      </c>
      <c r="B33" s="37">
        <v>0.9166666666666666</v>
      </c>
      <c r="C33" s="36">
        <v>37741</v>
      </c>
      <c r="D33" s="37">
        <v>0.9375</v>
      </c>
      <c r="E33" s="37">
        <v>0.020833333333333332</v>
      </c>
      <c r="F33" s="35" t="s">
        <v>44</v>
      </c>
      <c r="G33" s="35" t="s">
        <v>68</v>
      </c>
      <c r="H33" s="38">
        <v>13.8</v>
      </c>
      <c r="I33" s="39">
        <f>3000*0.96</f>
        <v>2880</v>
      </c>
      <c r="J33" s="35"/>
      <c r="K33" s="39">
        <f>I33*0.96*100/44000</f>
        <v>6.283636363636363</v>
      </c>
      <c r="L33" s="38">
        <v>6147</v>
      </c>
      <c r="M33" s="38" t="s">
        <v>37</v>
      </c>
      <c r="N33" s="40" t="s">
        <v>71</v>
      </c>
    </row>
    <row r="34" spans="1:14" ht="12.75">
      <c r="A34" s="12">
        <v>37750</v>
      </c>
      <c r="B34" s="13">
        <v>0.3958333333333333</v>
      </c>
      <c r="C34" s="12">
        <v>37750</v>
      </c>
      <c r="D34" s="13">
        <v>0.3993055555555556</v>
      </c>
      <c r="E34" s="13">
        <v>0.003472222222222222</v>
      </c>
      <c r="F34" s="8" t="s">
        <v>44</v>
      </c>
      <c r="G34" s="8" t="s">
        <v>50</v>
      </c>
      <c r="H34" s="9">
        <v>13.8</v>
      </c>
      <c r="I34" s="23">
        <f>3958/0.96</f>
        <v>4122.916666666667</v>
      </c>
      <c r="J34" s="41">
        <f>3500/0.96</f>
        <v>3645.8333333333335</v>
      </c>
      <c r="K34" s="42">
        <f aca="true" t="shared" si="0" ref="K34:K39">J34/I34</f>
        <v>0.8842849924204144</v>
      </c>
      <c r="L34" s="9">
        <v>4737</v>
      </c>
      <c r="M34" s="29" t="s">
        <v>37</v>
      </c>
      <c r="N34" s="11" t="s">
        <v>72</v>
      </c>
    </row>
    <row r="35" spans="1:14" ht="12.75">
      <c r="A35" s="31">
        <v>37758</v>
      </c>
      <c r="B35" s="32">
        <v>0.4479166666666667</v>
      </c>
      <c r="C35" s="31">
        <v>37758</v>
      </c>
      <c r="D35" s="32">
        <v>0.4673611111111111</v>
      </c>
      <c r="E35" s="32">
        <v>0.019444444444444445</v>
      </c>
      <c r="F35" s="30" t="s">
        <v>38</v>
      </c>
      <c r="G35" s="30" t="s">
        <v>39</v>
      </c>
      <c r="H35" s="33">
        <v>69</v>
      </c>
      <c r="I35" s="23">
        <f>16864.6/0.96</f>
        <v>17567.291666666664</v>
      </c>
      <c r="J35" s="23">
        <f>16864.6/0.96</f>
        <v>17567.291666666664</v>
      </c>
      <c r="K35" s="42">
        <f t="shared" si="0"/>
        <v>1</v>
      </c>
      <c r="L35" s="33">
        <v>21693</v>
      </c>
      <c r="M35" s="33" t="s">
        <v>37</v>
      </c>
      <c r="N35" s="11" t="s">
        <v>7</v>
      </c>
    </row>
    <row r="36" spans="1:14" ht="12.75">
      <c r="A36" s="31">
        <v>37758</v>
      </c>
      <c r="B36" s="32">
        <v>0.5506944444444445</v>
      </c>
      <c r="C36" s="31">
        <v>37758</v>
      </c>
      <c r="D36" s="32">
        <v>0.6152777777777778</v>
      </c>
      <c r="E36" s="32">
        <v>0.06458333333333334</v>
      </c>
      <c r="F36" s="30" t="s">
        <v>44</v>
      </c>
      <c r="G36" s="30" t="s">
        <v>68</v>
      </c>
      <c r="H36" s="33">
        <v>13.8</v>
      </c>
      <c r="I36" s="23">
        <f>3360/0.96</f>
        <v>3500</v>
      </c>
      <c r="J36" s="43">
        <f>2650/0.96</f>
        <v>2760.416666666667</v>
      </c>
      <c r="K36" s="42">
        <f t="shared" si="0"/>
        <v>0.7886904761904763</v>
      </c>
      <c r="L36" s="33">
        <v>5700</v>
      </c>
      <c r="M36" s="33" t="s">
        <v>37</v>
      </c>
      <c r="N36" s="34" t="s">
        <v>7</v>
      </c>
    </row>
    <row r="37" spans="1:14" ht="12.75">
      <c r="A37" s="31">
        <v>37768</v>
      </c>
      <c r="B37" s="32">
        <v>0.7638888888888888</v>
      </c>
      <c r="C37" s="31">
        <v>37768</v>
      </c>
      <c r="D37" s="32">
        <v>0.7951388888888888</v>
      </c>
      <c r="E37" s="32">
        <v>0.03125</v>
      </c>
      <c r="F37" s="30" t="s">
        <v>44</v>
      </c>
      <c r="G37" s="30" t="s">
        <v>50</v>
      </c>
      <c r="H37" s="33">
        <v>13.8</v>
      </c>
      <c r="I37" s="23">
        <f>3958/0.96</f>
        <v>4122.916666666667</v>
      </c>
      <c r="J37" s="23">
        <f>3958/0.96</f>
        <v>4122.916666666667</v>
      </c>
      <c r="K37" s="42">
        <f t="shared" si="0"/>
        <v>1</v>
      </c>
      <c r="L37" s="33">
        <v>4737</v>
      </c>
      <c r="M37" s="33" t="s">
        <v>37</v>
      </c>
      <c r="N37" s="34" t="s">
        <v>66</v>
      </c>
    </row>
    <row r="38" spans="1:14" ht="12.75">
      <c r="A38" s="31">
        <v>37771</v>
      </c>
      <c r="B38" s="32">
        <v>0.6979166666666666</v>
      </c>
      <c r="C38" s="31">
        <v>37771</v>
      </c>
      <c r="D38" s="32">
        <v>0.7555555555555555</v>
      </c>
      <c r="E38" s="32">
        <v>0.057638888888888885</v>
      </c>
      <c r="F38" s="30" t="s">
        <v>44</v>
      </c>
      <c r="G38" s="30" t="s">
        <v>50</v>
      </c>
      <c r="H38" s="33">
        <v>13.8</v>
      </c>
      <c r="I38" s="44">
        <v>3958</v>
      </c>
      <c r="J38" s="43">
        <f>2000/0.96</f>
        <v>2083.3333333333335</v>
      </c>
      <c r="K38" s="42">
        <f t="shared" si="0"/>
        <v>0.526360114535961</v>
      </c>
      <c r="L38" s="33">
        <v>4737</v>
      </c>
      <c r="M38" s="33" t="s">
        <v>37</v>
      </c>
      <c r="N38" s="34" t="s">
        <v>73</v>
      </c>
    </row>
    <row r="39" spans="1:14" ht="13.5" thickBot="1">
      <c r="A39" s="36">
        <v>37771</v>
      </c>
      <c r="B39" s="37">
        <v>0.7638888888888888</v>
      </c>
      <c r="C39" s="36">
        <v>37771</v>
      </c>
      <c r="D39" s="37">
        <v>0.7708333333333334</v>
      </c>
      <c r="E39" s="37">
        <v>0.006944444444444444</v>
      </c>
      <c r="F39" s="35" t="s">
        <v>44</v>
      </c>
      <c r="G39" s="35" t="s">
        <v>50</v>
      </c>
      <c r="H39" s="38">
        <v>13.8</v>
      </c>
      <c r="I39" s="39">
        <v>3958</v>
      </c>
      <c r="J39" s="39">
        <v>3958</v>
      </c>
      <c r="K39" s="42">
        <f t="shared" si="0"/>
        <v>1</v>
      </c>
      <c r="L39" s="38">
        <v>4737</v>
      </c>
      <c r="M39" s="38" t="s">
        <v>37</v>
      </c>
      <c r="N39" s="40" t="s">
        <v>74</v>
      </c>
    </row>
    <row r="40" spans="1:14" ht="12.75">
      <c r="A40" s="12">
        <v>37774</v>
      </c>
      <c r="B40" s="13">
        <v>0.16666666666666666</v>
      </c>
      <c r="C40" s="12">
        <v>37774</v>
      </c>
      <c r="D40" s="13">
        <v>0.18611111111111112</v>
      </c>
      <c r="E40" s="13">
        <v>0.019444444444444445</v>
      </c>
      <c r="F40" s="8" t="s">
        <v>38</v>
      </c>
      <c r="G40" s="8" t="s">
        <v>41</v>
      </c>
      <c r="H40" s="9">
        <v>69</v>
      </c>
      <c r="I40" s="23">
        <f>23000/0.96</f>
        <v>23958.333333333336</v>
      </c>
      <c r="J40" s="23">
        <v>23958.333333333336</v>
      </c>
      <c r="K40" s="42">
        <f aca="true" t="shared" si="1" ref="K40:K47">J40/I40</f>
        <v>1</v>
      </c>
      <c r="L40" s="9">
        <v>26100</v>
      </c>
      <c r="M40" s="29" t="s">
        <v>37</v>
      </c>
      <c r="N40" s="11" t="s">
        <v>75</v>
      </c>
    </row>
    <row r="41" spans="1:14" ht="12.75">
      <c r="A41" s="12">
        <v>37776</v>
      </c>
      <c r="B41" s="13">
        <v>0.19444444444444445</v>
      </c>
      <c r="C41" s="12">
        <v>37776</v>
      </c>
      <c r="D41" s="13">
        <v>0.22083333333333333</v>
      </c>
      <c r="E41" s="13">
        <v>0.02638888888888889</v>
      </c>
      <c r="F41" s="8" t="s">
        <v>38</v>
      </c>
      <c r="G41" s="8" t="s">
        <v>39</v>
      </c>
      <c r="H41" s="9">
        <v>69</v>
      </c>
      <c r="I41" s="23">
        <f>14000/0.96</f>
        <v>14583.333333333334</v>
      </c>
      <c r="J41" s="41">
        <v>14583.3333333333</v>
      </c>
      <c r="K41" s="42">
        <f t="shared" si="1"/>
        <v>0.9999999999999977</v>
      </c>
      <c r="L41" s="9">
        <v>13546</v>
      </c>
      <c r="M41" s="29" t="s">
        <v>37</v>
      </c>
      <c r="N41" s="11" t="s">
        <v>75</v>
      </c>
    </row>
    <row r="42" spans="1:14" ht="12.75">
      <c r="A42" s="12">
        <v>37776</v>
      </c>
      <c r="B42" s="13">
        <v>0.6715277777777778</v>
      </c>
      <c r="C42" s="12">
        <v>37776</v>
      </c>
      <c r="D42" s="13">
        <v>0.6805555555555555</v>
      </c>
      <c r="E42" s="13">
        <v>0.009027777777777779</v>
      </c>
      <c r="F42" s="8" t="s">
        <v>38</v>
      </c>
      <c r="G42" s="8" t="s">
        <v>41</v>
      </c>
      <c r="H42" s="9">
        <v>69</v>
      </c>
      <c r="I42" s="23">
        <v>14500</v>
      </c>
      <c r="J42" s="23">
        <v>14500</v>
      </c>
      <c r="K42" s="42">
        <f t="shared" si="1"/>
        <v>1</v>
      </c>
      <c r="L42" s="9">
        <v>26100</v>
      </c>
      <c r="M42" s="29" t="s">
        <v>37</v>
      </c>
      <c r="N42" s="11" t="s">
        <v>76</v>
      </c>
    </row>
    <row r="43" spans="1:14" ht="12.75">
      <c r="A43" s="12">
        <v>37776</v>
      </c>
      <c r="B43" s="13">
        <v>0.6708333333333334</v>
      </c>
      <c r="C43" s="12">
        <v>37776</v>
      </c>
      <c r="D43" s="13">
        <v>0.7256944444444445</v>
      </c>
      <c r="E43" s="13">
        <v>0.05486111111111111</v>
      </c>
      <c r="F43" s="8" t="s">
        <v>44</v>
      </c>
      <c r="G43" s="8" t="s">
        <v>60</v>
      </c>
      <c r="H43" s="9">
        <v>69</v>
      </c>
      <c r="I43" s="23">
        <f>7000/0.96</f>
        <v>7291.666666666667</v>
      </c>
      <c r="J43" s="23">
        <v>7000</v>
      </c>
      <c r="K43" s="42">
        <f t="shared" si="1"/>
        <v>0.96</v>
      </c>
      <c r="L43" s="9">
        <v>26100</v>
      </c>
      <c r="M43" s="29" t="s">
        <v>37</v>
      </c>
      <c r="N43" s="11" t="s">
        <v>77</v>
      </c>
    </row>
    <row r="44" spans="1:14" ht="12.75">
      <c r="A44" s="12">
        <v>37783</v>
      </c>
      <c r="B44" s="13">
        <v>0.8777777777777778</v>
      </c>
      <c r="C44" s="12">
        <v>37783</v>
      </c>
      <c r="D44" s="13">
        <v>0.8805555555555555</v>
      </c>
      <c r="E44" s="13">
        <v>0.002777777777777778</v>
      </c>
      <c r="F44" s="8" t="s">
        <v>44</v>
      </c>
      <c r="G44" s="8" t="s">
        <v>68</v>
      </c>
      <c r="H44" s="9">
        <v>13.8</v>
      </c>
      <c r="I44" s="23">
        <f>3136/0.96</f>
        <v>3266.666666666667</v>
      </c>
      <c r="J44" s="23">
        <v>3100</v>
      </c>
      <c r="K44" s="42">
        <f t="shared" si="1"/>
        <v>0.9489795918367346</v>
      </c>
      <c r="L44" s="9">
        <v>8147</v>
      </c>
      <c r="M44" s="29" t="s">
        <v>37</v>
      </c>
      <c r="N44" s="11" t="s">
        <v>75</v>
      </c>
    </row>
    <row r="45" spans="1:14" ht="12.75">
      <c r="A45" s="31">
        <v>37798</v>
      </c>
      <c r="B45" s="32">
        <v>0.6166666666666667</v>
      </c>
      <c r="C45" s="31">
        <v>37798</v>
      </c>
      <c r="D45" s="32">
        <v>0.6583333333333333</v>
      </c>
      <c r="E45" s="32">
        <v>0.041666666666666664</v>
      </c>
      <c r="F45" s="30" t="s">
        <v>44</v>
      </c>
      <c r="G45" s="30" t="s">
        <v>78</v>
      </c>
      <c r="H45" s="33">
        <v>13.8</v>
      </c>
      <c r="I45" s="23">
        <f>250/0.96</f>
        <v>260.4166666666667</v>
      </c>
      <c r="J45" s="43">
        <f>150/0.96</f>
        <v>156.25</v>
      </c>
      <c r="K45" s="42">
        <f t="shared" si="1"/>
        <v>0.6</v>
      </c>
      <c r="L45" s="33">
        <v>1500</v>
      </c>
      <c r="M45" s="33" t="s">
        <v>37</v>
      </c>
      <c r="N45" s="34" t="s">
        <v>79</v>
      </c>
    </row>
    <row r="46" spans="1:14" ht="12.75">
      <c r="A46" s="12">
        <v>37851</v>
      </c>
      <c r="B46" s="13">
        <v>0.5902777777777778</v>
      </c>
      <c r="C46" s="12">
        <v>37851</v>
      </c>
      <c r="D46" s="13">
        <v>0.6069444444444444</v>
      </c>
      <c r="E46" s="13">
        <v>0.016666666666666666</v>
      </c>
      <c r="F46" s="8" t="s">
        <v>64</v>
      </c>
      <c r="G46" s="8" t="s">
        <v>80</v>
      </c>
      <c r="H46" s="9">
        <v>13.8</v>
      </c>
      <c r="I46" s="23">
        <f>850/0.96</f>
        <v>885.4166666666667</v>
      </c>
      <c r="J46" s="45">
        <f>700/0.96</f>
        <v>729.1666666666667</v>
      </c>
      <c r="K46" s="42">
        <f t="shared" si="1"/>
        <v>0.8235294117647058</v>
      </c>
      <c r="L46" s="9">
        <v>2000</v>
      </c>
      <c r="M46" s="29" t="s">
        <v>37</v>
      </c>
      <c r="N46" s="11" t="s">
        <v>81</v>
      </c>
    </row>
    <row r="47" spans="1:14" ht="12.75">
      <c r="A47" s="12">
        <v>37851</v>
      </c>
      <c r="B47" s="13">
        <v>0.6444444444444445</v>
      </c>
      <c r="C47" s="12">
        <v>37851</v>
      </c>
      <c r="D47" s="13">
        <v>0.6979166666666666</v>
      </c>
      <c r="E47" s="13">
        <v>0.05347222222222222</v>
      </c>
      <c r="F47" s="8" t="s">
        <v>64</v>
      </c>
      <c r="G47" s="8" t="s">
        <v>80</v>
      </c>
      <c r="H47" s="9">
        <v>13.8</v>
      </c>
      <c r="I47" s="23">
        <f>850/0.96</f>
        <v>885.4166666666667</v>
      </c>
      <c r="J47" s="45">
        <f>700/0.96</f>
        <v>729.1666666666667</v>
      </c>
      <c r="K47" s="42">
        <f t="shared" si="1"/>
        <v>0.8235294117647058</v>
      </c>
      <c r="L47" s="9">
        <v>2000</v>
      </c>
      <c r="M47" s="29" t="s">
        <v>37</v>
      </c>
      <c r="N47" s="11" t="s">
        <v>82</v>
      </c>
    </row>
    <row r="48" spans="1:16" ht="12.75">
      <c r="A48" s="12">
        <v>37869</v>
      </c>
      <c r="B48" s="13">
        <v>0.2708333333333333</v>
      </c>
      <c r="C48" s="12">
        <v>37869</v>
      </c>
      <c r="D48" s="13">
        <v>0.37222222222222223</v>
      </c>
      <c r="E48" s="13">
        <v>0.1013888888888889</v>
      </c>
      <c r="F48" s="46">
        <f aca="true" t="shared" si="2" ref="F48:F54">(HOUR(E48)*60+MINUTE(E48))/60</f>
        <v>2.433333333333333</v>
      </c>
      <c r="G48" s="8" t="s">
        <v>44</v>
      </c>
      <c r="H48" s="8" t="s">
        <v>45</v>
      </c>
      <c r="I48" s="9">
        <v>13.8</v>
      </c>
      <c r="J48" s="23">
        <f>3893/0.96</f>
        <v>4055.2083333333335</v>
      </c>
      <c r="K48" s="23">
        <f aca="true" t="shared" si="3" ref="K48:K54">J48*F48</f>
        <v>9867.673611111111</v>
      </c>
      <c r="L48" s="23">
        <f>3893/0.96</f>
        <v>4055.2083333333335</v>
      </c>
      <c r="M48" s="42">
        <f aca="true" t="shared" si="4" ref="M48:M54">L48/J48</f>
        <v>1</v>
      </c>
      <c r="N48" s="9">
        <v>9459</v>
      </c>
      <c r="O48" s="29" t="s">
        <v>48</v>
      </c>
      <c r="P48" s="11" t="s">
        <v>83</v>
      </c>
    </row>
    <row r="49" spans="1:16" ht="12.75">
      <c r="A49" s="12">
        <v>37869</v>
      </c>
      <c r="B49" s="13">
        <v>0.2708333333333333</v>
      </c>
      <c r="C49" s="12">
        <v>37869</v>
      </c>
      <c r="D49" s="13">
        <v>0.37222222222222223</v>
      </c>
      <c r="E49" s="13">
        <v>0.1013888888888889</v>
      </c>
      <c r="F49" s="46">
        <f t="shared" si="2"/>
        <v>2.433333333333333</v>
      </c>
      <c r="G49" s="8" t="s">
        <v>44</v>
      </c>
      <c r="H49" s="8" t="s">
        <v>84</v>
      </c>
      <c r="I49" s="9">
        <v>13.8</v>
      </c>
      <c r="J49" s="23">
        <f>3167/0.96</f>
        <v>3298.9583333333335</v>
      </c>
      <c r="K49" s="23">
        <f t="shared" si="3"/>
        <v>8027.465277777777</v>
      </c>
      <c r="L49" s="23">
        <f>3167/0.96</f>
        <v>3298.9583333333335</v>
      </c>
      <c r="M49" s="42">
        <f t="shared" si="4"/>
        <v>1</v>
      </c>
      <c r="N49" s="9">
        <v>2895</v>
      </c>
      <c r="O49" s="29" t="s">
        <v>48</v>
      </c>
      <c r="P49" s="11" t="s">
        <v>83</v>
      </c>
    </row>
    <row r="50" spans="1:16" ht="12.75">
      <c r="A50" s="12">
        <v>37869</v>
      </c>
      <c r="B50" s="13">
        <v>0.2708333333333333</v>
      </c>
      <c r="C50" s="12">
        <v>37869</v>
      </c>
      <c r="D50" s="13">
        <v>0.37222222222222223</v>
      </c>
      <c r="E50" s="13">
        <v>0.1013888888888889</v>
      </c>
      <c r="F50" s="46">
        <f t="shared" si="2"/>
        <v>2.433333333333333</v>
      </c>
      <c r="G50" s="8" t="s">
        <v>44</v>
      </c>
      <c r="H50" s="8" t="s">
        <v>50</v>
      </c>
      <c r="I50" s="9">
        <v>13.8</v>
      </c>
      <c r="J50" s="23">
        <f>3541/0.96</f>
        <v>3688.541666666667</v>
      </c>
      <c r="K50" s="23">
        <f t="shared" si="3"/>
        <v>8975.451388888889</v>
      </c>
      <c r="L50" s="23">
        <f>3541/0.96</f>
        <v>3688.541666666667</v>
      </c>
      <c r="M50" s="42">
        <f t="shared" si="4"/>
        <v>1</v>
      </c>
      <c r="N50" s="9">
        <v>4737</v>
      </c>
      <c r="O50" s="29" t="s">
        <v>48</v>
      </c>
      <c r="P50" s="11" t="s">
        <v>83</v>
      </c>
    </row>
    <row r="51" spans="1:16" ht="12.75">
      <c r="A51" s="12">
        <v>37871</v>
      </c>
      <c r="B51" s="13">
        <v>0.3541666666666667</v>
      </c>
      <c r="C51" s="12">
        <v>37871</v>
      </c>
      <c r="D51" s="13">
        <v>0.6208333333333333</v>
      </c>
      <c r="E51" s="13">
        <v>0.26666666666666666</v>
      </c>
      <c r="F51" s="46">
        <f t="shared" si="2"/>
        <v>6.4</v>
      </c>
      <c r="G51" s="8" t="s">
        <v>38</v>
      </c>
      <c r="H51" s="8" t="s">
        <v>39</v>
      </c>
      <c r="I51" s="9">
        <v>69</v>
      </c>
      <c r="J51" s="23">
        <f>14000/0.96</f>
        <v>14583.333333333334</v>
      </c>
      <c r="K51" s="23">
        <f t="shared" si="3"/>
        <v>93333.33333333334</v>
      </c>
      <c r="L51" s="23">
        <f>14000/0.96</f>
        <v>14583.333333333334</v>
      </c>
      <c r="M51" s="42">
        <f t="shared" si="4"/>
        <v>1</v>
      </c>
      <c r="N51" s="9">
        <v>15546</v>
      </c>
      <c r="O51" s="29" t="s">
        <v>48</v>
      </c>
      <c r="P51" s="11" t="s">
        <v>85</v>
      </c>
    </row>
    <row r="52" spans="1:16" ht="12.75">
      <c r="A52" s="12">
        <v>37871</v>
      </c>
      <c r="B52" s="13">
        <v>0.3541666666666667</v>
      </c>
      <c r="C52" s="12">
        <v>37871</v>
      </c>
      <c r="D52" s="13">
        <v>0.6208333333333333</v>
      </c>
      <c r="E52" s="13">
        <v>0.26666666666666666</v>
      </c>
      <c r="F52" s="46">
        <f t="shared" si="2"/>
        <v>6.4</v>
      </c>
      <c r="G52" s="8" t="s">
        <v>38</v>
      </c>
      <c r="H52" s="8" t="s">
        <v>41</v>
      </c>
      <c r="I52" s="9">
        <v>69</v>
      </c>
      <c r="J52" s="23">
        <f>23000/0.96</f>
        <v>23958.333333333336</v>
      </c>
      <c r="K52" s="23">
        <f t="shared" si="3"/>
        <v>153333.33333333334</v>
      </c>
      <c r="L52" s="23">
        <f>23000/0.96</f>
        <v>23958.333333333336</v>
      </c>
      <c r="M52" s="42">
        <f t="shared" si="4"/>
        <v>1</v>
      </c>
      <c r="N52" s="9">
        <v>26100</v>
      </c>
      <c r="O52" s="29" t="s">
        <v>48</v>
      </c>
      <c r="P52" s="11" t="s">
        <v>85</v>
      </c>
    </row>
    <row r="53" spans="1:16" ht="12.75">
      <c r="A53" s="12">
        <v>37889</v>
      </c>
      <c r="B53" s="13">
        <v>0.8020833333333334</v>
      </c>
      <c r="C53" s="12">
        <v>37889</v>
      </c>
      <c r="D53" s="13">
        <v>0.8472222222222222</v>
      </c>
      <c r="E53" s="13">
        <v>0.04513888888888889</v>
      </c>
      <c r="F53" s="46">
        <f t="shared" si="2"/>
        <v>1.0833333333333333</v>
      </c>
      <c r="G53" s="8" t="s">
        <v>38</v>
      </c>
      <c r="H53" s="8" t="s">
        <v>41</v>
      </c>
      <c r="I53" s="9">
        <v>69</v>
      </c>
      <c r="J53" s="23">
        <f>23000/0.96</f>
        <v>23958.333333333336</v>
      </c>
      <c r="K53" s="23">
        <f t="shared" si="3"/>
        <v>25954.861111111113</v>
      </c>
      <c r="L53" s="23">
        <f>23000/0.96</f>
        <v>23958.333333333336</v>
      </c>
      <c r="M53" s="42">
        <f t="shared" si="4"/>
        <v>1</v>
      </c>
      <c r="N53" s="9">
        <v>14109</v>
      </c>
      <c r="O53" s="29" t="s">
        <v>37</v>
      </c>
      <c r="P53" s="11" t="s">
        <v>86</v>
      </c>
    </row>
    <row r="54" spans="1:16" ht="12.75">
      <c r="A54" s="12">
        <v>37889</v>
      </c>
      <c r="B54" s="13">
        <v>0.8020833333333334</v>
      </c>
      <c r="C54" s="12">
        <v>37890</v>
      </c>
      <c r="D54" s="13">
        <v>0.3972222222222222</v>
      </c>
      <c r="E54" s="13">
        <v>0.5951388888888889</v>
      </c>
      <c r="F54" s="46">
        <f t="shared" si="2"/>
        <v>14.283333333333333</v>
      </c>
      <c r="G54" s="8" t="s">
        <v>44</v>
      </c>
      <c r="H54" s="8" t="s">
        <v>60</v>
      </c>
      <c r="I54" s="9">
        <v>69</v>
      </c>
      <c r="J54" s="23">
        <f>23000/0.96</f>
        <v>23958.333333333336</v>
      </c>
      <c r="K54" s="23">
        <f t="shared" si="3"/>
        <v>342204.8611111111</v>
      </c>
      <c r="L54" s="23">
        <f>23000/0.96</f>
        <v>23958.333333333336</v>
      </c>
      <c r="M54" s="42">
        <f t="shared" si="4"/>
        <v>1</v>
      </c>
      <c r="N54" s="9">
        <v>14109</v>
      </c>
      <c r="O54" s="29" t="s">
        <v>37</v>
      </c>
      <c r="P54" s="11" t="s">
        <v>87</v>
      </c>
    </row>
    <row r="55" spans="1:14" ht="12.75">
      <c r="A55" s="12">
        <v>37917</v>
      </c>
      <c r="B55" s="13">
        <v>0.9826388888888888</v>
      </c>
      <c r="C55" s="12">
        <v>37918</v>
      </c>
      <c r="D55" s="13">
        <v>0.7305555555555556</v>
      </c>
      <c r="E55" s="13">
        <v>0.034722222222222224</v>
      </c>
      <c r="F55" s="8" t="s">
        <v>88</v>
      </c>
      <c r="G55" s="8" t="s">
        <v>39</v>
      </c>
      <c r="H55" s="9">
        <v>69</v>
      </c>
      <c r="I55" s="23">
        <f>14000/0.96</f>
        <v>14583.333333333334</v>
      </c>
      <c r="J55" s="23">
        <f>14000/0.96</f>
        <v>14583.333333333334</v>
      </c>
      <c r="K55" s="47">
        <f aca="true" t="shared" si="5" ref="K55:K60">J55/I55</f>
        <v>1</v>
      </c>
      <c r="L55" s="9">
        <v>15546</v>
      </c>
      <c r="M55" s="29" t="s">
        <v>37</v>
      </c>
      <c r="N55" s="11" t="s">
        <v>89</v>
      </c>
    </row>
    <row r="56" spans="1:14" ht="12.75">
      <c r="A56" s="31">
        <v>37923</v>
      </c>
      <c r="B56" s="32">
        <v>0.6041666666666666</v>
      </c>
      <c r="C56" s="31">
        <v>37923</v>
      </c>
      <c r="D56" s="32">
        <v>0.6215277777777778</v>
      </c>
      <c r="E56" s="32">
        <v>0.017361111111111112</v>
      </c>
      <c r="F56" s="30" t="s">
        <v>44</v>
      </c>
      <c r="G56" s="30" t="s">
        <v>60</v>
      </c>
      <c r="H56" s="33">
        <v>69</v>
      </c>
      <c r="I56" s="23">
        <f>12491/0.96</f>
        <v>13011.458333333334</v>
      </c>
      <c r="J56" s="23">
        <f>12491/0.96</f>
        <v>13011.458333333334</v>
      </c>
      <c r="K56" s="47">
        <f t="shared" si="5"/>
        <v>1</v>
      </c>
      <c r="L56" s="33">
        <v>14109</v>
      </c>
      <c r="M56" s="33" t="s">
        <v>37</v>
      </c>
      <c r="N56" s="11" t="s">
        <v>90</v>
      </c>
    </row>
    <row r="57" spans="1:14" ht="12.75">
      <c r="A57" s="31">
        <v>37924</v>
      </c>
      <c r="B57" s="32">
        <v>0.2152777777777778</v>
      </c>
      <c r="C57" s="31">
        <v>37924</v>
      </c>
      <c r="D57" s="32">
        <v>0.34375</v>
      </c>
      <c r="E57" s="32">
        <v>0.12847222222222224</v>
      </c>
      <c r="F57" s="30" t="s">
        <v>44</v>
      </c>
      <c r="G57" s="30" t="s">
        <v>68</v>
      </c>
      <c r="H57" s="33">
        <v>13.8</v>
      </c>
      <c r="I57" s="23">
        <f>3136/0.96</f>
        <v>3266.666666666667</v>
      </c>
      <c r="J57" s="23">
        <f>1800/0.96</f>
        <v>1875</v>
      </c>
      <c r="K57" s="47">
        <f t="shared" si="5"/>
        <v>0.5739795918367346</v>
      </c>
      <c r="L57" s="33">
        <v>5700</v>
      </c>
      <c r="M57" s="33" t="s">
        <v>37</v>
      </c>
      <c r="N57" s="34" t="s">
        <v>91</v>
      </c>
    </row>
    <row r="58" spans="1:14" ht="12.75">
      <c r="A58" s="31">
        <v>37953</v>
      </c>
      <c r="B58" s="32">
        <v>0.20833333333333334</v>
      </c>
      <c r="C58" s="31">
        <v>37953</v>
      </c>
      <c r="D58" s="32">
        <v>0.3263888888888889</v>
      </c>
      <c r="E58" s="32">
        <v>0.11805555555555557</v>
      </c>
      <c r="F58" s="30" t="s">
        <v>64</v>
      </c>
      <c r="G58" s="30" t="s">
        <v>80</v>
      </c>
      <c r="H58" s="33">
        <v>13.8</v>
      </c>
      <c r="I58" s="23">
        <f>1500/0.96</f>
        <v>1562.5</v>
      </c>
      <c r="J58" s="23">
        <f>700/0.96</f>
        <v>729.1666666666667</v>
      </c>
      <c r="K58" s="47">
        <f t="shared" si="5"/>
        <v>0.46666666666666673</v>
      </c>
      <c r="L58" s="33">
        <v>2500</v>
      </c>
      <c r="M58" s="33" t="s">
        <v>37</v>
      </c>
      <c r="N58" s="34" t="s">
        <v>92</v>
      </c>
    </row>
    <row r="59" spans="1:14" ht="12.75">
      <c r="A59" s="31">
        <v>37953</v>
      </c>
      <c r="B59" s="32">
        <v>0.8069444444444445</v>
      </c>
      <c r="C59" s="31">
        <v>37953</v>
      </c>
      <c r="D59" s="32">
        <v>0.8208333333333333</v>
      </c>
      <c r="E59" s="32">
        <v>0.013888888888888888</v>
      </c>
      <c r="F59" s="30" t="s">
        <v>64</v>
      </c>
      <c r="G59" s="30" t="s">
        <v>80</v>
      </c>
      <c r="H59" s="33">
        <v>13.8</v>
      </c>
      <c r="I59" s="23">
        <f>1500/0.96</f>
        <v>1562.5</v>
      </c>
      <c r="J59" s="23">
        <f>1500/0.96</f>
        <v>1562.5</v>
      </c>
      <c r="K59" s="47">
        <f t="shared" si="5"/>
        <v>1</v>
      </c>
      <c r="L59" s="33">
        <v>2000</v>
      </c>
      <c r="M59" s="33" t="s">
        <v>37</v>
      </c>
      <c r="N59" s="34" t="s">
        <v>93</v>
      </c>
    </row>
    <row r="60" spans="1:14" ht="12.75">
      <c r="A60" s="31">
        <v>37953</v>
      </c>
      <c r="B60" s="32">
        <v>0.8791666666666668</v>
      </c>
      <c r="C60" s="31">
        <v>37953</v>
      </c>
      <c r="D60" s="32">
        <v>0.8861111111111111</v>
      </c>
      <c r="E60" s="32">
        <v>0.006944444444444444</v>
      </c>
      <c r="F60" s="30" t="s">
        <v>64</v>
      </c>
      <c r="G60" s="30" t="s">
        <v>80</v>
      </c>
      <c r="H60" s="33">
        <v>13.8</v>
      </c>
      <c r="I60" s="23">
        <f>1500/0.96</f>
        <v>1562.5</v>
      </c>
      <c r="J60" s="23">
        <f>1200/0.96</f>
        <v>1250</v>
      </c>
      <c r="K60" s="47">
        <f t="shared" si="5"/>
        <v>0.8</v>
      </c>
      <c r="L60" s="33">
        <v>2000</v>
      </c>
      <c r="M60" s="33" t="s">
        <v>37</v>
      </c>
      <c r="N60" s="34" t="s">
        <v>93</v>
      </c>
    </row>
    <row r="61" spans="1:14" ht="12.75">
      <c r="A61" s="31">
        <v>37980</v>
      </c>
      <c r="B61" s="32">
        <v>0.8347222222222223</v>
      </c>
      <c r="C61" s="31">
        <v>37981</v>
      </c>
      <c r="D61" s="32">
        <v>0.5034722222222222</v>
      </c>
      <c r="E61" s="32">
        <v>0.05694444444444444</v>
      </c>
      <c r="F61" s="30" t="s">
        <v>88</v>
      </c>
      <c r="G61" s="30" t="s">
        <v>39</v>
      </c>
      <c r="H61" s="33">
        <v>69</v>
      </c>
      <c r="I61" s="23">
        <f>14000/0.96</f>
        <v>14583.333333333334</v>
      </c>
      <c r="J61" s="23">
        <f>14000/0.96</f>
        <v>14583.333333333334</v>
      </c>
      <c r="K61" s="47" t="e">
        <f>#REF!</f>
        <v>#REF!</v>
      </c>
      <c r="L61" s="33">
        <v>15546</v>
      </c>
      <c r="M61" s="33" t="s">
        <v>37</v>
      </c>
      <c r="N61" s="34" t="s">
        <v>94</v>
      </c>
    </row>
    <row r="62" spans="1:14" ht="12.75">
      <c r="A62" s="31">
        <v>37980</v>
      </c>
      <c r="B62" s="32">
        <v>0.9708333333333333</v>
      </c>
      <c r="C62" s="31">
        <v>37980</v>
      </c>
      <c r="D62" s="32">
        <v>0.025</v>
      </c>
      <c r="E62" s="32">
        <v>0.05277777777777778</v>
      </c>
      <c r="F62" s="30" t="s">
        <v>44</v>
      </c>
      <c r="G62" s="30" t="s">
        <v>45</v>
      </c>
      <c r="H62" s="33">
        <v>13.8</v>
      </c>
      <c r="I62" s="23">
        <f>3893/0.96</f>
        <v>4055.2083333333335</v>
      </c>
      <c r="J62" s="23">
        <f>2500/0.96</f>
        <v>2604.166666666667</v>
      </c>
      <c r="K62" s="47" t="e">
        <f>#REF!</f>
        <v>#REF!</v>
      </c>
      <c r="L62" s="33">
        <v>9454</v>
      </c>
      <c r="M62" s="33" t="s">
        <v>37</v>
      </c>
      <c r="N62" s="34" t="s">
        <v>95</v>
      </c>
    </row>
    <row r="63" spans="1:14" ht="12.75">
      <c r="A63" s="31">
        <v>37982</v>
      </c>
      <c r="B63" s="32">
        <v>0.4756944444444444</v>
      </c>
      <c r="C63" s="31">
        <v>37982</v>
      </c>
      <c r="D63" s="32">
        <v>0.5034722222222222</v>
      </c>
      <c r="E63" s="32">
        <v>0.027777777777777776</v>
      </c>
      <c r="F63" s="30" t="s">
        <v>44</v>
      </c>
      <c r="G63" s="30" t="s">
        <v>60</v>
      </c>
      <c r="H63" s="33">
        <v>69</v>
      </c>
      <c r="I63" s="23">
        <f>9375/0.96</f>
        <v>9765.625</v>
      </c>
      <c r="J63" s="23">
        <f>9375/0.96</f>
        <v>9765.625</v>
      </c>
      <c r="K63" s="47" t="e">
        <f>#REF!</f>
        <v>#REF!</v>
      </c>
      <c r="L63" s="33">
        <v>14109</v>
      </c>
      <c r="M63" s="33" t="s">
        <v>37</v>
      </c>
      <c r="N63" s="34" t="s">
        <v>96</v>
      </c>
    </row>
  </sheetData>
  <printOptions/>
  <pageMargins left="0.75" right="0.75" top="1" bottom="1" header="0" footer="0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 Jose Guerrero</dc:creator>
  <cp:keywords/>
  <dc:description/>
  <cp:lastModifiedBy>wx</cp:lastModifiedBy>
  <cp:lastPrinted>2003-01-31T15:54:38Z</cp:lastPrinted>
  <dcterms:created xsi:type="dcterms:W3CDTF">2002-06-17T19:37:36Z</dcterms:created>
  <dcterms:modified xsi:type="dcterms:W3CDTF">2006-09-27T20:56:54Z</dcterms:modified>
  <cp:category/>
  <cp:version/>
  <cp:contentType/>
  <cp:contentStatus/>
</cp:coreProperties>
</file>