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83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'Hoja1'!$A$1:$P$17</definedName>
  </definedNames>
  <calcPr fullCalcOnLoad="1"/>
</workbook>
</file>

<file path=xl/sharedStrings.xml><?xml version="1.0" encoding="utf-8"?>
<sst xmlns="http://schemas.openxmlformats.org/spreadsheetml/2006/main" count="371" uniqueCount="137">
  <si>
    <t>CALIDAD DEL SERVICIO  TECNICO</t>
  </si>
  <si>
    <t>REGISTRO DE INTERRUPCIONES DE SERVICIO</t>
  </si>
  <si>
    <t xml:space="preserve">EMPRESA ELECTRICA: </t>
  </si>
  <si>
    <t>M I L A G R O</t>
  </si>
  <si>
    <t>No.</t>
  </si>
  <si>
    <t xml:space="preserve">FALLA EN </t>
  </si>
  <si>
    <t>FALLA EN</t>
  </si>
  <si>
    <t>NIVEL DE</t>
  </si>
  <si>
    <t>CARGA</t>
  </si>
  <si>
    <t>INSTALADA</t>
  </si>
  <si>
    <t>%KVA</t>
  </si>
  <si>
    <t>FALLA</t>
  </si>
  <si>
    <t>CAUSA ORIGINAL DE LA FALLA</t>
  </si>
  <si>
    <t>Informe/Reporte de</t>
  </si>
  <si>
    <t>falla</t>
  </si>
  <si>
    <t xml:space="preserve">FECHA </t>
  </si>
  <si>
    <t>mmm-aa</t>
  </si>
  <si>
    <t>(1)</t>
  </si>
  <si>
    <t>Desconexion dd-</t>
  </si>
  <si>
    <t xml:space="preserve">HORA </t>
  </si>
  <si>
    <t>Desconexion</t>
  </si>
  <si>
    <t>hh:mm</t>
  </si>
  <si>
    <t>Conexión/Normalizacion dd-</t>
  </si>
  <si>
    <t>Conexión/Normalizacion</t>
  </si>
  <si>
    <t>TIEMPO</t>
  </si>
  <si>
    <t>Duracion de la falla</t>
  </si>
  <si>
    <t>Horas</t>
  </si>
  <si>
    <t>S/E.</t>
  </si>
  <si>
    <t>(2)</t>
  </si>
  <si>
    <t>ALIMENTADOR (3)</t>
  </si>
  <si>
    <t>VOLTAJE KV</t>
  </si>
  <si>
    <t>(4)</t>
  </si>
  <si>
    <t>ALIMENTADOR KVA</t>
  </si>
  <si>
    <t>(5)</t>
  </si>
  <si>
    <t>Desconectada</t>
  </si>
  <si>
    <t>Kva</t>
  </si>
  <si>
    <t>(6)</t>
  </si>
  <si>
    <t>No. De</t>
  </si>
  <si>
    <t>Consumidores</t>
  </si>
  <si>
    <t>Afectados</t>
  </si>
  <si>
    <t>CLASIFICACION</t>
  </si>
  <si>
    <t>DE LA FALLA</t>
  </si>
  <si>
    <t>(7)</t>
  </si>
  <si>
    <t>(8)</t>
  </si>
  <si>
    <t>IF</t>
  </si>
  <si>
    <t>REPARAR LINEA ARRANCADA</t>
  </si>
  <si>
    <t>B - 9</t>
  </si>
  <si>
    <t>MILAGRO SUR</t>
  </si>
  <si>
    <t>B - 2 ( 69 KV )</t>
  </si>
  <si>
    <t>MILAGRO I ( 69 KV )</t>
  </si>
  <si>
    <t>M E S   D E   E N E R O   D E L   2 0 0 4</t>
  </si>
  <si>
    <t>S. N. I.</t>
  </si>
  <si>
    <t>CABLE DE TV. SOBRE LA LINEA</t>
  </si>
  <si>
    <t>MILAGRO II ( 69 KV )</t>
  </si>
  <si>
    <t>ARBOL SOBRE LA LINEA</t>
  </si>
  <si>
    <t>S.N.I.</t>
  </si>
  <si>
    <t>FALLA POR MALEZA</t>
  </si>
  <si>
    <t>( * ) CAÑA SOBRE LA LINEA</t>
  </si>
  <si>
    <t>CENTRAL DIESEL</t>
  </si>
  <si>
    <t>ALIM. NARANJITO</t>
  </si>
  <si>
    <t>MANTENIMIENTO DE PUENTES</t>
  </si>
  <si>
    <t>POR LLUVIAS</t>
  </si>
  <si>
    <t>B -9</t>
  </si>
  <si>
    <t>13.8</t>
  </si>
  <si>
    <t>POSTE CHOCADO</t>
  </si>
  <si>
    <t>S.N.I</t>
  </si>
  <si>
    <t>SALIDA # 2</t>
  </si>
  <si>
    <t>AISLADOR EN MAL ESTADO</t>
  </si>
  <si>
    <t>SALIDA # 2 ( ALIM. CAMAL )</t>
  </si>
  <si>
    <t>LINEA ARRANCADA</t>
  </si>
  <si>
    <t>INTERCALAR POSTE</t>
  </si>
  <si>
    <t>DESBROCE</t>
  </si>
  <si>
    <t>B - 8</t>
  </si>
  <si>
    <t>20.55</t>
  </si>
  <si>
    <t>MILAGRO I, II, III ( 69 KV )</t>
  </si>
  <si>
    <t>EF</t>
  </si>
  <si>
    <t>FALLA EN TRANSELECTRIC</t>
  </si>
  <si>
    <t>SALIDA · 2</t>
  </si>
  <si>
    <t>IP</t>
  </si>
  <si>
    <t>( ** )INSTALACION DE EQUIPOS DE MEDICION</t>
  </si>
  <si>
    <t>( *** )INSTALACION DE EQUIPO DE MEDICION</t>
  </si>
  <si>
    <t>( * ) TRABAJOS EN EL S.N.I</t>
  </si>
  <si>
    <t>( * )TRABAJOS EN EL S.N.I</t>
  </si>
  <si>
    <t>FALLA POR COMETA EN LA LINEA</t>
  </si>
  <si>
    <t>MALEZA EN LA LINEA</t>
  </si>
  <si>
    <t>SALIDA # 3 LAS PIÑAS</t>
  </si>
  <si>
    <t>BAJA FRECUENCIA</t>
  </si>
  <si>
    <t>FALLA EN PUNTA DE SALIDA</t>
  </si>
  <si>
    <t>B - 6</t>
  </si>
  <si>
    <t>CAÑA SOBRE LAS LINEAS</t>
  </si>
  <si>
    <t>FALLA EN CABLE AISLADO EN TERM. TERRESTRE</t>
  </si>
  <si>
    <t>SALIDA 2</t>
  </si>
  <si>
    <t>COMETA SOBRE LA LINEA</t>
  </si>
  <si>
    <t>NARANJITO</t>
  </si>
  <si>
    <t>( * ) POR REMODELACIONES</t>
  </si>
  <si>
    <t>MILOAGRO I ( 69 KV )</t>
  </si>
  <si>
    <t>FALLA POR QUEMA DE CANTEROS</t>
  </si>
  <si>
    <t>CAMAL</t>
  </si>
  <si>
    <t>FALLA POR COMETAS</t>
  </si>
  <si>
    <t>SALIDA # 3</t>
  </si>
  <si>
    <t>ALIM. CENTROPOLI</t>
  </si>
  <si>
    <t>VELA QUEMADA EN LA S/E.DIESEL</t>
  </si>
  <si>
    <t>REPARAR PUENTE VOLADO</t>
  </si>
  <si>
    <t>FALLA POR LLOVIZNAS</t>
  </si>
  <si>
    <t>REAJUSTE EN PUENTES</t>
  </si>
  <si>
    <t>SALIDA # 1</t>
  </si>
  <si>
    <t>INSTALACION DE RECONECTADOR</t>
  </si>
  <si>
    <t>FALLA POR LLOVISNA</t>
  </si>
  <si>
    <t>ALIM. CAMAL</t>
  </si>
  <si>
    <t>( * ) DESBROCE</t>
  </si>
  <si>
    <t>POR QUEMA DE CANTEROS</t>
  </si>
  <si>
    <t>( ** ) POR QUEMA DE CANTEROS</t>
  </si>
  <si>
    <t>CAÑA SOBRE LA LINEA</t>
  </si>
  <si>
    <t>POR REMODELACIONES</t>
  </si>
  <si>
    <t>SALIDA #2</t>
  </si>
  <si>
    <t>COMETA SOBRE LAS REDES</t>
  </si>
  <si>
    <t>B - 1 ( 69 KV )</t>
  </si>
  <si>
    <t>( * ) FALLA EN TRAMO MILAGRO - MONTERO</t>
  </si>
  <si>
    <t>EP</t>
  </si>
  <si>
    <t>MANTENIMIENTO EN EL S.N.I</t>
  </si>
  <si>
    <t>PUENTE VOLADO</t>
  </si>
  <si>
    <t>( *** ) POR INTERCONECCION CON INGENIO VALDEZ A 69KV</t>
  </si>
  <si>
    <t>FALLA POR PRUEBAS EN S/E DEL INGENIO VALDEZ</t>
  </si>
  <si>
    <t>POR REMODELACION</t>
  </si>
  <si>
    <t>FALLA ALIM. CENTROPOLIS</t>
  </si>
  <si>
    <t>CENTROPOLIS</t>
  </si>
  <si>
    <t>AVE SOBRE LA LINEA</t>
  </si>
  <si>
    <t>BARRAS ( TRANSF. MITSUBISHI )</t>
  </si>
  <si>
    <t>POR ALTA TEMPERATURA BASE DE TRANSF.</t>
  </si>
  <si>
    <t>BALANCEAR ALIMENTADOR</t>
  </si>
  <si>
    <t>POR FALLA EN S/E. MONTERO</t>
  </si>
  <si>
    <t>POR FALLA LINEA A L. GARAICOA</t>
  </si>
  <si>
    <t>CAMBIO DE PUENTE</t>
  </si>
  <si>
    <t>CONTAMINACION DE AISLADORES POR LLOVISNA</t>
  </si>
  <si>
    <t>POR POSTE CHOCADO</t>
  </si>
  <si>
    <t>CAMBIO DE POSTE CHOCADO</t>
  </si>
  <si>
    <t>CAMBIO DE CAJA PORTAFUSIBLE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</si>
</sst>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\ #,##0;&quot;$&quot;\ \-#,##0"/>
    <numFmt numFmtId="189" formatCode="&quot;$&quot;\ #,##0;[Red]&quot;$&quot;\ \-#,##0"/>
    <numFmt numFmtId="190" formatCode="&quot;$&quot;\ #,##0.00;&quot;$&quot;\ \-#,##0.00"/>
    <numFmt numFmtId="191" formatCode="&quot;$&quot;\ #,##0.00;[Red]&quot;$&quot;\ \-#,##0.00"/>
    <numFmt numFmtId="192" formatCode="_ &quot;$&quot;\ * #,##0_ ;_ &quot;$&quot;\ * \-#,##0_ ;_ &quot;$&quot;\ * &quot;-&quot;_ ;_ @_ "/>
    <numFmt numFmtId="193" formatCode="_ &quot;$&quot;\ * #,##0.00_ ;_ &quot;$&quot;\ * \-#,##0.00_ ;_ &quot;$&quot;\ * &quot;-&quot;??_ ;_ @_ "/>
    <numFmt numFmtId="194" formatCode="d\-mmm\-yy"/>
    <numFmt numFmtId="195" formatCode="0.000"/>
    <numFmt numFmtId="196" formatCode="0.0"/>
    <numFmt numFmtId="197" formatCode="0.00000"/>
    <numFmt numFmtId="198" formatCode="0.0000"/>
    <numFmt numFmtId="199" formatCode="0.0%"/>
    <numFmt numFmtId="200" formatCode="0.000%"/>
    <numFmt numFmtId="201" formatCode="_-[$€]* #,##0.00_-;\-[$€]* #,##0.00_-;_-[$€]* &quot;-&quot;??_-;_-@_-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00000"/>
    <numFmt numFmtId="208" formatCode="d\-m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2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15" fontId="0" fillId="0" borderId="9" xfId="0" applyNumberFormat="1" applyBorder="1" applyAlignment="1">
      <alignment horizontal="center"/>
    </xf>
    <xf numFmtId="20" fontId="0" fillId="0" borderId="9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94" fontId="0" fillId="0" borderId="0" xfId="0" applyNumberFormat="1" applyAlignment="1">
      <alignment/>
    </xf>
    <xf numFmtId="196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15" fontId="3" fillId="0" borderId="18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15" fontId="0" fillId="0" borderId="25" xfId="0" applyNumberFormat="1" applyBorder="1" applyAlignment="1">
      <alignment horizontal="center"/>
    </xf>
    <xf numFmtId="20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9" fontId="0" fillId="0" borderId="19" xfId="20" applyNumberForma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9" fontId="0" fillId="0" borderId="19" xfId="20" applyBorder="1" applyAlignment="1">
      <alignment horizontal="center"/>
    </xf>
    <xf numFmtId="9" fontId="0" fillId="0" borderId="19" xfId="20" applyFont="1" applyBorder="1" applyAlignment="1">
      <alignment horizontal="center"/>
    </xf>
    <xf numFmtId="195" fontId="0" fillId="0" borderId="19" xfId="0" applyNumberFormat="1" applyBorder="1" applyAlignment="1">
      <alignment horizontal="center"/>
    </xf>
    <xf numFmtId="0" fontId="5" fillId="0" borderId="11" xfId="0" applyFont="1" applyBorder="1" applyAlignment="1">
      <alignment/>
    </xf>
    <xf numFmtId="195" fontId="0" fillId="0" borderId="9" xfId="0" applyNumberFormat="1" applyBorder="1" applyAlignment="1">
      <alignment horizontal="center"/>
    </xf>
    <xf numFmtId="9" fontId="0" fillId="0" borderId="9" xfId="20" applyBorder="1" applyAlignment="1">
      <alignment horizontal="center"/>
    </xf>
    <xf numFmtId="2" fontId="0" fillId="0" borderId="19" xfId="0" applyNumberFormat="1" applyBorder="1" applyAlignment="1">
      <alignment horizontal="center"/>
    </xf>
    <xf numFmtId="9" fontId="0" fillId="0" borderId="19" xfId="2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15" fontId="0" fillId="0" borderId="27" xfId="0" applyNumberFormat="1" applyBorder="1" applyAlignment="1">
      <alignment horizontal="center"/>
    </xf>
    <xf numFmtId="20" fontId="0" fillId="0" borderId="27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195" fontId="0" fillId="0" borderId="27" xfId="0" applyNumberFormat="1" applyBorder="1" applyAlignment="1">
      <alignment horizontal="center"/>
    </xf>
    <xf numFmtId="9" fontId="0" fillId="0" borderId="27" xfId="20" applyBorder="1" applyAlignment="1">
      <alignment horizontal="center"/>
    </xf>
    <xf numFmtId="0" fontId="0" fillId="0" borderId="28" xfId="0" applyBorder="1" applyAlignment="1">
      <alignment/>
    </xf>
    <xf numFmtId="9" fontId="0" fillId="0" borderId="11" xfId="20" applyFont="1" applyBorder="1" applyAlignment="1">
      <alignment horizontal="left"/>
    </xf>
    <xf numFmtId="0" fontId="0" fillId="0" borderId="0" xfId="0" applyBorder="1" applyAlignment="1">
      <alignment horizontal="center"/>
    </xf>
    <xf numFmtId="195" fontId="0" fillId="0" borderId="0" xfId="0" applyNumberFormat="1" applyBorder="1" applyAlignment="1">
      <alignment horizontal="center"/>
    </xf>
    <xf numFmtId="9" fontId="0" fillId="0" borderId="0" xfId="20" applyBorder="1" applyAlignment="1">
      <alignment horizontal="center"/>
    </xf>
    <xf numFmtId="0" fontId="0" fillId="0" borderId="29" xfId="0" applyBorder="1" applyAlignment="1">
      <alignment horizontal="center"/>
    </xf>
    <xf numFmtId="20" fontId="0" fillId="0" borderId="30" xfId="0" applyNumberFormat="1" applyBorder="1" applyAlignment="1">
      <alignment horizontal="center"/>
    </xf>
    <xf numFmtId="15" fontId="0" fillId="0" borderId="30" xfId="0" applyNumberFormat="1" applyBorder="1" applyAlignment="1">
      <alignment horizontal="center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195" fontId="0" fillId="0" borderId="25" xfId="0" applyNumberFormat="1" applyBorder="1" applyAlignment="1">
      <alignment horizontal="center"/>
    </xf>
    <xf numFmtId="9" fontId="0" fillId="0" borderId="30" xfId="20" applyBorder="1" applyAlignment="1">
      <alignment horizontal="center"/>
    </xf>
    <xf numFmtId="0" fontId="0" fillId="0" borderId="32" xfId="0" applyBorder="1" applyAlignment="1">
      <alignment horizontal="center"/>
    </xf>
    <xf numFmtId="15" fontId="0" fillId="0" borderId="2" xfId="0" applyNumberFormat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95" fontId="0" fillId="0" borderId="2" xfId="0" applyNumberFormat="1" applyBorder="1" applyAlignment="1">
      <alignment horizontal="center"/>
    </xf>
    <xf numFmtId="9" fontId="0" fillId="0" borderId="2" xfId="20" applyBorder="1" applyAlignment="1">
      <alignment horizontal="center"/>
    </xf>
    <xf numFmtId="0" fontId="0" fillId="0" borderId="33" xfId="0" applyBorder="1" applyAlignment="1">
      <alignment/>
    </xf>
    <xf numFmtId="0" fontId="6" fillId="0" borderId="11" xfId="0" applyFont="1" applyBorder="1" applyAlignment="1">
      <alignment/>
    </xf>
    <xf numFmtId="0" fontId="5" fillId="0" borderId="24" xfId="0" applyFont="1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6"/>
  <sheetViews>
    <sheetView tabSelected="1" zoomScale="75" zoomScaleNormal="75" workbookViewId="0" topLeftCell="A1">
      <selection activeCell="A87" sqref="A87"/>
      <selection activeCell="B38" sqref="B38"/>
    </sheetView>
  </sheetViews>
  <sheetFormatPr defaultColWidth="11.421875" defaultRowHeight="12.75"/>
  <cols>
    <col min="1" max="1" width="3.00390625" style="0" customWidth="1"/>
    <col min="2" max="2" width="16.421875" style="0" customWidth="1"/>
    <col min="3" max="3" width="15.7109375" style="0" customWidth="1"/>
    <col min="4" max="4" width="12.140625" style="0" customWidth="1"/>
    <col min="5" max="5" width="27.00390625" style="0" customWidth="1"/>
    <col min="6" max="6" width="23.00390625" style="0" customWidth="1"/>
    <col min="7" max="7" width="18.28125" style="0" customWidth="1"/>
    <col min="8" max="8" width="16.28125" style="0" customWidth="1"/>
    <col min="9" max="9" width="31.57421875" style="0" customWidth="1"/>
    <col min="10" max="10" width="12.8515625" style="0" customWidth="1"/>
    <col min="11" max="11" width="19.00390625" style="0" customWidth="1"/>
    <col min="12" max="12" width="13.421875" style="0" customWidth="1"/>
    <col min="13" max="13" width="14.00390625" style="0" customWidth="1"/>
    <col min="14" max="14" width="13.421875" style="0" customWidth="1"/>
    <col min="15" max="15" width="15.7109375" style="0" customWidth="1"/>
    <col min="16" max="16" width="44.28125" style="0" customWidth="1"/>
  </cols>
  <sheetData>
    <row r="1" ht="12.75">
      <c r="A1" s="27"/>
    </row>
    <row r="3" spans="1:16" ht="12.75">
      <c r="A3" s="1" t="s">
        <v>0</v>
      </c>
      <c r="B3" s="2"/>
      <c r="C3" s="2"/>
      <c r="D3" s="2"/>
      <c r="E3" s="2"/>
      <c r="F3" s="45"/>
      <c r="G3" s="2"/>
      <c r="H3" s="44"/>
      <c r="I3" s="2"/>
      <c r="J3" s="2"/>
      <c r="K3" s="2"/>
      <c r="L3" s="2"/>
      <c r="M3" s="2"/>
      <c r="N3" s="2"/>
      <c r="O3" s="2"/>
      <c r="P3" s="3"/>
    </row>
    <row r="4" spans="1:16" ht="12.75">
      <c r="A4" s="4" t="s">
        <v>1</v>
      </c>
      <c r="B4" s="5"/>
      <c r="C4" s="5"/>
      <c r="D4" s="5"/>
      <c r="E4" s="5"/>
      <c r="F4" s="5"/>
      <c r="G4" s="5"/>
      <c r="H4" s="5"/>
      <c r="I4" s="5"/>
      <c r="J4" s="13" t="s">
        <v>50</v>
      </c>
      <c r="K4" s="5"/>
      <c r="L4" s="5"/>
      <c r="M4" s="5"/>
      <c r="N4" s="5"/>
      <c r="O4" s="5"/>
      <c r="P4" s="6"/>
    </row>
    <row r="5" spans="1:16" ht="15.75">
      <c r="A5" s="7" t="s">
        <v>2</v>
      </c>
      <c r="B5" s="8"/>
      <c r="C5" s="8"/>
      <c r="D5" s="9" t="s">
        <v>3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0"/>
    </row>
    <row r="6" ht="13.5" thickBot="1"/>
    <row r="7" spans="1:16" ht="12.75">
      <c r="A7" s="18"/>
      <c r="B7" s="18" t="s">
        <v>4</v>
      </c>
      <c r="C7" s="18" t="s">
        <v>15</v>
      </c>
      <c r="D7" s="18" t="s">
        <v>19</v>
      </c>
      <c r="E7" s="18" t="s">
        <v>15</v>
      </c>
      <c r="F7" s="18" t="s">
        <v>19</v>
      </c>
      <c r="G7" s="19" t="s">
        <v>24</v>
      </c>
      <c r="H7" s="18" t="s">
        <v>5</v>
      </c>
      <c r="I7" s="18"/>
      <c r="J7" s="19" t="s">
        <v>7</v>
      </c>
      <c r="K7" s="19" t="s">
        <v>8</v>
      </c>
      <c r="L7" s="20" t="s">
        <v>8</v>
      </c>
      <c r="M7" s="19" t="s">
        <v>8</v>
      </c>
      <c r="N7" s="21" t="s">
        <v>37</v>
      </c>
      <c r="O7" s="19" t="s">
        <v>40</v>
      </c>
      <c r="P7" s="19"/>
    </row>
    <row r="8" spans="1:16" ht="12.75">
      <c r="A8" s="22" t="s">
        <v>4</v>
      </c>
      <c r="B8" s="22" t="s">
        <v>13</v>
      </c>
      <c r="C8" s="22" t="s">
        <v>18</v>
      </c>
      <c r="D8" s="22" t="s">
        <v>20</v>
      </c>
      <c r="E8" s="22" t="s">
        <v>22</v>
      </c>
      <c r="F8" s="22" t="s">
        <v>23</v>
      </c>
      <c r="G8" s="22" t="s">
        <v>25</v>
      </c>
      <c r="H8" s="22" t="s">
        <v>27</v>
      </c>
      <c r="I8" s="22" t="s">
        <v>6</v>
      </c>
      <c r="J8" s="22" t="s">
        <v>30</v>
      </c>
      <c r="K8" s="22" t="s">
        <v>9</v>
      </c>
      <c r="L8" s="23" t="s">
        <v>34</v>
      </c>
      <c r="M8" s="22" t="s">
        <v>34</v>
      </c>
      <c r="N8" s="24" t="s">
        <v>38</v>
      </c>
      <c r="O8" s="22" t="s">
        <v>41</v>
      </c>
      <c r="P8" s="25" t="s">
        <v>12</v>
      </c>
    </row>
    <row r="9" spans="1:16" ht="13.5" thickBot="1">
      <c r="A9" s="34"/>
      <c r="B9" s="33" t="s">
        <v>14</v>
      </c>
      <c r="C9" s="33" t="s">
        <v>16</v>
      </c>
      <c r="D9" s="33" t="s">
        <v>21</v>
      </c>
      <c r="E9" s="33" t="s">
        <v>16</v>
      </c>
      <c r="F9" s="33" t="s">
        <v>21</v>
      </c>
      <c r="G9" s="33" t="s">
        <v>26</v>
      </c>
      <c r="H9" s="36" t="s">
        <v>28</v>
      </c>
      <c r="I9" s="33" t="s">
        <v>29</v>
      </c>
      <c r="J9" s="36" t="s">
        <v>31</v>
      </c>
      <c r="K9" s="33" t="s">
        <v>32</v>
      </c>
      <c r="L9" s="30" t="s">
        <v>35</v>
      </c>
      <c r="M9" s="33" t="s">
        <v>10</v>
      </c>
      <c r="N9" s="31" t="s">
        <v>39</v>
      </c>
      <c r="O9" s="33" t="s">
        <v>11</v>
      </c>
      <c r="P9" s="36" t="s">
        <v>43</v>
      </c>
    </row>
    <row r="10" spans="1:16" ht="13.5" thickBot="1">
      <c r="A10" s="32"/>
      <c r="B10" s="35" t="s">
        <v>17</v>
      </c>
      <c r="C10" s="37"/>
      <c r="D10" s="26"/>
      <c r="E10" s="26"/>
      <c r="F10" s="26"/>
      <c r="G10" s="26"/>
      <c r="H10" s="26"/>
      <c r="I10" s="26"/>
      <c r="J10" s="26"/>
      <c r="K10" s="35" t="s">
        <v>33</v>
      </c>
      <c r="L10" s="26"/>
      <c r="M10" s="35" t="s">
        <v>36</v>
      </c>
      <c r="N10" s="26"/>
      <c r="O10" s="35" t="s">
        <v>42</v>
      </c>
      <c r="P10" s="26" t="s">
        <v>45</v>
      </c>
    </row>
    <row r="11" spans="1:16" ht="12.75">
      <c r="A11" s="14" t="e">
        <f>+#REF!+1</f>
        <v>#REF!</v>
      </c>
      <c r="B11" s="11"/>
      <c r="C11" s="16">
        <v>37991</v>
      </c>
      <c r="D11" s="17">
        <v>0.3229166666666667</v>
      </c>
      <c r="E11" s="16">
        <v>37991</v>
      </c>
      <c r="F11" s="17">
        <v>0.33888888888888885</v>
      </c>
      <c r="G11" s="17">
        <v>0.015972222222222224</v>
      </c>
      <c r="H11" s="11" t="s">
        <v>51</v>
      </c>
      <c r="I11" s="11" t="s">
        <v>49</v>
      </c>
      <c r="J11" s="12">
        <v>69</v>
      </c>
      <c r="K11" s="28">
        <f>14000/0.96</f>
        <v>14583.333333333334</v>
      </c>
      <c r="L11" s="28">
        <f>14000/0.96</f>
        <v>14583.333333333334</v>
      </c>
      <c r="M11" s="43">
        <f>L11/K11</f>
        <v>1</v>
      </c>
      <c r="N11" s="12">
        <v>15747</v>
      </c>
      <c r="O11" s="29" t="s">
        <v>44</v>
      </c>
      <c r="P11" s="15" t="s">
        <v>52</v>
      </c>
    </row>
    <row r="12" spans="1:16" ht="12.75">
      <c r="A12" s="14" t="e">
        <f>+#REF!+1</f>
        <v>#REF!</v>
      </c>
      <c r="B12" s="11"/>
      <c r="C12" s="16">
        <v>37993</v>
      </c>
      <c r="D12" s="17">
        <v>0.18055555555555555</v>
      </c>
      <c r="E12" s="16">
        <v>37993</v>
      </c>
      <c r="F12" s="17">
        <v>0.23194444444444443</v>
      </c>
      <c r="G12" s="17">
        <v>0.044444444444444446</v>
      </c>
      <c r="H12" s="11" t="s">
        <v>51</v>
      </c>
      <c r="I12" s="11" t="s">
        <v>53</v>
      </c>
      <c r="J12" s="12">
        <v>69</v>
      </c>
      <c r="K12" s="28">
        <f>11300/0.96</f>
        <v>11770.833333333334</v>
      </c>
      <c r="L12" s="28">
        <f>11300/0.96</f>
        <v>11770.833333333334</v>
      </c>
      <c r="M12" s="43">
        <f>L12/K12</f>
        <v>1</v>
      </c>
      <c r="N12" s="12">
        <v>14109</v>
      </c>
      <c r="O12" s="29" t="s">
        <v>44</v>
      </c>
      <c r="P12" s="15" t="s">
        <v>11</v>
      </c>
    </row>
    <row r="13" spans="1:16" ht="12.75">
      <c r="A13" s="14">
        <v>19</v>
      </c>
      <c r="B13" s="38"/>
      <c r="C13" s="39">
        <v>37994</v>
      </c>
      <c r="D13" s="40">
        <v>0.9340277777777778</v>
      </c>
      <c r="E13" s="39">
        <v>37994</v>
      </c>
      <c r="F13" s="40">
        <v>0.9965277777777778</v>
      </c>
      <c r="G13" s="40">
        <v>0.0625</v>
      </c>
      <c r="H13" s="38" t="s">
        <v>47</v>
      </c>
      <c r="I13" s="38" t="s">
        <v>46</v>
      </c>
      <c r="J13" s="41">
        <v>13.8</v>
      </c>
      <c r="K13" s="28">
        <f>3541/0.96</f>
        <v>3688.541666666667</v>
      </c>
      <c r="L13" s="28">
        <f>2600/0.96</f>
        <v>2708.3333333333335</v>
      </c>
      <c r="M13" s="43">
        <f>L13/K13</f>
        <v>0.7342558599265744</v>
      </c>
      <c r="N13" s="41">
        <v>4737</v>
      </c>
      <c r="O13" s="41" t="s">
        <v>44</v>
      </c>
      <c r="P13" s="15" t="s">
        <v>54</v>
      </c>
    </row>
    <row r="14" spans="1:16" ht="12.75">
      <c r="A14" s="14">
        <v>24</v>
      </c>
      <c r="B14" s="38"/>
      <c r="C14" s="39">
        <v>38000</v>
      </c>
      <c r="D14" s="40">
        <v>0.5416666666666666</v>
      </c>
      <c r="E14" s="39">
        <v>38000</v>
      </c>
      <c r="F14" s="40">
        <v>0.5465277777777778</v>
      </c>
      <c r="G14" s="40">
        <v>0.004861111111111111</v>
      </c>
      <c r="H14" s="38" t="s">
        <v>51</v>
      </c>
      <c r="I14" s="38" t="s">
        <v>49</v>
      </c>
      <c r="J14" s="41">
        <v>69</v>
      </c>
      <c r="K14" s="28">
        <f>14000/0.96</f>
        <v>14583.333333333334</v>
      </c>
      <c r="L14" s="28">
        <f>14000/0.96</f>
        <v>14583.333333333334</v>
      </c>
      <c r="M14" s="43">
        <f>L14/K14</f>
        <v>1</v>
      </c>
      <c r="N14" s="41">
        <v>15747</v>
      </c>
      <c r="O14" s="41" t="s">
        <v>44</v>
      </c>
      <c r="P14" s="42" t="s">
        <v>11</v>
      </c>
    </row>
    <row r="15" spans="1:16" ht="12.75">
      <c r="A15" s="14">
        <v>29</v>
      </c>
      <c r="B15" s="38"/>
      <c r="C15" s="39">
        <v>38003</v>
      </c>
      <c r="D15" s="40">
        <v>0.05555555555555555</v>
      </c>
      <c r="E15" s="39">
        <v>38003</v>
      </c>
      <c r="F15" s="40">
        <v>0.061111111111111116</v>
      </c>
      <c r="G15" s="40">
        <v>0.005555555555555556</v>
      </c>
      <c r="H15" s="38" t="s">
        <v>47</v>
      </c>
      <c r="I15" s="38" t="s">
        <v>48</v>
      </c>
      <c r="J15" s="41">
        <v>69</v>
      </c>
      <c r="K15" s="28">
        <f>12491/0.96</f>
        <v>13011.458333333334</v>
      </c>
      <c r="L15" s="28">
        <f>12491/0.96</f>
        <v>13011.458333333334</v>
      </c>
      <c r="M15" s="43">
        <f>L15/K15</f>
        <v>1</v>
      </c>
      <c r="N15" s="41">
        <v>14109</v>
      </c>
      <c r="O15" s="41" t="s">
        <v>44</v>
      </c>
      <c r="P15" s="42" t="s">
        <v>11</v>
      </c>
    </row>
    <row r="16" spans="1:16" ht="12.75">
      <c r="A16" s="14">
        <v>17</v>
      </c>
      <c r="B16" s="11"/>
      <c r="C16" s="16">
        <v>38030</v>
      </c>
      <c r="D16" s="17">
        <v>0.8472222222222222</v>
      </c>
      <c r="E16" s="16">
        <v>38030</v>
      </c>
      <c r="F16" s="17">
        <v>0.8555555555555556</v>
      </c>
      <c r="G16" s="17">
        <v>0.008333333333333333</v>
      </c>
      <c r="H16" s="11" t="s">
        <v>55</v>
      </c>
      <c r="I16" s="11" t="s">
        <v>53</v>
      </c>
      <c r="J16" s="12">
        <v>69</v>
      </c>
      <c r="K16" s="28">
        <f>23000/0.96</f>
        <v>23958.333333333336</v>
      </c>
      <c r="L16" s="28">
        <f>23000/0.96</f>
        <v>23958.333333333336</v>
      </c>
      <c r="M16" s="46">
        <f>L16/K16</f>
        <v>1</v>
      </c>
      <c r="N16" s="12">
        <v>14109</v>
      </c>
      <c r="O16" s="29" t="s">
        <v>44</v>
      </c>
      <c r="P16" s="15" t="s">
        <v>56</v>
      </c>
    </row>
    <row r="17" spans="1:16" ht="12.75">
      <c r="A17" s="14">
        <v>18</v>
      </c>
      <c r="B17" s="11"/>
      <c r="C17" s="16">
        <v>38030</v>
      </c>
      <c r="D17" s="17">
        <v>0.8715277777777778</v>
      </c>
      <c r="E17" s="16">
        <v>38031</v>
      </c>
      <c r="F17" s="17">
        <v>0.4756944444444444</v>
      </c>
      <c r="G17" s="17"/>
      <c r="H17" s="11" t="s">
        <v>55</v>
      </c>
      <c r="I17" s="11" t="s">
        <v>53</v>
      </c>
      <c r="J17" s="12">
        <v>69</v>
      </c>
      <c r="K17" s="28"/>
      <c r="L17" s="28"/>
      <c r="M17" s="46"/>
      <c r="N17" s="12"/>
      <c r="O17" s="29"/>
      <c r="P17" s="15" t="s">
        <v>57</v>
      </c>
    </row>
    <row r="18" spans="1:16" ht="12.75">
      <c r="A18" s="14">
        <v>19</v>
      </c>
      <c r="B18" s="11"/>
      <c r="C18" s="16">
        <v>38031</v>
      </c>
      <c r="D18" s="17">
        <v>0.07291666666666667</v>
      </c>
      <c r="E18" s="16">
        <v>38031</v>
      </c>
      <c r="F18" s="17">
        <v>0.45694444444444443</v>
      </c>
      <c r="G18" s="17">
        <v>0.3840277777777778</v>
      </c>
      <c r="H18" s="11" t="s">
        <v>47</v>
      </c>
      <c r="I18" s="11" t="s">
        <v>48</v>
      </c>
      <c r="J18" s="12">
        <v>69</v>
      </c>
      <c r="K18" s="28">
        <f>7055/0.96</f>
        <v>7348.958333333334</v>
      </c>
      <c r="L18" s="28">
        <f>7055/0.96</f>
        <v>7348.958333333334</v>
      </c>
      <c r="M18" s="46">
        <f aca="true" t="shared" si="0" ref="M18:M33">L18/K18</f>
        <v>1</v>
      </c>
      <c r="N18" s="12">
        <v>14109</v>
      </c>
      <c r="O18" s="29" t="s">
        <v>44</v>
      </c>
      <c r="P18" s="15" t="s">
        <v>54</v>
      </c>
    </row>
    <row r="19" spans="1:16" ht="12.75">
      <c r="A19" s="14">
        <v>27</v>
      </c>
      <c r="B19" s="11"/>
      <c r="C19" s="16">
        <v>38035</v>
      </c>
      <c r="D19" s="17">
        <v>0.4444444444444444</v>
      </c>
      <c r="E19" s="16">
        <v>38035</v>
      </c>
      <c r="F19" s="17">
        <v>0.4548611111111111</v>
      </c>
      <c r="G19" s="17">
        <v>0.010416666666666666</v>
      </c>
      <c r="H19" s="11" t="s">
        <v>58</v>
      </c>
      <c r="I19" s="11" t="s">
        <v>59</v>
      </c>
      <c r="J19" s="12">
        <v>13.8</v>
      </c>
      <c r="K19" s="28">
        <f>2000/0.96</f>
        <v>2083.3333333333335</v>
      </c>
      <c r="L19" s="28">
        <f>1700/0.96</f>
        <v>1770.8333333333335</v>
      </c>
      <c r="M19" s="46">
        <f t="shared" si="0"/>
        <v>0.85</v>
      </c>
      <c r="N19" s="12">
        <v>2000</v>
      </c>
      <c r="O19" s="29" t="s">
        <v>44</v>
      </c>
      <c r="P19" s="15" t="s">
        <v>60</v>
      </c>
    </row>
    <row r="20" spans="1:16" ht="12.75">
      <c r="A20" s="14">
        <v>30</v>
      </c>
      <c r="B20" s="11"/>
      <c r="C20" s="16">
        <v>38038</v>
      </c>
      <c r="D20" s="17">
        <v>0.3590277777777778</v>
      </c>
      <c r="E20" s="16">
        <v>38038</v>
      </c>
      <c r="F20" s="17">
        <v>0.3645833333333333</v>
      </c>
      <c r="G20" s="17">
        <v>0.005555555555555556</v>
      </c>
      <c r="H20" s="11" t="s">
        <v>47</v>
      </c>
      <c r="I20" s="11" t="s">
        <v>48</v>
      </c>
      <c r="J20" s="12">
        <v>69</v>
      </c>
      <c r="K20" s="28">
        <f>7055/0.96</f>
        <v>7348.958333333334</v>
      </c>
      <c r="L20" s="28">
        <f>7055/0.96</f>
        <v>7348.958333333334</v>
      </c>
      <c r="M20" s="46">
        <f t="shared" si="0"/>
        <v>1</v>
      </c>
      <c r="N20" s="12">
        <v>14109</v>
      </c>
      <c r="O20" s="29" t="s">
        <v>44</v>
      </c>
      <c r="P20" s="15" t="s">
        <v>61</v>
      </c>
    </row>
    <row r="21" spans="1:16" ht="12.75">
      <c r="A21" s="14">
        <v>2</v>
      </c>
      <c r="B21" s="11"/>
      <c r="C21" s="16">
        <v>38047</v>
      </c>
      <c r="D21" s="17">
        <v>0.5277777777777778</v>
      </c>
      <c r="E21" s="16">
        <v>38047</v>
      </c>
      <c r="F21" s="17">
        <v>0.5833333333333334</v>
      </c>
      <c r="G21" s="17">
        <v>0.05555555555555555</v>
      </c>
      <c r="H21" s="11" t="s">
        <v>47</v>
      </c>
      <c r="I21" s="11" t="s">
        <v>62</v>
      </c>
      <c r="J21" s="12" t="s">
        <v>63</v>
      </c>
      <c r="K21" s="28">
        <f>3541/0.96</f>
        <v>3688.541666666667</v>
      </c>
      <c r="L21" s="28">
        <f>1300/0.96</f>
        <v>1354.1666666666667</v>
      </c>
      <c r="M21" s="47">
        <f t="shared" si="0"/>
        <v>0.3671279299632872</v>
      </c>
      <c r="N21" s="12">
        <v>4737</v>
      </c>
      <c r="O21" s="29" t="s">
        <v>44</v>
      </c>
      <c r="P21" s="15" t="s">
        <v>64</v>
      </c>
    </row>
    <row r="22" spans="1:16" ht="12.75">
      <c r="A22" s="14">
        <v>5</v>
      </c>
      <c r="B22" s="11"/>
      <c r="C22" s="16">
        <v>38048</v>
      </c>
      <c r="D22" s="17">
        <v>0.33819444444444446</v>
      </c>
      <c r="E22" s="16">
        <v>38048</v>
      </c>
      <c r="F22" s="17">
        <v>0.3451388888888889</v>
      </c>
      <c r="G22" s="17">
        <v>0.006944444444444444</v>
      </c>
      <c r="H22" s="11" t="s">
        <v>65</v>
      </c>
      <c r="I22" s="11" t="s">
        <v>53</v>
      </c>
      <c r="J22" s="12">
        <v>69</v>
      </c>
      <c r="K22" s="28">
        <f>14125/0.96</f>
        <v>14713.541666666668</v>
      </c>
      <c r="L22" s="28">
        <f>14125/0.96</f>
        <v>14713.541666666668</v>
      </c>
      <c r="M22" s="47">
        <f t="shared" si="0"/>
        <v>1</v>
      </c>
      <c r="N22" s="12">
        <v>14109</v>
      </c>
      <c r="O22" s="29" t="s">
        <v>44</v>
      </c>
      <c r="P22" s="15" t="s">
        <v>11</v>
      </c>
    </row>
    <row r="23" spans="1:16" ht="12.75">
      <c r="A23" s="14">
        <v>6</v>
      </c>
      <c r="B23" s="11"/>
      <c r="C23" s="16">
        <v>38050</v>
      </c>
      <c r="D23" s="17">
        <v>0.03263888888888889</v>
      </c>
      <c r="E23" s="16">
        <v>38050</v>
      </c>
      <c r="F23" s="17">
        <v>0.3729166666666666</v>
      </c>
      <c r="G23" s="17">
        <v>0.34027777777777773</v>
      </c>
      <c r="H23" s="11" t="s">
        <v>47</v>
      </c>
      <c r="I23" s="11" t="s">
        <v>66</v>
      </c>
      <c r="J23" s="12" t="s">
        <v>63</v>
      </c>
      <c r="K23" s="28">
        <f>3136/0.96</f>
        <v>3266.666666666667</v>
      </c>
      <c r="L23" s="28">
        <f>1500/0.96</f>
        <v>1562.5</v>
      </c>
      <c r="M23" s="47">
        <f t="shared" si="0"/>
        <v>0.4783163265306122</v>
      </c>
      <c r="N23" s="12">
        <v>5500</v>
      </c>
      <c r="O23" s="29" t="s">
        <v>44</v>
      </c>
      <c r="P23" s="15" t="s">
        <v>67</v>
      </c>
    </row>
    <row r="24" spans="1:16" ht="12.75">
      <c r="A24" s="14">
        <v>9</v>
      </c>
      <c r="B24" s="11"/>
      <c r="C24" s="16">
        <v>38053</v>
      </c>
      <c r="D24" s="17">
        <v>0</v>
      </c>
      <c r="E24" s="16">
        <v>38053</v>
      </c>
      <c r="F24" s="17">
        <v>0.8055555555555555</v>
      </c>
      <c r="G24" s="17">
        <v>0.8055555555555555</v>
      </c>
      <c r="H24" s="11" t="s">
        <v>47</v>
      </c>
      <c r="I24" s="11" t="s">
        <v>68</v>
      </c>
      <c r="J24" s="12" t="s">
        <v>63</v>
      </c>
      <c r="K24" s="28">
        <f>3136/0.96</f>
        <v>3266.666666666667</v>
      </c>
      <c r="L24" s="28">
        <f>700/0.96</f>
        <v>729.1666666666667</v>
      </c>
      <c r="M24" s="47">
        <f t="shared" si="0"/>
        <v>0.22321428571428573</v>
      </c>
      <c r="N24" s="12">
        <v>400</v>
      </c>
      <c r="O24" s="29" t="s">
        <v>44</v>
      </c>
      <c r="P24" s="15" t="s">
        <v>69</v>
      </c>
    </row>
    <row r="25" spans="1:16" ht="12.75">
      <c r="A25" s="14">
        <v>11</v>
      </c>
      <c r="B25" s="11"/>
      <c r="C25" s="16">
        <v>38055</v>
      </c>
      <c r="D25" s="17">
        <v>0.4236111111111111</v>
      </c>
      <c r="E25" s="16">
        <v>38055</v>
      </c>
      <c r="F25" s="17">
        <v>0.4479166666666667</v>
      </c>
      <c r="G25" s="17">
        <v>0.024305555555555556</v>
      </c>
      <c r="H25" s="11" t="s">
        <v>47</v>
      </c>
      <c r="I25" s="11" t="s">
        <v>66</v>
      </c>
      <c r="J25" s="12" t="s">
        <v>63</v>
      </c>
      <c r="K25" s="28">
        <f>3136/0.96</f>
        <v>3266.666666666667</v>
      </c>
      <c r="L25" s="28">
        <f>1950/0.96</f>
        <v>2031.25</v>
      </c>
      <c r="M25" s="47">
        <f t="shared" si="0"/>
        <v>0.6218112244897959</v>
      </c>
      <c r="N25" s="12">
        <v>5500</v>
      </c>
      <c r="O25" s="29" t="s">
        <v>44</v>
      </c>
      <c r="P25" s="15" t="s">
        <v>70</v>
      </c>
    </row>
    <row r="26" spans="1:16" ht="12.75">
      <c r="A26" s="14">
        <v>17</v>
      </c>
      <c r="B26" s="11"/>
      <c r="C26" s="16">
        <v>38059</v>
      </c>
      <c r="D26" s="17">
        <v>0.37152777777777773</v>
      </c>
      <c r="E26" s="16">
        <v>38059</v>
      </c>
      <c r="F26" s="17">
        <v>0.45416666666666666</v>
      </c>
      <c r="G26" s="17">
        <v>0.08402777777777777</v>
      </c>
      <c r="H26" s="11" t="s">
        <v>47</v>
      </c>
      <c r="I26" s="11" t="s">
        <v>68</v>
      </c>
      <c r="J26" s="12" t="s">
        <v>63</v>
      </c>
      <c r="K26" s="28">
        <f>3136/0.96</f>
        <v>3266.666666666667</v>
      </c>
      <c r="L26" s="28">
        <f>700/0.96</f>
        <v>729.1666666666667</v>
      </c>
      <c r="M26" s="47">
        <f t="shared" si="0"/>
        <v>0.22321428571428573</v>
      </c>
      <c r="N26" s="12">
        <v>400</v>
      </c>
      <c r="O26" s="29" t="s">
        <v>44</v>
      </c>
      <c r="P26" s="15" t="s">
        <v>71</v>
      </c>
    </row>
    <row r="27" spans="1:16" ht="12.75">
      <c r="A27" s="14">
        <v>19</v>
      </c>
      <c r="B27" s="11"/>
      <c r="C27" s="16">
        <v>38060</v>
      </c>
      <c r="D27" s="17">
        <v>0.3298611111111111</v>
      </c>
      <c r="E27" s="16">
        <v>38060</v>
      </c>
      <c r="F27" s="17">
        <v>0.43333333333333335</v>
      </c>
      <c r="G27" s="17">
        <v>0.11597222222222221</v>
      </c>
      <c r="H27" s="11" t="s">
        <v>47</v>
      </c>
      <c r="I27" s="11" t="s">
        <v>72</v>
      </c>
      <c r="J27" s="12" t="s">
        <v>63</v>
      </c>
      <c r="K27" s="28">
        <f>3167/0.96</f>
        <v>3298.9583333333335</v>
      </c>
      <c r="L27" s="28">
        <f>1500/0.96</f>
        <v>1562.5</v>
      </c>
      <c r="M27" s="47">
        <f t="shared" si="0"/>
        <v>0.473634354278497</v>
      </c>
      <c r="N27" s="12">
        <v>2895</v>
      </c>
      <c r="O27" s="29" t="s">
        <v>44</v>
      </c>
      <c r="P27" s="15" t="s">
        <v>69</v>
      </c>
    </row>
    <row r="28" spans="1:16" ht="12.75">
      <c r="A28" s="14">
        <v>22</v>
      </c>
      <c r="B28" s="11"/>
      <c r="C28" s="16">
        <v>38061</v>
      </c>
      <c r="D28" s="17" t="s">
        <v>73</v>
      </c>
      <c r="E28" s="16">
        <v>38061</v>
      </c>
      <c r="F28" s="17">
        <v>0.938888888888889</v>
      </c>
      <c r="G28" s="17">
        <v>0.06736111111111111</v>
      </c>
      <c r="H28" s="11" t="s">
        <v>47</v>
      </c>
      <c r="I28" s="11" t="s">
        <v>66</v>
      </c>
      <c r="J28" s="12" t="s">
        <v>63</v>
      </c>
      <c r="K28" s="28">
        <f>3200/0.96</f>
        <v>3333.3333333333335</v>
      </c>
      <c r="L28" s="28">
        <f>3200/0.96</f>
        <v>3333.3333333333335</v>
      </c>
      <c r="M28" s="47">
        <f t="shared" si="0"/>
        <v>1</v>
      </c>
      <c r="N28" s="12">
        <v>5500</v>
      </c>
      <c r="O28" s="29" t="s">
        <v>44</v>
      </c>
      <c r="P28" s="15" t="s">
        <v>64</v>
      </c>
    </row>
    <row r="29" spans="1:16" ht="12.75">
      <c r="A29" s="14">
        <v>29</v>
      </c>
      <c r="B29" s="11"/>
      <c r="C29" s="16">
        <v>38066</v>
      </c>
      <c r="D29" s="17">
        <v>0.40277777777777773</v>
      </c>
      <c r="E29" s="16">
        <v>38066</v>
      </c>
      <c r="F29" s="17">
        <v>0.45625</v>
      </c>
      <c r="G29" s="17">
        <v>0.05347222222222222</v>
      </c>
      <c r="H29" s="11" t="s">
        <v>47</v>
      </c>
      <c r="I29" s="11" t="s">
        <v>66</v>
      </c>
      <c r="J29" s="12" t="s">
        <v>63</v>
      </c>
      <c r="K29" s="28">
        <f>3200/0.96</f>
        <v>3333.3333333333335</v>
      </c>
      <c r="L29" s="28">
        <f>2800/0.96</f>
        <v>2916.666666666667</v>
      </c>
      <c r="M29" s="47">
        <f t="shared" si="0"/>
        <v>0.875</v>
      </c>
      <c r="N29" s="12">
        <v>5500</v>
      </c>
      <c r="O29" s="29" t="s">
        <v>44</v>
      </c>
      <c r="P29" s="15" t="s">
        <v>11</v>
      </c>
    </row>
    <row r="30" spans="1:16" ht="12.75">
      <c r="A30" s="14">
        <v>46</v>
      </c>
      <c r="B30" s="11"/>
      <c r="C30" s="16">
        <v>38074</v>
      </c>
      <c r="D30" s="17">
        <v>0.4458333333333333</v>
      </c>
      <c r="E30" s="16">
        <v>38074</v>
      </c>
      <c r="F30" s="17">
        <v>0.4791666666666667</v>
      </c>
      <c r="G30" s="17">
        <v>0.03333333333333333</v>
      </c>
      <c r="H30" s="11" t="s">
        <v>47</v>
      </c>
      <c r="I30" s="11" t="s">
        <v>66</v>
      </c>
      <c r="J30" s="12" t="s">
        <v>63</v>
      </c>
      <c r="K30" s="28">
        <f>3200/0.96</f>
        <v>3333.3333333333335</v>
      </c>
      <c r="L30" s="28">
        <f>2500/0.96</f>
        <v>2604.166666666667</v>
      </c>
      <c r="M30" s="47">
        <f t="shared" si="0"/>
        <v>0.78125</v>
      </c>
      <c r="N30" s="12">
        <v>5500</v>
      </c>
      <c r="O30" s="29" t="s">
        <v>44</v>
      </c>
      <c r="P30" s="15" t="s">
        <v>11</v>
      </c>
    </row>
    <row r="31" spans="1:16" ht="12.75">
      <c r="A31" s="14">
        <v>20</v>
      </c>
      <c r="B31" s="11"/>
      <c r="C31" s="16">
        <v>38089</v>
      </c>
      <c r="D31" s="17">
        <v>0.2555555555555556</v>
      </c>
      <c r="E31" s="16">
        <v>38089</v>
      </c>
      <c r="F31" s="17">
        <v>0.3111111111111111</v>
      </c>
      <c r="G31" s="17">
        <v>0.05555555555555555</v>
      </c>
      <c r="H31" s="11" t="s">
        <v>51</v>
      </c>
      <c r="I31" s="11" t="s">
        <v>74</v>
      </c>
      <c r="J31" s="12">
        <v>69</v>
      </c>
      <c r="K31" s="28">
        <f>66000/0.96</f>
        <v>68750</v>
      </c>
      <c r="L31" s="28">
        <f>66000/0.96</f>
        <v>68750</v>
      </c>
      <c r="M31" s="46">
        <f t="shared" si="0"/>
        <v>1</v>
      </c>
      <c r="N31" s="12"/>
      <c r="O31" s="29" t="s">
        <v>75</v>
      </c>
      <c r="P31" s="15" t="s">
        <v>76</v>
      </c>
    </row>
    <row r="32" spans="1:16" ht="12.75">
      <c r="A32" s="14">
        <v>30</v>
      </c>
      <c r="B32" s="11"/>
      <c r="C32" s="16">
        <v>38093</v>
      </c>
      <c r="D32" s="17">
        <v>0.3541666666666667</v>
      </c>
      <c r="E32" s="16">
        <v>38093</v>
      </c>
      <c r="F32" s="17">
        <v>0.3576388888888889</v>
      </c>
      <c r="G32" s="17">
        <v>0.003472222222222222</v>
      </c>
      <c r="H32" s="11" t="s">
        <v>47</v>
      </c>
      <c r="I32" s="11" t="s">
        <v>48</v>
      </c>
      <c r="J32" s="12">
        <v>69</v>
      </c>
      <c r="K32" s="28">
        <f>12491/0.96</f>
        <v>13011.458333333334</v>
      </c>
      <c r="L32" s="28">
        <f>12491/0.96</f>
        <v>13011.458333333334</v>
      </c>
      <c r="M32" s="46">
        <f t="shared" si="0"/>
        <v>1</v>
      </c>
      <c r="N32" s="12">
        <v>14109</v>
      </c>
      <c r="O32" s="29" t="s">
        <v>44</v>
      </c>
      <c r="P32" s="15" t="s">
        <v>56</v>
      </c>
    </row>
    <row r="33" spans="1:16" ht="12.75">
      <c r="A33" s="14">
        <v>33</v>
      </c>
      <c r="B33" s="11"/>
      <c r="C33" s="16">
        <v>38097</v>
      </c>
      <c r="D33" s="17">
        <v>0.24305555555555555</v>
      </c>
      <c r="E33" s="16">
        <v>38097</v>
      </c>
      <c r="F33" s="17">
        <v>0.3527777777777778</v>
      </c>
      <c r="G33" s="17">
        <v>0.10972222222222222</v>
      </c>
      <c r="H33" s="11" t="s">
        <v>47</v>
      </c>
      <c r="I33" s="11" t="s">
        <v>77</v>
      </c>
      <c r="J33" s="12">
        <v>13.8</v>
      </c>
      <c r="K33" s="28">
        <f>3136/0.96</f>
        <v>3266.666666666667</v>
      </c>
      <c r="L33" s="28">
        <f>2600/0.96</f>
        <v>2708.3333333333335</v>
      </c>
      <c r="M33" s="46">
        <f t="shared" si="0"/>
        <v>0.8290816326530612</v>
      </c>
      <c r="N33" s="12">
        <v>5500</v>
      </c>
      <c r="O33" s="29" t="s">
        <v>44</v>
      </c>
      <c r="P33" s="15" t="s">
        <v>69</v>
      </c>
    </row>
    <row r="34" spans="1:16" ht="12.75">
      <c r="A34" s="14">
        <v>36</v>
      </c>
      <c r="B34" s="11"/>
      <c r="C34" s="16">
        <v>38103</v>
      </c>
      <c r="D34" s="17">
        <v>0.3125</v>
      </c>
      <c r="E34" s="16">
        <v>38103</v>
      </c>
      <c r="F34" s="17">
        <v>0.7291666666666666</v>
      </c>
      <c r="G34" s="17">
        <v>0.4166666666666667</v>
      </c>
      <c r="H34" s="11" t="s">
        <v>51</v>
      </c>
      <c r="I34" s="11" t="s">
        <v>53</v>
      </c>
      <c r="J34" s="12">
        <v>69</v>
      </c>
      <c r="K34" s="28">
        <f>23000/0.96</f>
        <v>23958.333333333336</v>
      </c>
      <c r="L34" s="28"/>
      <c r="M34" s="46"/>
      <c r="N34" s="12"/>
      <c r="O34" s="29" t="s">
        <v>78</v>
      </c>
      <c r="P34" s="15" t="s">
        <v>79</v>
      </c>
    </row>
    <row r="35" spans="1:16" ht="12.75">
      <c r="A35" s="14">
        <v>41</v>
      </c>
      <c r="B35" s="11"/>
      <c r="C35" s="16">
        <v>38104</v>
      </c>
      <c r="D35" s="17">
        <v>0.33194444444444443</v>
      </c>
      <c r="E35" s="16">
        <v>38104</v>
      </c>
      <c r="F35" s="17">
        <v>0.6493055555555556</v>
      </c>
      <c r="G35" s="17">
        <v>0.31736111111111115</v>
      </c>
      <c r="H35" s="11" t="s">
        <v>51</v>
      </c>
      <c r="I35" s="11" t="s">
        <v>49</v>
      </c>
      <c r="J35" s="12">
        <v>69</v>
      </c>
      <c r="K35" s="28">
        <f>14000/0.96</f>
        <v>14583.333333333334</v>
      </c>
      <c r="L35" s="28"/>
      <c r="M35" s="46"/>
      <c r="N35" s="12"/>
      <c r="O35" s="29" t="s">
        <v>78</v>
      </c>
      <c r="P35" s="15" t="s">
        <v>80</v>
      </c>
    </row>
    <row r="36" spans="1:16" ht="12.75">
      <c r="A36" s="14">
        <v>42</v>
      </c>
      <c r="B36" s="11"/>
      <c r="C36" s="16">
        <v>38106</v>
      </c>
      <c r="D36" s="17">
        <v>0.2916666666666667</v>
      </c>
      <c r="E36" s="16">
        <v>38106</v>
      </c>
      <c r="F36" s="17">
        <v>0.44930555555555557</v>
      </c>
      <c r="G36" s="17">
        <v>0.15763888888888888</v>
      </c>
      <c r="H36" s="11" t="s">
        <v>51</v>
      </c>
      <c r="I36" s="11" t="s">
        <v>49</v>
      </c>
      <c r="J36" s="12">
        <v>69</v>
      </c>
      <c r="K36" s="28">
        <f>14000/0.96</f>
        <v>14583.333333333334</v>
      </c>
      <c r="L36" s="28">
        <f>14000/0.96</f>
        <v>14583.333333333334</v>
      </c>
      <c r="M36" s="46">
        <f>L36/K36</f>
        <v>1</v>
      </c>
      <c r="N36" s="12">
        <v>15746</v>
      </c>
      <c r="O36" s="29" t="s">
        <v>78</v>
      </c>
      <c r="P36" s="15" t="s">
        <v>81</v>
      </c>
    </row>
    <row r="37" spans="1:16" ht="12.75">
      <c r="A37" s="14">
        <v>43</v>
      </c>
      <c r="B37" s="11"/>
      <c r="C37" s="16">
        <v>38106</v>
      </c>
      <c r="D37" s="17">
        <v>0.2916666666666667</v>
      </c>
      <c r="E37" s="16">
        <v>38106</v>
      </c>
      <c r="F37" s="17">
        <v>0.44930555555555557</v>
      </c>
      <c r="G37" s="17">
        <v>0.15763888888888888</v>
      </c>
      <c r="H37" s="11" t="s">
        <v>51</v>
      </c>
      <c r="I37" s="11" t="s">
        <v>53</v>
      </c>
      <c r="J37" s="12">
        <v>69</v>
      </c>
      <c r="K37" s="28">
        <f>23000/0.96</f>
        <v>23958.333333333336</v>
      </c>
      <c r="L37" s="28">
        <f>23000/0.96</f>
        <v>23958.333333333336</v>
      </c>
      <c r="M37" s="46">
        <f>L37/K37</f>
        <v>1</v>
      </c>
      <c r="N37" s="12">
        <v>14109</v>
      </c>
      <c r="O37" s="29" t="s">
        <v>78</v>
      </c>
      <c r="P37" s="15" t="s">
        <v>82</v>
      </c>
    </row>
    <row r="38" spans="1:16" ht="12.75">
      <c r="A38" s="14">
        <v>1</v>
      </c>
      <c r="B38" s="11"/>
      <c r="C38" s="16">
        <v>38110</v>
      </c>
      <c r="D38" s="17">
        <v>0.7590277777777777</v>
      </c>
      <c r="E38" s="16">
        <v>38110</v>
      </c>
      <c r="F38" s="17">
        <v>0.7916666666666666</v>
      </c>
      <c r="G38" s="17">
        <v>0.03263888888888889</v>
      </c>
      <c r="H38" s="11" t="s">
        <v>47</v>
      </c>
      <c r="I38" s="11" t="s">
        <v>66</v>
      </c>
      <c r="J38" s="12">
        <v>13.8</v>
      </c>
      <c r="K38" s="28">
        <f>3000/0.96</f>
        <v>3125</v>
      </c>
      <c r="L38" s="28">
        <f>3000/0.96</f>
        <v>3125</v>
      </c>
      <c r="M38" s="46">
        <f>L38/K38</f>
        <v>1</v>
      </c>
      <c r="N38" s="12">
        <v>1500</v>
      </c>
      <c r="O38" s="29" t="s">
        <v>44</v>
      </c>
      <c r="P38" s="15" t="s">
        <v>83</v>
      </c>
    </row>
    <row r="39" spans="1:16" ht="12.75">
      <c r="A39" s="14">
        <v>20</v>
      </c>
      <c r="B39" s="11"/>
      <c r="C39" s="16">
        <v>38128</v>
      </c>
      <c r="D39" s="17">
        <v>0.49444444444444446</v>
      </c>
      <c r="E39" s="16">
        <v>38128</v>
      </c>
      <c r="F39" s="17">
        <v>0.5743055555555555</v>
      </c>
      <c r="G39" s="17">
        <v>0.0798611111111111</v>
      </c>
      <c r="H39" s="11" t="s">
        <v>55</v>
      </c>
      <c r="I39" s="11" t="s">
        <v>49</v>
      </c>
      <c r="J39" s="12">
        <v>69</v>
      </c>
      <c r="K39" s="28">
        <f>14000/0.96</f>
        <v>14583.333333333334</v>
      </c>
      <c r="L39" s="28">
        <f>14000/0.96</f>
        <v>14583.333333333334</v>
      </c>
      <c r="M39" s="46">
        <f aca="true" t="shared" si="1" ref="M39:M45">L39/K39</f>
        <v>1</v>
      </c>
      <c r="N39" s="12">
        <v>15746</v>
      </c>
      <c r="O39" s="29" t="s">
        <v>44</v>
      </c>
      <c r="P39" s="15" t="s">
        <v>84</v>
      </c>
    </row>
    <row r="40" spans="1:16" ht="12.75">
      <c r="A40" s="14">
        <v>25</v>
      </c>
      <c r="B40" s="11"/>
      <c r="C40" s="16">
        <v>38131</v>
      </c>
      <c r="D40" s="17">
        <v>0.9201388888888888</v>
      </c>
      <c r="E40" s="16">
        <v>38131</v>
      </c>
      <c r="F40" s="17">
        <v>0.9236111111111112</v>
      </c>
      <c r="G40" s="17">
        <v>0.003472222222222222</v>
      </c>
      <c r="H40" s="11" t="s">
        <v>47</v>
      </c>
      <c r="I40" s="11" t="s">
        <v>85</v>
      </c>
      <c r="J40" s="12">
        <v>13.8</v>
      </c>
      <c r="K40" s="28">
        <f>2000/0.96</f>
        <v>2083.3333333333335</v>
      </c>
      <c r="L40" s="28">
        <f>1200/0.96</f>
        <v>1250</v>
      </c>
      <c r="M40" s="46">
        <f t="shared" si="1"/>
        <v>0.6</v>
      </c>
      <c r="N40" s="12">
        <v>1200</v>
      </c>
      <c r="O40" s="29" t="s">
        <v>75</v>
      </c>
      <c r="P40" s="15" t="s">
        <v>86</v>
      </c>
    </row>
    <row r="41" spans="1:16" ht="12.75">
      <c r="A41" s="14">
        <v>27</v>
      </c>
      <c r="B41" s="11"/>
      <c r="C41" s="16">
        <v>38134</v>
      </c>
      <c r="D41" s="17">
        <v>0.5694444444444444</v>
      </c>
      <c r="E41" s="16">
        <v>38134</v>
      </c>
      <c r="F41" s="17">
        <v>0.6395833333333333</v>
      </c>
      <c r="G41" s="17">
        <v>0.07013888888888889</v>
      </c>
      <c r="H41" s="11" t="s">
        <v>47</v>
      </c>
      <c r="I41" s="11" t="s">
        <v>72</v>
      </c>
      <c r="J41" s="12">
        <v>13.8</v>
      </c>
      <c r="K41" s="28">
        <f>3167/0.96</f>
        <v>3298.9583333333335</v>
      </c>
      <c r="L41" s="28">
        <f>2100/0.96</f>
        <v>2187.5</v>
      </c>
      <c r="M41" s="46">
        <f t="shared" si="1"/>
        <v>0.6630880959898958</v>
      </c>
      <c r="N41" s="12">
        <v>2895</v>
      </c>
      <c r="O41" s="29" t="s">
        <v>44</v>
      </c>
      <c r="P41" s="15" t="s">
        <v>87</v>
      </c>
    </row>
    <row r="42" spans="1:16" ht="12.75">
      <c r="A42" s="14">
        <v>3</v>
      </c>
      <c r="B42" s="11"/>
      <c r="C42" s="16">
        <v>38142</v>
      </c>
      <c r="D42" s="17">
        <v>0.3993055555555556</v>
      </c>
      <c r="E42" s="16">
        <v>38142</v>
      </c>
      <c r="F42" s="17">
        <v>0.4125</v>
      </c>
      <c r="G42" s="17">
        <v>0.013194444444444444</v>
      </c>
      <c r="H42" s="11" t="s">
        <v>47</v>
      </c>
      <c r="I42" s="11" t="s">
        <v>88</v>
      </c>
      <c r="J42" s="12" t="s">
        <v>63</v>
      </c>
      <c r="K42" s="48">
        <f>5000/96</f>
        <v>52.083333333333336</v>
      </c>
      <c r="L42" s="48">
        <f>3500/96</f>
        <v>36.458333333333336</v>
      </c>
      <c r="M42" s="46">
        <f t="shared" si="1"/>
        <v>0.7000000000000001</v>
      </c>
      <c r="N42" s="12">
        <v>9454</v>
      </c>
      <c r="O42" s="29" t="s">
        <v>44</v>
      </c>
      <c r="P42" s="15" t="s">
        <v>89</v>
      </c>
    </row>
    <row r="43" spans="1:16" ht="12.75">
      <c r="A43" s="14">
        <v>12</v>
      </c>
      <c r="B43" s="11"/>
      <c r="C43" s="16">
        <v>38154</v>
      </c>
      <c r="D43" s="17">
        <v>0.9270833333333334</v>
      </c>
      <c r="E43" s="16">
        <v>38154</v>
      </c>
      <c r="F43" s="17">
        <v>0.9638888888888889</v>
      </c>
      <c r="G43" s="17">
        <v>0.03680555555555556</v>
      </c>
      <c r="H43" s="11" t="s">
        <v>47</v>
      </c>
      <c r="I43" s="11" t="s">
        <v>88</v>
      </c>
      <c r="J43" s="12" t="s">
        <v>63</v>
      </c>
      <c r="K43" s="48">
        <f>5000/96</f>
        <v>52.083333333333336</v>
      </c>
      <c r="L43" s="48">
        <f>3500/96</f>
        <v>36.458333333333336</v>
      </c>
      <c r="M43" s="46">
        <f t="shared" si="1"/>
        <v>0.7000000000000001</v>
      </c>
      <c r="N43" s="12">
        <v>9454</v>
      </c>
      <c r="O43" s="29" t="s">
        <v>44</v>
      </c>
      <c r="P43" s="49" t="s">
        <v>90</v>
      </c>
    </row>
    <row r="44" spans="1:16" ht="12.75">
      <c r="A44" s="14">
        <v>18</v>
      </c>
      <c r="B44" s="11"/>
      <c r="C44" s="16">
        <v>38158</v>
      </c>
      <c r="D44" s="17">
        <v>0.7152777777777778</v>
      </c>
      <c r="E44" s="16">
        <v>38158</v>
      </c>
      <c r="F44" s="17">
        <v>0.7361111111111112</v>
      </c>
      <c r="G44" s="17">
        <v>0.020833333333333332</v>
      </c>
      <c r="H44" s="11" t="s">
        <v>47</v>
      </c>
      <c r="I44" s="11" t="s">
        <v>91</v>
      </c>
      <c r="J44" s="12" t="s">
        <v>63</v>
      </c>
      <c r="K44" s="48">
        <f>3000/96</f>
        <v>31.25</v>
      </c>
      <c r="L44" s="48">
        <f>1600/96</f>
        <v>16.666666666666668</v>
      </c>
      <c r="M44" s="46">
        <f t="shared" si="1"/>
        <v>0.5333333333333333</v>
      </c>
      <c r="N44" s="12">
        <v>5700</v>
      </c>
      <c r="O44" s="29" t="s">
        <v>44</v>
      </c>
      <c r="P44" s="15" t="s">
        <v>92</v>
      </c>
    </row>
    <row r="45" spans="1:16" ht="12.75">
      <c r="A45" s="12">
        <v>24</v>
      </c>
      <c r="B45" s="11"/>
      <c r="C45" s="16">
        <v>38167</v>
      </c>
      <c r="D45" s="17">
        <v>0.3833333333333333</v>
      </c>
      <c r="E45" s="16">
        <v>38167</v>
      </c>
      <c r="F45" s="17">
        <v>0.6444444444444445</v>
      </c>
      <c r="G45" s="17">
        <v>0.2777777777777778</v>
      </c>
      <c r="H45" s="11" t="s">
        <v>58</v>
      </c>
      <c r="I45" s="11" t="s">
        <v>93</v>
      </c>
      <c r="J45" s="12">
        <v>13.8</v>
      </c>
      <c r="K45" s="50">
        <f>2500/96</f>
        <v>26.041666666666668</v>
      </c>
      <c r="L45" s="50">
        <f>1200/96</f>
        <v>12.5</v>
      </c>
      <c r="M45" s="51">
        <f t="shared" si="1"/>
        <v>0.48</v>
      </c>
      <c r="N45" s="12">
        <v>1770</v>
      </c>
      <c r="O45" s="12" t="s">
        <v>78</v>
      </c>
      <c r="P45" s="11" t="s">
        <v>94</v>
      </c>
    </row>
    <row r="46" spans="1:19" ht="12.75">
      <c r="A46" s="14">
        <v>6</v>
      </c>
      <c r="B46" s="11"/>
      <c r="C46" s="16">
        <v>38170</v>
      </c>
      <c r="D46" s="17">
        <v>0.6597222222222222</v>
      </c>
      <c r="E46" s="16">
        <v>38170</v>
      </c>
      <c r="F46" s="17">
        <v>0.6875</v>
      </c>
      <c r="G46" s="17">
        <v>0.027777777777777776</v>
      </c>
      <c r="H46" s="11" t="s">
        <v>65</v>
      </c>
      <c r="I46" s="11" t="s">
        <v>95</v>
      </c>
      <c r="J46" s="12">
        <v>69</v>
      </c>
      <c r="K46" s="52">
        <v>8333.333333333334</v>
      </c>
      <c r="L46" s="52">
        <v>8333.333333333334</v>
      </c>
      <c r="M46" s="53">
        <v>1</v>
      </c>
      <c r="N46" s="12">
        <v>15746</v>
      </c>
      <c r="O46" s="29" t="s">
        <v>44</v>
      </c>
      <c r="P46" s="15" t="s">
        <v>96</v>
      </c>
      <c r="Q46" s="5"/>
      <c r="R46" s="5"/>
      <c r="S46" s="5"/>
    </row>
    <row r="47" spans="1:19" ht="12.75">
      <c r="A47" s="14">
        <v>9</v>
      </c>
      <c r="B47" s="11"/>
      <c r="C47" s="16">
        <v>38171</v>
      </c>
      <c r="D47" s="17">
        <v>0.375</v>
      </c>
      <c r="E47" s="16">
        <v>38171</v>
      </c>
      <c r="F47" s="17">
        <v>0.46527777777777773</v>
      </c>
      <c r="G47" s="17">
        <v>0.09027777777777778</v>
      </c>
      <c r="H47" s="11" t="s">
        <v>47</v>
      </c>
      <c r="I47" s="11" t="s">
        <v>97</v>
      </c>
      <c r="J47" s="12">
        <v>13.8</v>
      </c>
      <c r="K47" s="52">
        <v>1041.6666666666667</v>
      </c>
      <c r="L47" s="52">
        <v>625</v>
      </c>
      <c r="M47" s="53">
        <v>0.6</v>
      </c>
      <c r="N47" s="12">
        <v>350</v>
      </c>
      <c r="O47" s="29" t="s">
        <v>44</v>
      </c>
      <c r="P47" s="15" t="s">
        <v>64</v>
      </c>
      <c r="Q47" s="5"/>
      <c r="R47" s="5"/>
      <c r="S47" s="5"/>
    </row>
    <row r="48" spans="1:19" ht="12.75">
      <c r="A48" s="14">
        <v>12</v>
      </c>
      <c r="B48" s="11"/>
      <c r="C48" s="16">
        <v>38173</v>
      </c>
      <c r="D48" s="17">
        <v>0.4236111111111111</v>
      </c>
      <c r="E48" s="16">
        <v>38173</v>
      </c>
      <c r="F48" s="17">
        <v>0.4513888888888889</v>
      </c>
      <c r="G48" s="17">
        <v>0.027777777777777776</v>
      </c>
      <c r="H48" s="11" t="s">
        <v>47</v>
      </c>
      <c r="I48" s="11" t="s">
        <v>66</v>
      </c>
      <c r="J48" s="12">
        <v>13.8</v>
      </c>
      <c r="K48" s="52">
        <v>4166.666666666667</v>
      </c>
      <c r="L48" s="52">
        <v>1979.1666666666667</v>
      </c>
      <c r="M48" s="53">
        <v>0.475</v>
      </c>
      <c r="N48" s="12">
        <v>3000</v>
      </c>
      <c r="O48" s="29" t="s">
        <v>44</v>
      </c>
      <c r="P48" s="54" t="s">
        <v>98</v>
      </c>
      <c r="Q48" s="5"/>
      <c r="R48" s="5"/>
      <c r="S48" s="5"/>
    </row>
    <row r="49" spans="1:19" ht="12.75">
      <c r="A49" s="14">
        <v>14</v>
      </c>
      <c r="B49" s="11"/>
      <c r="C49" s="16">
        <v>38173</v>
      </c>
      <c r="D49" s="17">
        <v>0.8854166666666666</v>
      </c>
      <c r="E49" s="16">
        <v>38173</v>
      </c>
      <c r="F49" s="17">
        <v>0.8875</v>
      </c>
      <c r="G49" s="17">
        <v>0.0020833333333333333</v>
      </c>
      <c r="H49" s="11" t="s">
        <v>47</v>
      </c>
      <c r="I49" s="11" t="s">
        <v>99</v>
      </c>
      <c r="J49" s="12">
        <v>13.8</v>
      </c>
      <c r="K49" s="52">
        <v>4687.5</v>
      </c>
      <c r="L49" s="52">
        <v>3125</v>
      </c>
      <c r="M49" s="53">
        <v>0.6666666666666666</v>
      </c>
      <c r="N49" s="12">
        <v>4500</v>
      </c>
      <c r="O49" s="29" t="s">
        <v>75</v>
      </c>
      <c r="P49" s="15" t="s">
        <v>86</v>
      </c>
      <c r="Q49" s="5"/>
      <c r="R49" s="5"/>
      <c r="S49" s="5"/>
    </row>
    <row r="50" spans="1:19" ht="12.75">
      <c r="A50" s="14">
        <v>17</v>
      </c>
      <c r="B50" s="11"/>
      <c r="C50" s="16">
        <v>38174</v>
      </c>
      <c r="D50" s="17">
        <v>0.9875</v>
      </c>
      <c r="E50" s="16">
        <v>38174</v>
      </c>
      <c r="F50" s="17">
        <v>0.9951388888888889</v>
      </c>
      <c r="G50" s="17">
        <v>0.007638888888888889</v>
      </c>
      <c r="H50" s="11" t="s">
        <v>58</v>
      </c>
      <c r="I50" s="11" t="s">
        <v>100</v>
      </c>
      <c r="J50" s="12">
        <v>13.8</v>
      </c>
      <c r="K50" s="52">
        <v>729.1666666666667</v>
      </c>
      <c r="L50" s="52">
        <v>364.58333333333337</v>
      </c>
      <c r="M50" s="53">
        <v>0.5</v>
      </c>
      <c r="N50" s="12">
        <v>1454</v>
      </c>
      <c r="O50" s="29" t="s">
        <v>44</v>
      </c>
      <c r="P50" s="15" t="s">
        <v>101</v>
      </c>
      <c r="Q50" s="5"/>
      <c r="R50" s="5"/>
      <c r="S50" s="5"/>
    </row>
    <row r="51" spans="1:19" ht="12.75">
      <c r="A51" s="14">
        <v>21</v>
      </c>
      <c r="B51" s="11"/>
      <c r="C51" s="16">
        <v>38175</v>
      </c>
      <c r="D51" s="17">
        <v>0.6215277777777778</v>
      </c>
      <c r="E51" s="16">
        <v>38175</v>
      </c>
      <c r="F51" s="17">
        <v>0.6291666666666667</v>
      </c>
      <c r="G51" s="17">
        <v>0.007638888888888889</v>
      </c>
      <c r="H51" s="11" t="s">
        <v>47</v>
      </c>
      <c r="I51" s="11" t="s">
        <v>46</v>
      </c>
      <c r="J51" s="12">
        <v>13.8</v>
      </c>
      <c r="K51" s="52">
        <v>2708.3333333333335</v>
      </c>
      <c r="L51" s="52">
        <v>1875</v>
      </c>
      <c r="M51" s="53">
        <v>0.6923076923076923</v>
      </c>
      <c r="N51" s="12">
        <v>4737</v>
      </c>
      <c r="O51" s="29" t="s">
        <v>44</v>
      </c>
      <c r="P51" s="15" t="s">
        <v>102</v>
      </c>
      <c r="Q51" s="5"/>
      <c r="R51" s="5"/>
      <c r="S51" s="5"/>
    </row>
    <row r="52" spans="1:19" ht="12.75">
      <c r="A52" s="12">
        <v>28</v>
      </c>
      <c r="B52" s="11"/>
      <c r="C52" s="16">
        <v>38187</v>
      </c>
      <c r="D52" s="17">
        <v>0.9583333333333334</v>
      </c>
      <c r="E52" s="16">
        <v>38187</v>
      </c>
      <c r="F52" s="17">
        <v>0.9861111111111112</v>
      </c>
      <c r="G52" s="17">
        <v>0.027777777777777776</v>
      </c>
      <c r="H52" s="11" t="s">
        <v>65</v>
      </c>
      <c r="I52" s="11" t="s">
        <v>53</v>
      </c>
      <c r="J52" s="12">
        <v>69</v>
      </c>
      <c r="K52" s="52">
        <v>12500</v>
      </c>
      <c r="L52" s="52">
        <v>12500</v>
      </c>
      <c r="M52" s="53">
        <v>1</v>
      </c>
      <c r="N52" s="12">
        <v>14109</v>
      </c>
      <c r="O52" s="12" t="s">
        <v>44</v>
      </c>
      <c r="P52" s="11" t="s">
        <v>103</v>
      </c>
      <c r="Q52" s="5"/>
      <c r="R52" s="5"/>
      <c r="S52" s="5"/>
    </row>
    <row r="53" spans="1:19" ht="12.75">
      <c r="A53" s="41">
        <v>39</v>
      </c>
      <c r="B53" s="38"/>
      <c r="C53" s="39">
        <v>38194</v>
      </c>
      <c r="D53" s="40">
        <v>0.3888888888888889</v>
      </c>
      <c r="E53" s="39">
        <v>38194</v>
      </c>
      <c r="F53" s="40">
        <v>0.3951388888888889</v>
      </c>
      <c r="G53" s="40">
        <v>0.00625</v>
      </c>
      <c r="H53" s="38" t="s">
        <v>47</v>
      </c>
      <c r="I53" s="38" t="s">
        <v>46</v>
      </c>
      <c r="J53" s="41">
        <v>13.8</v>
      </c>
      <c r="K53" s="52">
        <v>3645.8333333333335</v>
      </c>
      <c r="L53" s="52">
        <v>1875</v>
      </c>
      <c r="M53" s="53">
        <v>0.5142857142857142</v>
      </c>
      <c r="N53" s="41">
        <v>4737</v>
      </c>
      <c r="O53" s="41" t="s">
        <v>44</v>
      </c>
      <c r="P53" s="38" t="s">
        <v>104</v>
      </c>
      <c r="Q53" s="5"/>
      <c r="R53" s="5"/>
      <c r="S53" s="5"/>
    </row>
    <row r="54" spans="1:19" ht="12.75">
      <c r="A54" s="41">
        <v>40</v>
      </c>
      <c r="B54" s="38"/>
      <c r="C54" s="39">
        <v>38194</v>
      </c>
      <c r="D54" s="40">
        <v>0.3888888888888889</v>
      </c>
      <c r="E54" s="39">
        <v>38194</v>
      </c>
      <c r="F54" s="40">
        <v>0.3951388888888889</v>
      </c>
      <c r="G54" s="40">
        <v>0.00625</v>
      </c>
      <c r="H54" s="38" t="s">
        <v>47</v>
      </c>
      <c r="I54" s="38" t="s">
        <v>105</v>
      </c>
      <c r="J54" s="41">
        <v>13.8</v>
      </c>
      <c r="K54" s="52">
        <v>3125</v>
      </c>
      <c r="L54" s="52">
        <v>1510.4166666666667</v>
      </c>
      <c r="M54" s="53">
        <v>0.48333333333333334</v>
      </c>
      <c r="N54" s="41">
        <v>4000</v>
      </c>
      <c r="O54" s="41" t="s">
        <v>44</v>
      </c>
      <c r="P54" s="38" t="s">
        <v>104</v>
      </c>
      <c r="Q54" s="5"/>
      <c r="R54" s="5"/>
      <c r="S54" s="5"/>
    </row>
    <row r="55" spans="1:16" ht="13.5" thickBot="1">
      <c r="A55" s="41">
        <v>43</v>
      </c>
      <c r="B55" s="38"/>
      <c r="C55" s="39">
        <v>38196</v>
      </c>
      <c r="D55" s="40">
        <v>0.3958333333333333</v>
      </c>
      <c r="E55" s="39">
        <v>38196</v>
      </c>
      <c r="F55" s="40">
        <v>0.46875</v>
      </c>
      <c r="G55" s="40">
        <v>0.07291666666666667</v>
      </c>
      <c r="H55" s="38" t="s">
        <v>58</v>
      </c>
      <c r="I55" s="38" t="s">
        <v>100</v>
      </c>
      <c r="J55" s="41">
        <v>13.8</v>
      </c>
      <c r="K55" s="52">
        <v>729.1666666666667</v>
      </c>
      <c r="L55" s="52">
        <v>416.6666666666667</v>
      </c>
      <c r="M55" s="53">
        <v>0.5714285714285714</v>
      </c>
      <c r="N55" s="41">
        <v>1454</v>
      </c>
      <c r="O55" s="41" t="s">
        <v>44</v>
      </c>
      <c r="P55" s="38" t="s">
        <v>106</v>
      </c>
    </row>
    <row r="56" spans="1:16" ht="12.75">
      <c r="A56" s="55">
        <v>1</v>
      </c>
      <c r="B56" s="56"/>
      <c r="C56" s="57">
        <v>38201</v>
      </c>
      <c r="D56" s="58">
        <v>0.14166666666666666</v>
      </c>
      <c r="E56" s="57">
        <v>38201</v>
      </c>
      <c r="F56" s="58">
        <v>0.15555555555555556</v>
      </c>
      <c r="G56" s="58">
        <v>0.013888888888888888</v>
      </c>
      <c r="H56" s="56" t="s">
        <v>55</v>
      </c>
      <c r="I56" s="56" t="s">
        <v>49</v>
      </c>
      <c r="J56" s="59">
        <v>69</v>
      </c>
      <c r="K56" s="60">
        <f>8000/0.96</f>
        <v>8333.333333333334</v>
      </c>
      <c r="L56" s="60">
        <f>8000/0.96</f>
        <v>8333.333333333334</v>
      </c>
      <c r="M56" s="61">
        <f>L56/K56</f>
        <v>1</v>
      </c>
      <c r="N56" s="59">
        <v>15746</v>
      </c>
      <c r="O56" s="59" t="s">
        <v>44</v>
      </c>
      <c r="P56" s="62" t="s">
        <v>107</v>
      </c>
    </row>
    <row r="57" spans="1:16" ht="12.75">
      <c r="A57" s="14">
        <v>4</v>
      </c>
      <c r="B57" s="11"/>
      <c r="C57" s="16">
        <v>38202</v>
      </c>
      <c r="D57" s="17">
        <v>0.3645833333333333</v>
      </c>
      <c r="E57" s="16">
        <v>38202</v>
      </c>
      <c r="F57" s="17">
        <v>0.3819444444444444</v>
      </c>
      <c r="G57" s="17">
        <v>0.017361111111111112</v>
      </c>
      <c r="H57" s="11" t="s">
        <v>47</v>
      </c>
      <c r="I57" s="11" t="s">
        <v>108</v>
      </c>
      <c r="J57" s="12">
        <v>13.8</v>
      </c>
      <c r="K57" s="48">
        <f>900/0.96</f>
        <v>937.5</v>
      </c>
      <c r="L57" s="48">
        <f>700/0.96</f>
        <v>729.1666666666667</v>
      </c>
      <c r="M57" s="46">
        <f>L57/K57</f>
        <v>0.7777777777777779</v>
      </c>
      <c r="N57" s="12">
        <v>350</v>
      </c>
      <c r="O57" s="29" t="s">
        <v>78</v>
      </c>
      <c r="P57" s="15" t="s">
        <v>109</v>
      </c>
    </row>
    <row r="58" spans="1:16" ht="12.75">
      <c r="A58" s="14">
        <v>7</v>
      </c>
      <c r="B58" s="11"/>
      <c r="C58" s="16">
        <v>38202</v>
      </c>
      <c r="D58" s="17">
        <v>0.4513888888888889</v>
      </c>
      <c r="E58" s="16">
        <v>38202</v>
      </c>
      <c r="F58" s="17">
        <v>0.46319444444444446</v>
      </c>
      <c r="G58" s="17">
        <v>0.011805555555555555</v>
      </c>
      <c r="H58" s="11" t="s">
        <v>55</v>
      </c>
      <c r="I58" s="11" t="s">
        <v>49</v>
      </c>
      <c r="J58" s="12">
        <v>69</v>
      </c>
      <c r="K58" s="48">
        <f>8000/0.96</f>
        <v>8333.333333333334</v>
      </c>
      <c r="L58" s="48">
        <f>8000/0.96</f>
        <v>8333.333333333334</v>
      </c>
      <c r="M58" s="46">
        <f>L58/K58</f>
        <v>1</v>
      </c>
      <c r="N58" s="12">
        <v>15746</v>
      </c>
      <c r="O58" s="29" t="s">
        <v>44</v>
      </c>
      <c r="P58" s="15" t="s">
        <v>110</v>
      </c>
    </row>
    <row r="59" spans="1:16" ht="12.75">
      <c r="A59" s="14">
        <v>8</v>
      </c>
      <c r="B59" s="11"/>
      <c r="C59" s="16">
        <v>38202</v>
      </c>
      <c r="D59" s="17">
        <v>0.5944444444444444</v>
      </c>
      <c r="E59" s="16">
        <v>38202</v>
      </c>
      <c r="F59" s="17">
        <v>0.6215277777777778</v>
      </c>
      <c r="G59" s="17">
        <v>0.027083333333333334</v>
      </c>
      <c r="H59" s="11" t="s">
        <v>55</v>
      </c>
      <c r="I59" s="11" t="s">
        <v>49</v>
      </c>
      <c r="J59" s="12">
        <v>69</v>
      </c>
      <c r="K59" s="48">
        <f>8000/0.96</f>
        <v>8333.333333333334</v>
      </c>
      <c r="L59" s="48">
        <f>8000/0.96</f>
        <v>8333.333333333334</v>
      </c>
      <c r="M59" s="46">
        <f>L59/K59</f>
        <v>1</v>
      </c>
      <c r="N59" s="12">
        <v>15746</v>
      </c>
      <c r="O59" s="29" t="s">
        <v>44</v>
      </c>
      <c r="P59" s="15" t="s">
        <v>111</v>
      </c>
    </row>
    <row r="60" spans="1:25" ht="12.75">
      <c r="A60" s="14">
        <v>30</v>
      </c>
      <c r="B60" s="11"/>
      <c r="C60" s="16">
        <v>38229</v>
      </c>
      <c r="D60" s="17">
        <v>0.7277777777777777</v>
      </c>
      <c r="E60" s="16">
        <v>38229</v>
      </c>
      <c r="F60" s="17">
        <v>0.7333333333333334</v>
      </c>
      <c r="G60" s="17">
        <v>0.005555555555555556</v>
      </c>
      <c r="H60" s="11" t="s">
        <v>55</v>
      </c>
      <c r="I60" s="11" t="s">
        <v>53</v>
      </c>
      <c r="J60" s="12">
        <v>69</v>
      </c>
      <c r="K60" s="50">
        <f>13720/0.96</f>
        <v>14291.666666666668</v>
      </c>
      <c r="L60" s="50">
        <f>13720/0.96</f>
        <v>14291.666666666668</v>
      </c>
      <c r="M60" s="51">
        <f>L60/K60</f>
        <v>1</v>
      </c>
      <c r="N60" s="12">
        <v>14109</v>
      </c>
      <c r="O60" s="12" t="s">
        <v>44</v>
      </c>
      <c r="P60" s="63" t="s">
        <v>112</v>
      </c>
      <c r="Q60" s="64"/>
      <c r="R60" s="64"/>
      <c r="S60" s="64"/>
      <c r="T60" s="65"/>
      <c r="U60" s="65"/>
      <c r="V60" s="66"/>
      <c r="W60" s="64"/>
      <c r="X60" s="64"/>
      <c r="Y60" s="5"/>
    </row>
    <row r="61" spans="1:25" ht="12.75">
      <c r="A61" s="67">
        <v>31</v>
      </c>
      <c r="B61" s="38"/>
      <c r="C61" s="39">
        <v>38230</v>
      </c>
      <c r="D61" s="68">
        <v>0.3993055555555556</v>
      </c>
      <c r="E61" s="69">
        <v>38230</v>
      </c>
      <c r="F61" s="68">
        <v>0.40625</v>
      </c>
      <c r="G61" s="68">
        <v>0.006944444444444444</v>
      </c>
      <c r="H61" s="70" t="s">
        <v>47</v>
      </c>
      <c r="I61" s="70" t="s">
        <v>46</v>
      </c>
      <c r="J61" s="71">
        <v>13.8</v>
      </c>
      <c r="K61" s="50">
        <f>2700/0.96</f>
        <v>2812.5</v>
      </c>
      <c r="L61" s="50">
        <f>1300/0.96</f>
        <v>1354.1666666666667</v>
      </c>
      <c r="M61" s="46">
        <f>L61/K61</f>
        <v>0.4814814814814815</v>
      </c>
      <c r="N61" s="71">
        <v>4737</v>
      </c>
      <c r="O61" s="71" t="s">
        <v>78</v>
      </c>
      <c r="P61" s="72" t="s">
        <v>113</v>
      </c>
      <c r="Q61" s="5"/>
      <c r="R61" s="5"/>
      <c r="S61" s="64"/>
      <c r="T61" s="65"/>
      <c r="U61" s="65"/>
      <c r="V61" s="66"/>
      <c r="W61" s="64"/>
      <c r="X61" s="64"/>
      <c r="Y61" s="5"/>
    </row>
    <row r="62" spans="1:25" ht="12.75">
      <c r="A62" s="67">
        <v>33</v>
      </c>
      <c r="B62" s="38"/>
      <c r="C62" s="39">
        <v>38230</v>
      </c>
      <c r="D62" s="40">
        <v>0.6319444444444444</v>
      </c>
      <c r="E62" s="39">
        <v>38230</v>
      </c>
      <c r="F62" s="40">
        <v>0.6527777777777778</v>
      </c>
      <c r="G62" s="40">
        <v>0.020833333333333332</v>
      </c>
      <c r="H62" s="38" t="s">
        <v>47</v>
      </c>
      <c r="I62" s="38" t="s">
        <v>114</v>
      </c>
      <c r="J62" s="41">
        <v>13.8</v>
      </c>
      <c r="K62" s="73">
        <f>3400/0.96</f>
        <v>3541.666666666667</v>
      </c>
      <c r="L62" s="73">
        <f>2500/0.96</f>
        <v>2604.166666666667</v>
      </c>
      <c r="M62" s="74">
        <f>L62/K62</f>
        <v>0.7352941176470589</v>
      </c>
      <c r="N62" s="41">
        <v>6114</v>
      </c>
      <c r="O62" s="41" t="s">
        <v>44</v>
      </c>
      <c r="P62" s="42" t="s">
        <v>115</v>
      </c>
      <c r="Q62" s="5"/>
      <c r="R62" s="5"/>
      <c r="S62" s="64"/>
      <c r="T62" s="65"/>
      <c r="U62" s="65"/>
      <c r="V62" s="66"/>
      <c r="W62" s="64"/>
      <c r="X62" s="64"/>
      <c r="Y62" s="5"/>
    </row>
    <row r="63" spans="1:16" ht="12.75">
      <c r="A63" s="75">
        <v>4</v>
      </c>
      <c r="B63" s="2"/>
      <c r="C63" s="76">
        <v>38232</v>
      </c>
      <c r="D63" s="77">
        <v>0.7763888888888889</v>
      </c>
      <c r="E63" s="76">
        <v>38232</v>
      </c>
      <c r="F63" s="77">
        <v>0.7888888888888889</v>
      </c>
      <c r="G63" s="77">
        <v>0.0125</v>
      </c>
      <c r="H63" s="2" t="s">
        <v>47</v>
      </c>
      <c r="I63" s="2" t="s">
        <v>116</v>
      </c>
      <c r="J63" s="78">
        <v>69</v>
      </c>
      <c r="K63" s="79">
        <f>1500/96</f>
        <v>15.625</v>
      </c>
      <c r="L63" s="79">
        <f>1500/96</f>
        <v>15.625</v>
      </c>
      <c r="M63" s="80">
        <f>L63/K63</f>
        <v>1</v>
      </c>
      <c r="N63" s="78">
        <v>14109</v>
      </c>
      <c r="O63" s="78" t="s">
        <v>44</v>
      </c>
      <c r="P63" s="81" t="s">
        <v>117</v>
      </c>
    </row>
    <row r="64" spans="1:16" ht="12.75">
      <c r="A64" s="14">
        <v>7</v>
      </c>
      <c r="B64" s="11"/>
      <c r="C64" s="16">
        <v>38235</v>
      </c>
      <c r="D64" s="17">
        <v>0.3368055555555556</v>
      </c>
      <c r="E64" s="16">
        <v>38235</v>
      </c>
      <c r="F64" s="17">
        <v>0.6916666666666668</v>
      </c>
      <c r="G64" s="17">
        <v>0.36180555555555555</v>
      </c>
      <c r="H64" s="11" t="s">
        <v>65</v>
      </c>
      <c r="I64" s="11" t="s">
        <v>74</v>
      </c>
      <c r="J64" s="12">
        <v>69</v>
      </c>
      <c r="K64" s="50">
        <f>38900/96</f>
        <v>405.2083333333333</v>
      </c>
      <c r="L64" s="50">
        <f>38900/96</f>
        <v>405.2083333333333</v>
      </c>
      <c r="M64" s="51">
        <f>L64/K64</f>
        <v>1</v>
      </c>
      <c r="N64" s="12">
        <v>85000</v>
      </c>
      <c r="O64" s="29" t="s">
        <v>118</v>
      </c>
      <c r="P64" s="15" t="s">
        <v>119</v>
      </c>
    </row>
    <row r="65" spans="1:25" ht="12.75">
      <c r="A65" s="14">
        <v>17</v>
      </c>
      <c r="B65" s="11"/>
      <c r="C65" s="16">
        <v>38241</v>
      </c>
      <c r="D65" s="17">
        <v>0.6041666666666666</v>
      </c>
      <c r="E65" s="16">
        <v>38241</v>
      </c>
      <c r="F65" s="17">
        <v>0.611111111111111</v>
      </c>
      <c r="G65" s="17">
        <v>0.006944444444444444</v>
      </c>
      <c r="H65" s="11" t="s">
        <v>47</v>
      </c>
      <c r="I65" s="11" t="s">
        <v>88</v>
      </c>
      <c r="J65" s="12" t="s">
        <v>63</v>
      </c>
      <c r="K65" s="50">
        <f>4800/96</f>
        <v>50</v>
      </c>
      <c r="L65" s="50">
        <f>3000/96</f>
        <v>31.25</v>
      </c>
      <c r="M65" s="51">
        <f>L65/K65</f>
        <v>0.625</v>
      </c>
      <c r="N65" s="12">
        <v>9454</v>
      </c>
      <c r="O65" s="12" t="s">
        <v>44</v>
      </c>
      <c r="P65" s="15" t="s">
        <v>120</v>
      </c>
      <c r="Q65" s="5"/>
      <c r="R65" s="5"/>
      <c r="S65" s="64"/>
      <c r="T65" s="65"/>
      <c r="U65" s="65"/>
      <c r="V65" s="66"/>
      <c r="W65" s="64"/>
      <c r="X65" s="64"/>
      <c r="Y65" s="5"/>
    </row>
    <row r="66" spans="1:25" ht="12.75">
      <c r="A66" s="14">
        <v>20</v>
      </c>
      <c r="B66" s="11"/>
      <c r="C66" s="16">
        <v>38251</v>
      </c>
      <c r="D66" s="17">
        <v>0.2590277777777778</v>
      </c>
      <c r="E66" s="16">
        <v>38251</v>
      </c>
      <c r="F66" s="17">
        <v>0.3201388888888889</v>
      </c>
      <c r="G66" s="17">
        <v>0.061111111111111116</v>
      </c>
      <c r="H66" s="11" t="s">
        <v>65</v>
      </c>
      <c r="I66" s="11" t="s">
        <v>49</v>
      </c>
      <c r="J66" s="12">
        <v>69</v>
      </c>
      <c r="K66" s="50">
        <f>8500/96</f>
        <v>88.54166666666667</v>
      </c>
      <c r="L66" s="50">
        <f>8500/96</f>
        <v>88.54166666666667</v>
      </c>
      <c r="M66" s="51">
        <f>L66/K66</f>
        <v>1</v>
      </c>
      <c r="N66" s="12">
        <v>16000</v>
      </c>
      <c r="O66" s="12" t="s">
        <v>78</v>
      </c>
      <c r="P66" s="82" t="s">
        <v>121</v>
      </c>
      <c r="Q66" s="5"/>
      <c r="R66" s="5"/>
      <c r="S66" s="64"/>
      <c r="T66" s="65"/>
      <c r="U66" s="65"/>
      <c r="V66" s="66"/>
      <c r="W66" s="64"/>
      <c r="X66" s="64"/>
      <c r="Y66" s="5"/>
    </row>
    <row r="67" spans="1:25" ht="12.75">
      <c r="A67" s="67">
        <v>33</v>
      </c>
      <c r="B67" s="38"/>
      <c r="C67" s="39">
        <v>38259</v>
      </c>
      <c r="D67" s="40">
        <v>0.642361111111111</v>
      </c>
      <c r="E67" s="39">
        <v>38259</v>
      </c>
      <c r="F67" s="40">
        <v>0.6555555555555556</v>
      </c>
      <c r="G67" s="40">
        <v>0.013194444444444444</v>
      </c>
      <c r="H67" s="38" t="s">
        <v>65</v>
      </c>
      <c r="I67" s="38" t="s">
        <v>49</v>
      </c>
      <c r="J67" s="41">
        <v>69</v>
      </c>
      <c r="K67" s="50">
        <f>12000/96</f>
        <v>125</v>
      </c>
      <c r="L67" s="50">
        <f>12000/96</f>
        <v>125</v>
      </c>
      <c r="M67" s="51">
        <f>L67/K67</f>
        <v>1</v>
      </c>
      <c r="N67" s="41">
        <v>16000</v>
      </c>
      <c r="O67" s="41" t="s">
        <v>44</v>
      </c>
      <c r="P67" s="83" t="s">
        <v>122</v>
      </c>
      <c r="Q67" s="5"/>
      <c r="R67" s="5"/>
      <c r="S67" s="64"/>
      <c r="T67" s="65"/>
      <c r="U67" s="65"/>
      <c r="V67" s="66"/>
      <c r="W67" s="64"/>
      <c r="X67" s="64"/>
      <c r="Y67" s="5"/>
    </row>
    <row r="68" spans="1:16" ht="12.75">
      <c r="A68" s="14">
        <v>4</v>
      </c>
      <c r="B68" s="11"/>
      <c r="C68" s="16">
        <v>38264</v>
      </c>
      <c r="D68" s="17">
        <v>0.8333333333333334</v>
      </c>
      <c r="E68" s="16">
        <v>38264</v>
      </c>
      <c r="F68" s="17">
        <v>0.8923611111111112</v>
      </c>
      <c r="G68" s="17">
        <v>0.05902777777777778</v>
      </c>
      <c r="H68" s="11" t="s">
        <v>47</v>
      </c>
      <c r="I68" s="11" t="s">
        <v>46</v>
      </c>
      <c r="J68" s="12">
        <v>13.8</v>
      </c>
      <c r="K68" s="50">
        <f>3900/0.96</f>
        <v>4062.5</v>
      </c>
      <c r="L68" s="50">
        <f>2800/0.96</f>
        <v>2916.666666666667</v>
      </c>
      <c r="M68" s="51">
        <f>L68/K68</f>
        <v>0.7179487179487181</v>
      </c>
      <c r="N68" s="12">
        <v>4737</v>
      </c>
      <c r="O68" s="29" t="s">
        <v>44</v>
      </c>
      <c r="P68" s="15" t="s">
        <v>45</v>
      </c>
    </row>
    <row r="69" spans="1:25" ht="12.75">
      <c r="A69" s="14">
        <v>15</v>
      </c>
      <c r="B69" s="11"/>
      <c r="C69" s="16">
        <v>38273</v>
      </c>
      <c r="D69" s="17">
        <v>0.41111111111111115</v>
      </c>
      <c r="E69" s="16">
        <v>38273</v>
      </c>
      <c r="F69" s="17">
        <v>0.43125</v>
      </c>
      <c r="G69" s="17">
        <v>0.02013888888888889</v>
      </c>
      <c r="H69" s="11" t="s">
        <v>47</v>
      </c>
      <c r="I69" s="11" t="s">
        <v>99</v>
      </c>
      <c r="J69" s="12">
        <v>13.8</v>
      </c>
      <c r="K69" s="50">
        <f>1200/0.96</f>
        <v>1250</v>
      </c>
      <c r="L69" s="50">
        <f>600/0.96</f>
        <v>625</v>
      </c>
      <c r="M69" s="51">
        <f>L69/K69</f>
        <v>0.5</v>
      </c>
      <c r="N69" s="12">
        <v>2800</v>
      </c>
      <c r="O69" s="12" t="s">
        <v>44</v>
      </c>
      <c r="P69" s="15" t="s">
        <v>123</v>
      </c>
      <c r="Q69" s="5"/>
      <c r="R69" s="5"/>
      <c r="S69" s="64"/>
      <c r="T69" s="65"/>
      <c r="U69" s="65"/>
      <c r="V69" s="66"/>
      <c r="W69" s="64"/>
      <c r="X69" s="64"/>
      <c r="Y69" s="5"/>
    </row>
    <row r="70" spans="1:25" ht="12.75">
      <c r="A70" s="14">
        <v>16</v>
      </c>
      <c r="B70" s="11"/>
      <c r="C70" s="16">
        <v>38274</v>
      </c>
      <c r="D70" s="17">
        <v>0.2</v>
      </c>
      <c r="E70" s="16">
        <v>38274</v>
      </c>
      <c r="F70" s="17">
        <v>0.22569444444444445</v>
      </c>
      <c r="G70" s="17">
        <v>0.025694444444444447</v>
      </c>
      <c r="H70" s="11" t="s">
        <v>47</v>
      </c>
      <c r="I70" s="11" t="s">
        <v>88</v>
      </c>
      <c r="J70" s="12">
        <v>13.8</v>
      </c>
      <c r="K70" s="50">
        <f>3893/0.96</f>
        <v>4055.2083333333335</v>
      </c>
      <c r="L70" s="50">
        <f>1700/0.96</f>
        <v>1770.8333333333335</v>
      </c>
      <c r="M70" s="51">
        <f>L70/K70</f>
        <v>0.4366812227074236</v>
      </c>
      <c r="N70" s="12">
        <v>9454</v>
      </c>
      <c r="O70" s="12" t="s">
        <v>44</v>
      </c>
      <c r="P70" s="63" t="s">
        <v>124</v>
      </c>
      <c r="Q70" s="64"/>
      <c r="R70" s="64"/>
      <c r="S70" s="64"/>
      <c r="T70" s="65"/>
      <c r="U70" s="65"/>
      <c r="V70" s="66"/>
      <c r="W70" s="64"/>
      <c r="X70" s="64"/>
      <c r="Y70" s="5"/>
    </row>
    <row r="71" spans="1:25" ht="12.75">
      <c r="A71" s="67">
        <v>17</v>
      </c>
      <c r="B71" s="38"/>
      <c r="C71" s="39">
        <v>38274</v>
      </c>
      <c r="D71" s="68">
        <v>0.2222222222222222</v>
      </c>
      <c r="E71" s="69">
        <v>38274</v>
      </c>
      <c r="F71" s="68">
        <v>0.3861111111111111</v>
      </c>
      <c r="G71" s="68">
        <v>0.1638888888888889</v>
      </c>
      <c r="H71" s="70" t="s">
        <v>58</v>
      </c>
      <c r="I71" s="70" t="s">
        <v>125</v>
      </c>
      <c r="J71" s="71">
        <v>13.8</v>
      </c>
      <c r="K71" s="50">
        <f>1500/0.96</f>
        <v>1562.5</v>
      </c>
      <c r="L71" s="50">
        <f>700/0.96</f>
        <v>729.1666666666667</v>
      </c>
      <c r="M71" s="51">
        <f>L71/K71</f>
        <v>0.46666666666666673</v>
      </c>
      <c r="N71" s="71">
        <v>1500</v>
      </c>
      <c r="O71" s="71" t="s">
        <v>44</v>
      </c>
      <c r="P71" s="72" t="s">
        <v>67</v>
      </c>
      <c r="Q71" s="5"/>
      <c r="R71" s="5"/>
      <c r="S71" s="64"/>
      <c r="T71" s="65"/>
      <c r="U71" s="65"/>
      <c r="V71" s="66"/>
      <c r="W71" s="64"/>
      <c r="X71" s="64"/>
      <c r="Y71" s="5"/>
    </row>
    <row r="72" spans="1:25" ht="13.5" thickBot="1">
      <c r="A72" s="67">
        <v>20</v>
      </c>
      <c r="B72" s="38"/>
      <c r="C72" s="39">
        <v>38276</v>
      </c>
      <c r="D72" s="40">
        <v>0.9138888888888889</v>
      </c>
      <c r="E72" s="39">
        <v>38276</v>
      </c>
      <c r="F72" s="40">
        <v>0.9208333333333334</v>
      </c>
      <c r="G72" s="40">
        <v>0.006944444444444444</v>
      </c>
      <c r="H72" s="38" t="s">
        <v>47</v>
      </c>
      <c r="I72" s="11" t="s">
        <v>99</v>
      </c>
      <c r="J72" s="41">
        <v>13.8</v>
      </c>
      <c r="K72" s="50">
        <f>1200/0.96</f>
        <v>1250</v>
      </c>
      <c r="L72" s="50">
        <f>700/0.96</f>
        <v>729.1666666666667</v>
      </c>
      <c r="M72" s="51">
        <f>L72/K72</f>
        <v>0.5833333333333334</v>
      </c>
      <c r="N72" s="41">
        <v>1500</v>
      </c>
      <c r="O72" s="41" t="s">
        <v>75</v>
      </c>
      <c r="P72" s="42" t="s">
        <v>86</v>
      </c>
      <c r="Q72" s="5"/>
      <c r="R72" s="5"/>
      <c r="S72" s="64"/>
      <c r="T72" s="65"/>
      <c r="U72" s="65"/>
      <c r="V72" s="66"/>
      <c r="W72" s="64"/>
      <c r="X72" s="64"/>
      <c r="Y72" s="5"/>
    </row>
    <row r="73" spans="1:16" ht="12.75">
      <c r="A73" s="55">
        <v>1</v>
      </c>
      <c r="B73" s="56"/>
      <c r="C73" s="57">
        <v>38293</v>
      </c>
      <c r="D73" s="58">
        <v>0.9215277777777778</v>
      </c>
      <c r="E73" s="57">
        <v>38293</v>
      </c>
      <c r="F73" s="58">
        <v>0.9277777777777777</v>
      </c>
      <c r="G73" s="58">
        <v>0.009722222222222222</v>
      </c>
      <c r="H73" s="56" t="s">
        <v>55</v>
      </c>
      <c r="I73" s="56" t="s">
        <v>53</v>
      </c>
      <c r="J73" s="59">
        <v>69</v>
      </c>
      <c r="K73" s="48">
        <f>14000/0.96</f>
        <v>14583.333333333334</v>
      </c>
      <c r="L73" s="48">
        <f>14000/0.96</f>
        <v>14583.333333333334</v>
      </c>
      <c r="M73" s="46">
        <f>L73/K73</f>
        <v>1</v>
      </c>
      <c r="N73" s="59">
        <v>14109</v>
      </c>
      <c r="O73" s="59" t="s">
        <v>44</v>
      </c>
      <c r="P73" s="62" t="s">
        <v>126</v>
      </c>
    </row>
    <row r="74" spans="1:16" ht="12.75">
      <c r="A74" s="14">
        <v>5</v>
      </c>
      <c r="B74" s="11"/>
      <c r="C74" s="16">
        <v>38299</v>
      </c>
      <c r="D74" s="17">
        <v>0.0020833333333333333</v>
      </c>
      <c r="E74" s="16">
        <v>38299</v>
      </c>
      <c r="F74" s="17">
        <v>0.04583333333333334</v>
      </c>
      <c r="G74" s="17">
        <v>0.04791666666666666</v>
      </c>
      <c r="H74" s="11" t="s">
        <v>47</v>
      </c>
      <c r="I74" s="11" t="s">
        <v>127</v>
      </c>
      <c r="J74" s="12">
        <v>13.8</v>
      </c>
      <c r="K74" s="48">
        <f>4400/0.96</f>
        <v>4583.333333333334</v>
      </c>
      <c r="L74" s="48">
        <f>4400/0.96</f>
        <v>4583.333333333334</v>
      </c>
      <c r="M74" s="46">
        <f aca="true" t="shared" si="2" ref="M74:M86">L74/K74</f>
        <v>1</v>
      </c>
      <c r="N74" s="12">
        <v>6000</v>
      </c>
      <c r="O74" s="29" t="s">
        <v>44</v>
      </c>
      <c r="P74" s="15" t="s">
        <v>128</v>
      </c>
    </row>
    <row r="75" spans="1:16" ht="12.75">
      <c r="A75" s="14">
        <v>7</v>
      </c>
      <c r="B75" s="11"/>
      <c r="C75" s="16">
        <v>38299</v>
      </c>
      <c r="D75" s="17">
        <v>0.48819444444444443</v>
      </c>
      <c r="E75" s="16">
        <v>38299</v>
      </c>
      <c r="F75" s="17">
        <v>0.5090277777777777</v>
      </c>
      <c r="G75" s="17">
        <v>0.020833333333333332</v>
      </c>
      <c r="H75" s="11" t="s">
        <v>47</v>
      </c>
      <c r="I75" s="11" t="s">
        <v>105</v>
      </c>
      <c r="J75" s="12">
        <v>13.8</v>
      </c>
      <c r="K75" s="48">
        <f>2500/0.96</f>
        <v>2604.166666666667</v>
      </c>
      <c r="L75" s="48">
        <f>1200/0.96</f>
        <v>1250</v>
      </c>
      <c r="M75" s="46">
        <f t="shared" si="2"/>
        <v>0.4799999999999999</v>
      </c>
      <c r="N75" s="12">
        <v>1500</v>
      </c>
      <c r="O75" s="29" t="s">
        <v>44</v>
      </c>
      <c r="P75" s="15" t="s">
        <v>102</v>
      </c>
    </row>
    <row r="76" spans="1:16" ht="12.75">
      <c r="A76" s="14">
        <v>8</v>
      </c>
      <c r="B76" s="11"/>
      <c r="C76" s="16">
        <v>38299</v>
      </c>
      <c r="D76" s="17">
        <v>0.6284722222222222</v>
      </c>
      <c r="E76" s="16">
        <v>38299</v>
      </c>
      <c r="F76" s="17">
        <v>0.6444444444444445</v>
      </c>
      <c r="G76" s="17">
        <v>0.015972222222222224</v>
      </c>
      <c r="H76" s="11" t="s">
        <v>47</v>
      </c>
      <c r="I76" s="11" t="s">
        <v>99</v>
      </c>
      <c r="J76" s="12">
        <v>13.8</v>
      </c>
      <c r="K76" s="48">
        <f>800/0.96</f>
        <v>833.3333333333334</v>
      </c>
      <c r="L76" s="48">
        <f>400/0.96</f>
        <v>416.6666666666667</v>
      </c>
      <c r="M76" s="46">
        <f t="shared" si="2"/>
        <v>0.5</v>
      </c>
      <c r="N76" s="12">
        <v>1500</v>
      </c>
      <c r="O76" s="29" t="s">
        <v>44</v>
      </c>
      <c r="P76" s="15" t="s">
        <v>129</v>
      </c>
    </row>
    <row r="77" spans="1:25" ht="12.75">
      <c r="A77" s="67">
        <v>25</v>
      </c>
      <c r="B77" s="38"/>
      <c r="C77" s="39">
        <v>38312</v>
      </c>
      <c r="D77" s="40">
        <v>0.9583333333333334</v>
      </c>
      <c r="E77" s="39">
        <v>38312</v>
      </c>
      <c r="F77" s="40">
        <v>0.9951388888888889</v>
      </c>
      <c r="G77" s="40">
        <v>0.03680555555555556</v>
      </c>
      <c r="H77" s="38" t="s">
        <v>47</v>
      </c>
      <c r="I77" s="38" t="s">
        <v>48</v>
      </c>
      <c r="J77" s="41">
        <v>69</v>
      </c>
      <c r="K77" s="48">
        <f>23000/0.96</f>
        <v>23958.333333333336</v>
      </c>
      <c r="L77" s="48">
        <f>23000/0.96</f>
        <v>23958.333333333336</v>
      </c>
      <c r="M77" s="46">
        <f t="shared" si="2"/>
        <v>1</v>
      </c>
      <c r="N77" s="41">
        <v>14109</v>
      </c>
      <c r="O77" s="41" t="s">
        <v>44</v>
      </c>
      <c r="P77" s="42" t="s">
        <v>130</v>
      </c>
      <c r="Q77" s="5"/>
      <c r="R77" s="5"/>
      <c r="S77" s="64"/>
      <c r="T77" s="65"/>
      <c r="U77" s="65"/>
      <c r="V77" s="66"/>
      <c r="W77" s="64"/>
      <c r="X77" s="64"/>
      <c r="Y77" s="5"/>
    </row>
    <row r="78" spans="1:16" ht="12.75">
      <c r="A78" s="14">
        <v>2</v>
      </c>
      <c r="B78" s="11"/>
      <c r="C78" s="16">
        <v>38324</v>
      </c>
      <c r="D78" s="17">
        <v>0.607638888888889</v>
      </c>
      <c r="E78" s="16">
        <v>38324</v>
      </c>
      <c r="F78" s="17">
        <v>0.6152777777777778</v>
      </c>
      <c r="G78" s="17">
        <v>0.007638888888888889</v>
      </c>
      <c r="H78" s="11" t="s">
        <v>65</v>
      </c>
      <c r="I78" s="11" t="s">
        <v>49</v>
      </c>
      <c r="J78" s="12">
        <v>69</v>
      </c>
      <c r="K78" s="48">
        <f>14000/0.96</f>
        <v>14583.333333333334</v>
      </c>
      <c r="L78" s="48">
        <f>14000/0.96</f>
        <v>14583.333333333334</v>
      </c>
      <c r="M78" s="46">
        <f t="shared" si="2"/>
        <v>1</v>
      </c>
      <c r="N78" s="12">
        <v>15746</v>
      </c>
      <c r="O78" s="29" t="s">
        <v>44</v>
      </c>
      <c r="P78" s="15" t="s">
        <v>131</v>
      </c>
    </row>
    <row r="79" spans="1:25" ht="12.75">
      <c r="A79" s="67">
        <v>19</v>
      </c>
      <c r="B79" s="38"/>
      <c r="C79" s="39">
        <v>38331</v>
      </c>
      <c r="D79" s="40">
        <v>0.4583333333333333</v>
      </c>
      <c r="E79" s="39">
        <v>38331</v>
      </c>
      <c r="F79" s="40">
        <v>0.4930555555555556</v>
      </c>
      <c r="G79" s="40">
        <v>0.034722222222222224</v>
      </c>
      <c r="H79" s="38" t="s">
        <v>47</v>
      </c>
      <c r="I79" s="38" t="s">
        <v>88</v>
      </c>
      <c r="J79" s="41">
        <v>13.8</v>
      </c>
      <c r="K79" s="48">
        <f>3900/0.96</f>
        <v>4062.5</v>
      </c>
      <c r="L79" s="48">
        <f>1800/0.96</f>
        <v>1875</v>
      </c>
      <c r="M79" s="46">
        <f t="shared" si="2"/>
        <v>0.46153846153846156</v>
      </c>
      <c r="N79" s="41">
        <v>9454</v>
      </c>
      <c r="O79" s="41" t="s">
        <v>44</v>
      </c>
      <c r="P79" s="42" t="s">
        <v>69</v>
      </c>
      <c r="Q79" s="5"/>
      <c r="R79" s="5"/>
      <c r="S79" s="64"/>
      <c r="T79" s="65"/>
      <c r="U79" s="65"/>
      <c r="V79" s="66"/>
      <c r="W79" s="64"/>
      <c r="X79" s="64"/>
      <c r="Y79" s="5"/>
    </row>
    <row r="80" spans="1:25" ht="12.75">
      <c r="A80" s="67">
        <v>24</v>
      </c>
      <c r="B80" s="38"/>
      <c r="C80" s="39">
        <v>38332</v>
      </c>
      <c r="D80" s="40">
        <v>0.9881944444444444</v>
      </c>
      <c r="E80" s="39">
        <v>38332</v>
      </c>
      <c r="F80" s="40">
        <v>0.006944444444444444</v>
      </c>
      <c r="G80" s="40">
        <v>0.01875</v>
      </c>
      <c r="H80" s="38" t="s">
        <v>47</v>
      </c>
      <c r="I80" s="38" t="s">
        <v>66</v>
      </c>
      <c r="J80" s="41">
        <v>13.8</v>
      </c>
      <c r="K80" s="48">
        <f>3135/0.96</f>
        <v>3265.625</v>
      </c>
      <c r="L80" s="48">
        <f>1800/0.96</f>
        <v>1875</v>
      </c>
      <c r="M80" s="46">
        <f t="shared" si="2"/>
        <v>0.5741626794258373</v>
      </c>
      <c r="N80" s="41">
        <v>2147</v>
      </c>
      <c r="O80" s="41" t="s">
        <v>44</v>
      </c>
      <c r="P80" s="42" t="s">
        <v>69</v>
      </c>
      <c r="Q80" s="5"/>
      <c r="R80" s="5"/>
      <c r="S80" s="64"/>
      <c r="T80" s="65"/>
      <c r="U80" s="65"/>
      <c r="V80" s="66"/>
      <c r="W80" s="64"/>
      <c r="X80" s="64"/>
      <c r="Y80" s="5"/>
    </row>
    <row r="81" spans="1:25" ht="12.75">
      <c r="A81" s="67">
        <v>27</v>
      </c>
      <c r="B81" s="38"/>
      <c r="C81" s="39">
        <v>38334</v>
      </c>
      <c r="D81" s="40">
        <v>0.6833333333333332</v>
      </c>
      <c r="E81" s="39">
        <v>38334</v>
      </c>
      <c r="F81" s="40">
        <v>0.7034722222222222</v>
      </c>
      <c r="G81" s="40">
        <v>0.02013888888888889</v>
      </c>
      <c r="H81" s="38" t="s">
        <v>47</v>
      </c>
      <c r="I81" s="38" t="s">
        <v>46</v>
      </c>
      <c r="J81" s="41">
        <v>13.8</v>
      </c>
      <c r="K81" s="48">
        <f>3600/0.96</f>
        <v>3750</v>
      </c>
      <c r="L81" s="48">
        <f>1800/0.96</f>
        <v>1875</v>
      </c>
      <c r="M81" s="46">
        <f t="shared" si="2"/>
        <v>0.5</v>
      </c>
      <c r="N81" s="41">
        <v>4737</v>
      </c>
      <c r="O81" s="41" t="s">
        <v>44</v>
      </c>
      <c r="P81" s="42" t="s">
        <v>132</v>
      </c>
      <c r="Q81" s="5"/>
      <c r="R81" s="5"/>
      <c r="S81" s="64"/>
      <c r="T81" s="65"/>
      <c r="U81" s="65"/>
      <c r="V81" s="66"/>
      <c r="W81" s="64"/>
      <c r="X81" s="64"/>
      <c r="Y81" s="5"/>
    </row>
    <row r="82" spans="1:25" ht="12.75">
      <c r="A82" s="67">
        <v>29</v>
      </c>
      <c r="B82" s="38"/>
      <c r="C82" s="39">
        <v>38335</v>
      </c>
      <c r="D82" s="40">
        <v>0.13541666666666666</v>
      </c>
      <c r="E82" s="39">
        <v>38335</v>
      </c>
      <c r="F82" s="40">
        <v>0.15625</v>
      </c>
      <c r="G82" s="40">
        <v>0.020833333333333332</v>
      </c>
      <c r="H82" s="38" t="s">
        <v>65</v>
      </c>
      <c r="I82" s="38" t="s">
        <v>49</v>
      </c>
      <c r="J82" s="41">
        <v>13.8</v>
      </c>
      <c r="K82" s="48">
        <f>9000/0.96</f>
        <v>9375</v>
      </c>
      <c r="L82" s="48">
        <f>9000/0.96</f>
        <v>9375</v>
      </c>
      <c r="M82" s="46">
        <f t="shared" si="2"/>
        <v>1</v>
      </c>
      <c r="N82" s="41">
        <v>15746</v>
      </c>
      <c r="O82" s="41" t="s">
        <v>44</v>
      </c>
      <c r="P82" s="42" t="s">
        <v>133</v>
      </c>
      <c r="Q82" s="5"/>
      <c r="R82" s="5"/>
      <c r="S82" s="64"/>
      <c r="T82" s="65"/>
      <c r="U82" s="65"/>
      <c r="V82" s="66"/>
      <c r="W82" s="64"/>
      <c r="X82" s="64"/>
      <c r="Y82" s="5"/>
    </row>
    <row r="83" spans="1:25" ht="12.75">
      <c r="A83" s="67">
        <v>32</v>
      </c>
      <c r="B83" s="38"/>
      <c r="C83" s="39">
        <v>38335</v>
      </c>
      <c r="D83" s="40">
        <v>0.8888888888888888</v>
      </c>
      <c r="E83" s="39">
        <v>38335</v>
      </c>
      <c r="F83" s="40">
        <v>0.96875</v>
      </c>
      <c r="G83" s="40">
        <v>0.0798611111111111</v>
      </c>
      <c r="H83" s="38" t="s">
        <v>47</v>
      </c>
      <c r="I83" s="38" t="s">
        <v>99</v>
      </c>
      <c r="J83" s="41">
        <v>13.8</v>
      </c>
      <c r="K83" s="48">
        <f>2500/0.96</f>
        <v>2604.166666666667</v>
      </c>
      <c r="L83" s="48">
        <f>1900/0.96</f>
        <v>1979.1666666666667</v>
      </c>
      <c r="M83" s="46">
        <f t="shared" si="2"/>
        <v>0.7599999999999999</v>
      </c>
      <c r="N83" s="41">
        <v>2500</v>
      </c>
      <c r="O83" s="41" t="s">
        <v>44</v>
      </c>
      <c r="P83" s="42" t="s">
        <v>134</v>
      </c>
      <c r="Q83" s="5"/>
      <c r="R83" s="5"/>
      <c r="S83" s="64"/>
      <c r="T83" s="65"/>
      <c r="U83" s="65"/>
      <c r="V83" s="66"/>
      <c r="W83" s="64"/>
      <c r="X83" s="64"/>
      <c r="Y83" s="5"/>
    </row>
    <row r="84" spans="1:25" ht="12.75">
      <c r="A84" s="67">
        <v>34</v>
      </c>
      <c r="B84" s="38"/>
      <c r="C84" s="39">
        <v>38336</v>
      </c>
      <c r="D84" s="40">
        <v>0.3854166666666667</v>
      </c>
      <c r="E84" s="39">
        <v>38336</v>
      </c>
      <c r="F84" s="40">
        <v>0.4979166666666666</v>
      </c>
      <c r="G84" s="40">
        <v>0.1111111111111111</v>
      </c>
      <c r="H84" s="38" t="s">
        <v>47</v>
      </c>
      <c r="I84" s="38" t="s">
        <v>99</v>
      </c>
      <c r="J84" s="41">
        <v>13.8</v>
      </c>
      <c r="K84" s="48">
        <f>2500/0.96</f>
        <v>2604.166666666667</v>
      </c>
      <c r="L84" s="48">
        <f>1950/0.96</f>
        <v>2031.25</v>
      </c>
      <c r="M84" s="46">
        <f t="shared" si="2"/>
        <v>0.7799999999999999</v>
      </c>
      <c r="N84" s="41">
        <v>2147</v>
      </c>
      <c r="O84" s="41" t="s">
        <v>44</v>
      </c>
      <c r="P84" s="42" t="s">
        <v>135</v>
      </c>
      <c r="Q84" s="5"/>
      <c r="R84" s="5"/>
      <c r="S84" s="64"/>
      <c r="T84" s="65"/>
      <c r="U84" s="65"/>
      <c r="V84" s="66"/>
      <c r="W84" s="64"/>
      <c r="X84" s="64"/>
      <c r="Y84" s="5"/>
    </row>
    <row r="85" spans="1:25" ht="12.75">
      <c r="A85" s="67">
        <v>40</v>
      </c>
      <c r="B85" s="38"/>
      <c r="C85" s="39">
        <v>38340</v>
      </c>
      <c r="D85" s="40">
        <v>0.9652777777777778</v>
      </c>
      <c r="E85" s="39">
        <v>38340</v>
      </c>
      <c r="F85" s="40">
        <v>0.9736111111111111</v>
      </c>
      <c r="G85" s="40">
        <v>0.008333333333333333</v>
      </c>
      <c r="H85" s="38" t="s">
        <v>47</v>
      </c>
      <c r="I85" s="38" t="s">
        <v>105</v>
      </c>
      <c r="J85" s="41">
        <v>13.8</v>
      </c>
      <c r="K85" s="48">
        <f>840/0.96</f>
        <v>875</v>
      </c>
      <c r="L85" s="48">
        <f>650/0.96</f>
        <v>677.0833333333334</v>
      </c>
      <c r="M85" s="46">
        <f t="shared" si="2"/>
        <v>0.7738095238095238</v>
      </c>
      <c r="N85" s="41">
        <v>1500</v>
      </c>
      <c r="O85" s="41" t="s">
        <v>44</v>
      </c>
      <c r="P85" s="42" t="s">
        <v>136</v>
      </c>
      <c r="Q85" s="5"/>
      <c r="R85" s="5"/>
      <c r="S85" s="64"/>
      <c r="T85" s="65"/>
      <c r="U85" s="65"/>
      <c r="V85" s="66"/>
      <c r="W85" s="64"/>
      <c r="X85" s="64"/>
      <c r="Y85" s="5"/>
    </row>
    <row r="86" spans="1:25" ht="12.75">
      <c r="A86" s="67">
        <v>41</v>
      </c>
      <c r="B86" s="38"/>
      <c r="C86" s="39">
        <v>38342</v>
      </c>
      <c r="D86" s="40">
        <v>0.6611111111111111</v>
      </c>
      <c r="E86" s="39">
        <v>38342</v>
      </c>
      <c r="F86" s="40">
        <v>0.6736111111111112</v>
      </c>
      <c r="G86" s="40">
        <v>0.0125</v>
      </c>
      <c r="H86" s="38" t="s">
        <v>65</v>
      </c>
      <c r="I86" s="38" t="s">
        <v>49</v>
      </c>
      <c r="J86" s="41">
        <v>69</v>
      </c>
      <c r="K86" s="48">
        <f>10000/0.96</f>
        <v>10416.666666666668</v>
      </c>
      <c r="L86" s="48">
        <f>10000/0.96</f>
        <v>10416.666666666668</v>
      </c>
      <c r="M86" s="46">
        <f t="shared" si="2"/>
        <v>1</v>
      </c>
      <c r="N86" s="41">
        <v>15746</v>
      </c>
      <c r="O86" s="41" t="s">
        <v>44</v>
      </c>
      <c r="P86" s="42" t="s">
        <v>11</v>
      </c>
      <c r="Q86" s="5"/>
      <c r="R86" s="5"/>
      <c r="S86" s="64"/>
      <c r="T86" s="65"/>
      <c r="U86" s="65"/>
      <c r="V86" s="66"/>
      <c r="W86" s="64"/>
      <c r="X86" s="64"/>
      <c r="Y86" s="5"/>
    </row>
  </sheetData>
  <printOptions/>
  <pageMargins left="0.75" right="0.75" top="0.5" bottom="1" header="0" footer="0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 Jose Guerrero</dc:creator>
  <cp:keywords/>
  <dc:description/>
  <cp:lastModifiedBy>wx</cp:lastModifiedBy>
  <cp:lastPrinted>2004-01-05T16:43:05Z</cp:lastPrinted>
  <dcterms:created xsi:type="dcterms:W3CDTF">2002-06-17T19:37:36Z</dcterms:created>
  <dcterms:modified xsi:type="dcterms:W3CDTF">2006-09-27T21:23:54Z</dcterms:modified>
  <cp:category/>
  <cp:version/>
  <cp:contentType/>
  <cp:contentStatus/>
</cp:coreProperties>
</file>