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2120" windowHeight="8955" tabRatio="774" activeTab="1"/>
  </bookViews>
  <sheets>
    <sheet name="Hoja2" sheetId="1" r:id="rId1"/>
    <sheet name="Calidad servicio técnico" sheetId="2" r:id="rId2"/>
  </sheets>
  <definedNames>
    <definedName name="_xlnm.Print_Area" localSheetId="1">'Calidad servicio técnico'!$B$3:$P$69</definedName>
    <definedName name="_xlnm.Print_Titles" localSheetId="1">'Calidad servicio técnico'!$1:$5</definedName>
  </definedNames>
  <calcPr fullCalcOnLoad="1"/>
</workbook>
</file>

<file path=xl/comments1.xml><?xml version="1.0" encoding="utf-8"?>
<comments xmlns="http://schemas.openxmlformats.org/spreadsheetml/2006/main">
  <authors>
    <author>dmaldonado</author>
  </authors>
  <commentList>
    <comment ref="A8" authorId="0">
      <text>
        <r>
          <rPr>
            <sz val="8"/>
            <rFont val="Tahoma"/>
            <family val="0"/>
          </rPr>
          <t xml:space="preserve">
No. de Falla registrado en bitácoras de la Empresa Distribuidora.</t>
        </r>
      </text>
    </comment>
    <comment ref="G8" authorId="0">
      <text>
        <r>
          <rPr>
            <sz val="8"/>
            <rFont val="Tahoma"/>
            <family val="0"/>
          </rPr>
          <t xml:space="preserve">
S/E afectada por la falla.</t>
        </r>
      </text>
    </comment>
    <comment ref="I8" authorId="0">
      <text>
        <r>
          <rPr>
            <b/>
            <sz val="8"/>
            <rFont val="Tahoma"/>
            <family val="0"/>
          </rPr>
          <t xml:space="preserve">
</t>
        </r>
        <r>
          <rPr>
            <sz val="8"/>
            <rFont val="Tahoma"/>
            <family val="2"/>
          </rPr>
          <t>Alimentador afectado por la falla.</t>
        </r>
      </text>
    </comment>
    <comment ref="K8" authorId="0">
      <text>
        <r>
          <rPr>
            <sz val="8"/>
            <rFont val="Tahoma"/>
            <family val="0"/>
          </rPr>
          <t xml:space="preserve">
Nivel de voltaje del alimentador afectado.</t>
        </r>
      </text>
    </comment>
    <comment ref="L8" authorId="0">
      <text>
        <r>
          <rPr>
            <sz val="8"/>
            <rFont val="Tahoma"/>
            <family val="0"/>
          </rPr>
          <t xml:space="preserve">
kVA instalados en el alimentador.     </t>
        </r>
      </text>
    </comment>
    <comment ref="N8" authorId="0">
      <text>
        <r>
          <rPr>
            <sz val="8"/>
            <rFont val="Tahoma"/>
            <family val="0"/>
          </rPr>
          <t xml:space="preserve">
El porcentaje aquí indicado es con relación a la demanda estimada del sistema de la distribuidora en el momento de la falla.</t>
        </r>
      </text>
    </comment>
    <comment ref="P8"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Q8" authorId="0">
      <text>
        <r>
          <rPr>
            <sz val="8"/>
            <rFont val="Tahoma"/>
            <family val="0"/>
          </rPr>
          <t xml:space="preserve">
Definir la causa por la que se produjo la falla de una parte de la carga del sistema de la empresa.</t>
        </r>
      </text>
    </comment>
  </commentList>
</comments>
</file>

<file path=xl/comments2.xml><?xml version="1.0" encoding="utf-8"?>
<comments xmlns="http://schemas.openxmlformats.org/spreadsheetml/2006/main">
  <authors>
    <author>dmaldonado</author>
  </authors>
  <commentList>
    <comment ref="B9" authorId="0">
      <text>
        <r>
          <rPr>
            <sz val="8"/>
            <rFont val="Tahoma"/>
            <family val="0"/>
          </rPr>
          <t xml:space="preserve">
No. de Falla registrado en bitácoras de la Empresa Distribuidora.</t>
        </r>
      </text>
    </comment>
    <comment ref="H9" authorId="0">
      <text>
        <r>
          <rPr>
            <sz val="8"/>
            <rFont val="Tahoma"/>
            <family val="0"/>
          </rPr>
          <t xml:space="preserve">
S/E afectada por la falla.</t>
        </r>
      </text>
    </comment>
    <comment ref="I9" authorId="0">
      <text>
        <r>
          <rPr>
            <b/>
            <sz val="8"/>
            <rFont val="Tahoma"/>
            <family val="0"/>
          </rPr>
          <t xml:space="preserve">
</t>
        </r>
        <r>
          <rPr>
            <sz val="8"/>
            <rFont val="Tahoma"/>
            <family val="2"/>
          </rPr>
          <t>Alimentador afectado por la falla.</t>
        </r>
      </text>
    </comment>
    <comment ref="J9" authorId="0">
      <text>
        <r>
          <rPr>
            <sz val="8"/>
            <rFont val="Tahoma"/>
            <family val="0"/>
          </rPr>
          <t xml:space="preserve">
Nivel de voltaje del alimentador afectado.</t>
        </r>
      </text>
    </comment>
    <comment ref="O9"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P9" authorId="0">
      <text>
        <r>
          <rPr>
            <sz val="8"/>
            <rFont val="Tahoma"/>
            <family val="0"/>
          </rPr>
          <t xml:space="preserve">
Definir la causa por la que se produjo la falla de una parte de la carga del sistema de la empresa.</t>
        </r>
      </text>
    </comment>
    <comment ref="K9" authorId="0">
      <text>
        <r>
          <rPr>
            <sz val="8"/>
            <rFont val="Tahoma"/>
            <family val="0"/>
          </rPr>
          <t xml:space="preserve">
kVA instalados en el alimentador.     </t>
        </r>
      </text>
    </comment>
    <comment ref="M9" authorId="0">
      <text>
        <r>
          <rPr>
            <sz val="8"/>
            <rFont val="Tahoma"/>
            <family val="0"/>
          </rPr>
          <t xml:space="preserve">
El porcentaje aquí indicado es con relación a la demanda estimada del sistema de la distribuidora en el momento de la falla.</t>
        </r>
      </text>
    </comment>
  </commentList>
</comments>
</file>

<file path=xl/sharedStrings.xml><?xml version="1.0" encoding="utf-8"?>
<sst xmlns="http://schemas.openxmlformats.org/spreadsheetml/2006/main" count="432" uniqueCount="158">
  <si>
    <t>No.</t>
  </si>
  <si>
    <t>Formulario No. DSC-IC-01</t>
  </si>
  <si>
    <t>No. Informe/Reporte de falla                                (1)</t>
  </si>
  <si>
    <t>FECHA  Desconexión dd-mmm-aa</t>
  </si>
  <si>
    <t>HORA  Desconexión hh:mm</t>
  </si>
  <si>
    <t>FECHA  Conexión/Normalización dd-mmm-aa</t>
  </si>
  <si>
    <t>HORA  Conexión/Normalización hh:mm</t>
  </si>
  <si>
    <t>TIEMPO                               Duración de la falla                                    Horas</t>
  </si>
  <si>
    <t>FALLA EN S/E           (2)</t>
  </si>
  <si>
    <t>FALLA EN ALIMENTADOR (3)</t>
  </si>
  <si>
    <t>NIVEL DE VOLTAJE kV           (4)</t>
  </si>
  <si>
    <t>CARGA  Desconectada      kVA</t>
  </si>
  <si>
    <t>CARGA  Desconectada          % kVA                      (6)</t>
  </si>
  <si>
    <t>No. De consumidores afectados</t>
  </si>
  <si>
    <t>CLASIFICACIÓN DE LA FALLA                          (7)</t>
  </si>
  <si>
    <t>CAUSA ORIGINAL DE LA FALLA                                                                                                                        (8)</t>
  </si>
  <si>
    <t>CARGA INSTALADA Alimentador   kVA                                       (5)</t>
  </si>
  <si>
    <t>1</t>
  </si>
  <si>
    <t>2</t>
  </si>
  <si>
    <t>3</t>
  </si>
  <si>
    <t>4</t>
  </si>
  <si>
    <t>5</t>
  </si>
  <si>
    <t>6</t>
  </si>
  <si>
    <t>7</t>
  </si>
  <si>
    <t>8</t>
  </si>
  <si>
    <t>9</t>
  </si>
  <si>
    <t>10</t>
  </si>
  <si>
    <t>11</t>
  </si>
  <si>
    <t>12</t>
  </si>
  <si>
    <t>13</t>
  </si>
  <si>
    <t>14</t>
  </si>
  <si>
    <t>15</t>
  </si>
  <si>
    <t>16</t>
  </si>
  <si>
    <t>17</t>
  </si>
  <si>
    <t>18</t>
  </si>
  <si>
    <t>19</t>
  </si>
  <si>
    <t>20</t>
  </si>
  <si>
    <t>21</t>
  </si>
  <si>
    <t>23</t>
  </si>
  <si>
    <t>24</t>
  </si>
  <si>
    <t>25</t>
  </si>
  <si>
    <t>26</t>
  </si>
  <si>
    <t>27</t>
  </si>
  <si>
    <t>28</t>
  </si>
  <si>
    <t>29</t>
  </si>
  <si>
    <t>30</t>
  </si>
  <si>
    <t>31</t>
  </si>
  <si>
    <t>32</t>
  </si>
  <si>
    <t>33</t>
  </si>
  <si>
    <t>34</t>
  </si>
  <si>
    <t>36</t>
  </si>
  <si>
    <t>37</t>
  </si>
  <si>
    <t>38</t>
  </si>
  <si>
    <t>39</t>
  </si>
  <si>
    <t>40</t>
  </si>
  <si>
    <t>41</t>
  </si>
  <si>
    <t>42</t>
  </si>
  <si>
    <t>43</t>
  </si>
  <si>
    <t>44</t>
  </si>
  <si>
    <t>45</t>
  </si>
  <si>
    <t>46</t>
  </si>
  <si>
    <t>47</t>
  </si>
  <si>
    <t>48</t>
  </si>
  <si>
    <t>49</t>
  </si>
  <si>
    <t>50</t>
  </si>
  <si>
    <t>35</t>
  </si>
  <si>
    <t>BARRAS</t>
  </si>
  <si>
    <t>MATA DE CACAO</t>
  </si>
  <si>
    <t>MILAGRO SUR</t>
  </si>
  <si>
    <t>SALIDA # 3</t>
  </si>
  <si>
    <t>LINEA ARRANCADA</t>
  </si>
  <si>
    <t xml:space="preserve">MANUEL DE J </t>
  </si>
  <si>
    <t>MILAGRO NORTE</t>
  </si>
  <si>
    <t>MATILDE ESTHER</t>
  </si>
  <si>
    <t>MON-NARANJAL</t>
  </si>
  <si>
    <t>M. MARIDUEÑA</t>
  </si>
  <si>
    <t>LOS PARQUES</t>
  </si>
  <si>
    <t>RAMA SOBRE LA LINEA</t>
  </si>
  <si>
    <t>SIMON BOLIVAR</t>
  </si>
  <si>
    <t>ARBOL SOBRE LA LINEA</t>
  </si>
  <si>
    <t>PRADERA 1</t>
  </si>
  <si>
    <t>COCHANCAY</t>
  </si>
  <si>
    <t>21-A</t>
  </si>
  <si>
    <t>15-A</t>
  </si>
  <si>
    <t>TAURITAS</t>
  </si>
  <si>
    <t>POR AISLADORES CON HORMIGAS</t>
  </si>
  <si>
    <t>M. MARIDU</t>
  </si>
  <si>
    <t>POR INCENDIO EN BANCO DE CAPACITORES</t>
  </si>
  <si>
    <t>BAJA FRECUENCIA</t>
  </si>
  <si>
    <t>CENTRO</t>
  </si>
  <si>
    <t>POR CAMBIO DE AISLADORES EN MAL ESTADO</t>
  </si>
  <si>
    <t>ROCAFUERTE</t>
  </si>
  <si>
    <t>BARRAS OSAKA</t>
  </si>
  <si>
    <t>CAMBIO DE PARARAYOS Y PUESTA TIERRA</t>
  </si>
  <si>
    <t>MARISCAL</t>
  </si>
  <si>
    <t>TRIU-TRONC</t>
  </si>
  <si>
    <t>BOLICHE</t>
  </si>
  <si>
    <t>B-8</t>
  </si>
  <si>
    <t>RAMAS DE MANGO SOBRE LAS LINEAS</t>
  </si>
  <si>
    <t>POR DESBROCE</t>
  </si>
  <si>
    <t>POR RAMAL DIRECTO A LAS ANIMAS</t>
  </si>
  <si>
    <t>FALLA TRAMO PTO. INCA - NARANJAL</t>
  </si>
  <si>
    <t>PRADE 2</t>
  </si>
  <si>
    <t>POR TORRENCIALES AGUACEROS POR LA ZONA</t>
  </si>
  <si>
    <t>SALIDA 4</t>
  </si>
  <si>
    <t>BODEGAS</t>
  </si>
  <si>
    <t>SANTUARIO</t>
  </si>
  <si>
    <t>TRIU-BUCAY</t>
  </si>
  <si>
    <t>KM-4</t>
  </si>
  <si>
    <t>B- 9</t>
  </si>
  <si>
    <t>MONT-NARANJAL</t>
  </si>
  <si>
    <t>VALD - YAGUA</t>
  </si>
  <si>
    <t>CAIMITO</t>
  </si>
  <si>
    <t>REPARAR LINEA ARRANCADA</t>
  </si>
  <si>
    <t>CERRO PELADO</t>
  </si>
  <si>
    <t>14-A</t>
  </si>
  <si>
    <t>PARA ABRIR SECCIONADORES PARA MANTENIMIENTO</t>
  </si>
  <si>
    <t>L. DE GARAICOA</t>
  </si>
  <si>
    <t>HOJAS BANANO EN CONTACTO CON LA LINEA</t>
  </si>
  <si>
    <t>POR MANTENIMIENTO EN ALCANTARILLAS DE LA S/E YAGUACHI</t>
  </si>
  <si>
    <t>TAKARA</t>
  </si>
  <si>
    <t>CAÑAS SOBRE LAS LINEAS POR AGUACEROS</t>
  </si>
  <si>
    <t>REAJUSTES EN TRAFO DE PODER EN S/E LA TRONCAL</t>
  </si>
  <si>
    <t>POR INTERCONEXION CON LINEA DE ACUAMAR</t>
  </si>
  <si>
    <t>S/E MONTERO</t>
  </si>
  <si>
    <t>S/E YAGUACHI</t>
  </si>
  <si>
    <t>S/E BUCAY</t>
  </si>
  <si>
    <t>S/E L. GARAICOA</t>
  </si>
  <si>
    <t>S/E NARANJAL</t>
  </si>
  <si>
    <t>S/E EL TRIUNFO</t>
  </si>
  <si>
    <t xml:space="preserve">FALLA ALIM. MATA DE CACAO POR DIRECTO </t>
  </si>
  <si>
    <t>POR RAMAL DIRECTO EN LINEA A LAS ANIMAS</t>
  </si>
  <si>
    <t>POR RAMAL DIRECTO HACIA VUELTA LARGA</t>
  </si>
  <si>
    <t>S/E PTO INCA</t>
  </si>
  <si>
    <t>S/E LA TRONCAL</t>
  </si>
  <si>
    <t>S/E VALDEZ</t>
  </si>
  <si>
    <t>MONT - NARANJAL</t>
  </si>
  <si>
    <t>P. INCA - NARANJAL</t>
  </si>
  <si>
    <t>CAÑA SOBRE LA LINEA EN SECTOR DE SAN JUAN POR AGUACEROS</t>
  </si>
  <si>
    <t>POR POSTE CHOCADO</t>
  </si>
  <si>
    <t>POR REPARACION DE PUENTE VOLADO</t>
  </si>
  <si>
    <t>CAÑA SOBRE LA LINEA POR AGUACEROS</t>
  </si>
  <si>
    <t>POR HURTO DE PUESTA TIERRA EN LA S/E. MONTERO</t>
  </si>
  <si>
    <t>POR MANTENIMIENTO EN CAJA FUSIBLE</t>
  </si>
  <si>
    <t>PARA REAJUSTES</t>
  </si>
  <si>
    <t>POR TTRABAJOS DE DESBROCE Y MANTENIM. EN S/E PTO. INCA</t>
  </si>
  <si>
    <t>LINEA ARRANCADA EN ALIM. CAIMITO</t>
  </si>
  <si>
    <t>POR REAJUSTES EN CAJAS A LA SALIDA DEL TRIUNFO</t>
  </si>
  <si>
    <t>IPM</t>
  </si>
  <si>
    <t>INT</t>
  </si>
  <si>
    <t>INO</t>
  </si>
  <si>
    <t>EF</t>
  </si>
  <si>
    <t>IC</t>
  </si>
  <si>
    <t>IPMTO</t>
  </si>
  <si>
    <t>IPMTP</t>
  </si>
  <si>
    <t>(*) POR TTRABAJOS DE DESBROCE Y MANTENIM. EN S/E PTO. INCA</t>
  </si>
  <si>
    <t>(*) Previa comunicación a la prensa</t>
  </si>
  <si>
    <t>(*) PARA REAJUSTES</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</si>
</sst>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00"/>
    <numFmt numFmtId="175" formatCode="0.0"/>
    <numFmt numFmtId="176" formatCode="0.0000"/>
    <numFmt numFmtId="177" formatCode="0.00000"/>
    <numFmt numFmtId="178" formatCode="[$-C0A]d\-mmm\-yy;@"/>
    <numFmt numFmtId="179" formatCode="0&quot;A&quot;"/>
    <numFmt numFmtId="180" formatCode="0&quot;B&quot;"/>
    <numFmt numFmtId="181" formatCode="0&quot;C&quot;"/>
    <numFmt numFmtId="182" formatCode="&quot;0&quot;0"/>
    <numFmt numFmtId="183" formatCode="0&quot;(a)&quot;"/>
    <numFmt numFmtId="184" formatCode="0&quot;(b)&quot;"/>
    <numFmt numFmtId="185" formatCode="mmmm\ d\,\ yyyy"/>
    <numFmt numFmtId="186" formatCode="d/mm/yyyy"/>
    <numFmt numFmtId="187" formatCode="0\P"/>
    <numFmt numFmtId="188" formatCode="_ * #,##0_ ;_ * \-#,##0_ ;_ * &quot;-&quot;??_ ;_ @_ "/>
    <numFmt numFmtId="189" formatCode="dd\-mm\-yy"/>
    <numFmt numFmtId="190" formatCode="_-[$€]* #,##0.00_-;\-[$€]* #,##0.00_-;_-[$€]* &quot;-&quot;??_-;_-@_-"/>
    <numFmt numFmtId="191" formatCode="_-* #,##0.00_-;\-* #,##0.00_-;_-* &quot;-&quot;??_-;_-@_-"/>
    <numFmt numFmtId="192" formatCode="_-* #,##0_-;\-* #,##0_-;_-* &quot;-&quot;_-;_-@_-"/>
    <numFmt numFmtId="193" formatCode="_-&quot;$&quot;* #,##0.00_-;\-&quot;$&quot;* #,##0.00_-;_-&quot;$&quot;* &quot;-&quot;??_-;_-@_-"/>
    <numFmt numFmtId="194" formatCode="_-&quot;$&quot;* #,##0_-;\-&quot;$&quot;* #,##0_-;_-&quot;$&quot;* &quot;-&quot;_-;_-@_-"/>
    <numFmt numFmtId="195" formatCode="[$-300A]dddd\,\ dd&quot; de &quot;mmmm&quot; de &quot;yyyy"/>
    <numFmt numFmtId="196" formatCode="0.0000000"/>
    <numFmt numFmtId="197" formatCode="0.000000"/>
    <numFmt numFmtId="198" formatCode="0.00000000"/>
    <numFmt numFmtId="199" formatCode="0.0000000000"/>
    <numFmt numFmtId="200" formatCode="0.00000000000"/>
    <numFmt numFmtId="201" formatCode="0.000000000"/>
  </numFmts>
  <fonts count="11">
    <font>
      <sz val="10"/>
      <name val="Arial"/>
      <family val="0"/>
    </font>
    <font>
      <u val="single"/>
      <sz val="10"/>
      <color indexed="12"/>
      <name val="Arial"/>
      <family val="0"/>
    </font>
    <font>
      <u val="single"/>
      <sz val="10"/>
      <color indexed="36"/>
      <name val="Arial"/>
      <family val="0"/>
    </font>
    <font>
      <sz val="11"/>
      <name val="Tahoma"/>
      <family val="2"/>
    </font>
    <font>
      <b/>
      <sz val="14"/>
      <name val="Tahoma"/>
      <family val="2"/>
    </font>
    <font>
      <b/>
      <sz val="11"/>
      <name val="Tahoma"/>
      <family val="2"/>
    </font>
    <font>
      <sz val="8"/>
      <name val="Tahoma"/>
      <family val="0"/>
    </font>
    <font>
      <b/>
      <sz val="8"/>
      <name val="Tahoma"/>
      <family val="0"/>
    </font>
    <font>
      <sz val="11"/>
      <name val="Arial"/>
      <family val="2"/>
    </font>
    <font>
      <sz val="8"/>
      <name val="Arial"/>
      <family val="0"/>
    </font>
    <font>
      <b/>
      <sz val="8"/>
      <name val="Arial"/>
      <family val="2"/>
    </font>
  </fonts>
  <fills count="3">
    <fill>
      <patternFill/>
    </fill>
    <fill>
      <patternFill patternType="gray125"/>
    </fill>
    <fill>
      <patternFill patternType="solid">
        <fgColor indexed="9"/>
        <bgColor indexed="64"/>
      </patternFill>
    </fill>
  </fills>
  <borders count="3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thin"/>
      <bottom style="medium"/>
    </border>
    <border>
      <left style="thin"/>
      <right style="thin"/>
      <top style="medium"/>
      <bottom>
        <color indexed="63"/>
      </bottom>
    </border>
    <border>
      <left>
        <color indexed="63"/>
      </left>
      <right style="medium"/>
      <top style="medium"/>
      <bottom style="thin"/>
    </border>
    <border>
      <left>
        <color indexed="63"/>
      </left>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7">
    <xf numFmtId="0" fontId="0" fillId="0" borderId="0" xfId="0" applyAlignment="1">
      <alignment/>
    </xf>
    <xf numFmtId="0" fontId="3" fillId="0" borderId="1" xfId="0" applyFont="1" applyBorder="1" applyAlignment="1">
      <alignment/>
    </xf>
    <xf numFmtId="0" fontId="3" fillId="0" borderId="0" xfId="0" applyFont="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4"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5" fillId="0" borderId="0" xfId="0" applyFont="1" applyAlignment="1">
      <alignment horizontal="center"/>
    </xf>
    <xf numFmtId="0" fontId="3" fillId="0" borderId="0" xfId="0" applyFont="1" applyAlignment="1">
      <alignment horizontal="right"/>
    </xf>
    <xf numFmtId="0" fontId="5" fillId="0" borderId="9" xfId="0" applyFont="1" applyBorder="1" applyAlignment="1">
      <alignment horizontal="center" vertical="center" wrapText="1"/>
    </xf>
    <xf numFmtId="0" fontId="5" fillId="0" borderId="9" xfId="22" applyFont="1" applyFill="1" applyBorder="1" applyAlignment="1">
      <alignment horizontal="center" vertical="center" wrapText="1"/>
      <protection/>
    </xf>
    <xf numFmtId="178" fontId="5" fillId="0" borderId="9" xfId="22" applyNumberFormat="1" applyFont="1" applyFill="1" applyBorder="1" applyAlignment="1">
      <alignment horizontal="center" vertical="center" wrapText="1"/>
      <protection/>
    </xf>
    <xf numFmtId="0" fontId="0" fillId="0" borderId="10" xfId="0" applyNumberFormat="1" applyBorder="1" applyAlignment="1">
      <alignment horizontal="center"/>
    </xf>
    <xf numFmtId="1" fontId="0" fillId="0" borderId="10" xfId="0" applyNumberFormat="1" applyBorder="1" applyAlignment="1">
      <alignment horizontal="center"/>
    </xf>
    <xf numFmtId="9" fontId="0" fillId="0" borderId="10" xfId="23" applyFont="1" applyBorder="1" applyAlignment="1">
      <alignment horizontal="center"/>
    </xf>
    <xf numFmtId="0" fontId="0" fillId="0" borderId="11" xfId="0" applyNumberFormat="1" applyBorder="1" applyAlignment="1">
      <alignment horizontal="center"/>
    </xf>
    <xf numFmtId="1" fontId="0" fillId="0" borderId="11" xfId="0" applyNumberFormat="1" applyBorder="1" applyAlignment="1">
      <alignment horizontal="center"/>
    </xf>
    <xf numFmtId="9" fontId="0" fillId="0" borderId="12" xfId="23" applyFont="1" applyBorder="1" applyAlignment="1">
      <alignment horizontal="center"/>
    </xf>
    <xf numFmtId="0" fontId="0" fillId="0" borderId="13" xfId="0" applyBorder="1" applyAlignment="1">
      <alignment/>
    </xf>
    <xf numFmtId="0" fontId="0" fillId="0" borderId="12" xfId="0" applyNumberFormat="1" applyBorder="1" applyAlignment="1">
      <alignment horizontal="center"/>
    </xf>
    <xf numFmtId="9" fontId="0" fillId="0" borderId="14" xfId="23" applyFont="1" applyBorder="1" applyAlignment="1">
      <alignment horizontal="left"/>
    </xf>
    <xf numFmtId="0" fontId="0" fillId="0" borderId="15" xfId="0" applyBorder="1" applyAlignment="1">
      <alignment/>
    </xf>
    <xf numFmtId="0" fontId="0" fillId="0" borderId="13" xfId="0" applyFill="1" applyBorder="1" applyAlignment="1">
      <alignment/>
    </xf>
    <xf numFmtId="9" fontId="0" fillId="0" borderId="11" xfId="23" applyFont="1" applyBorder="1" applyAlignment="1">
      <alignment horizontal="center"/>
    </xf>
    <xf numFmtId="0" fontId="0" fillId="0" borderId="15" xfId="0" applyFill="1" applyBorder="1" applyAlignment="1">
      <alignment/>
    </xf>
    <xf numFmtId="9" fontId="0" fillId="0" borderId="16" xfId="23" applyFont="1" applyBorder="1" applyAlignment="1">
      <alignment horizontal="center"/>
    </xf>
    <xf numFmtId="20" fontId="0" fillId="0" borderId="10" xfId="0" applyNumberFormat="1" applyBorder="1" applyAlignment="1">
      <alignment horizontal="center"/>
    </xf>
    <xf numFmtId="20" fontId="0" fillId="0" borderId="12" xfId="0" applyNumberFormat="1" applyBorder="1" applyAlignment="1">
      <alignment horizontal="center"/>
    </xf>
    <xf numFmtId="20" fontId="0" fillId="0" borderId="11" xfId="0" applyNumberFormat="1" applyBorder="1" applyAlignment="1">
      <alignment horizontal="center"/>
    </xf>
    <xf numFmtId="20" fontId="0" fillId="0" borderId="17" xfId="0" applyNumberFormat="1" applyBorder="1" applyAlignment="1">
      <alignment horizontal="center"/>
    </xf>
    <xf numFmtId="20" fontId="0" fillId="0" borderId="16" xfId="0" applyNumberFormat="1" applyBorder="1" applyAlignment="1">
      <alignment horizontal="center"/>
    </xf>
    <xf numFmtId="0" fontId="0" fillId="0" borderId="0" xfId="0" applyBorder="1" applyAlignment="1">
      <alignment horizontal="center"/>
    </xf>
    <xf numFmtId="174" fontId="0" fillId="0" borderId="0" xfId="0" applyNumberFormat="1" applyBorder="1" applyAlignment="1">
      <alignment horizontal="center"/>
    </xf>
    <xf numFmtId="9" fontId="0" fillId="0" borderId="0" xfId="23" applyBorder="1" applyAlignment="1">
      <alignment horizontal="center"/>
    </xf>
    <xf numFmtId="1" fontId="0" fillId="0" borderId="0" xfId="0" applyNumberFormat="1" applyBorder="1" applyAlignment="1">
      <alignment horizontal="center"/>
    </xf>
    <xf numFmtId="14" fontId="0" fillId="0" borderId="12" xfId="0" applyNumberFormat="1" applyBorder="1" applyAlignment="1">
      <alignment horizontal="center"/>
    </xf>
    <xf numFmtId="0" fontId="0" fillId="0" borderId="10" xfId="0" applyBorder="1" applyAlignment="1">
      <alignment horizontal="center"/>
    </xf>
    <xf numFmtId="2" fontId="0" fillId="0" borderId="17" xfId="0" applyNumberFormat="1" applyBorder="1" applyAlignment="1">
      <alignment horizontal="center"/>
    </xf>
    <xf numFmtId="20" fontId="0" fillId="0" borderId="18" xfId="0" applyNumberFormat="1" applyBorder="1" applyAlignment="1">
      <alignment horizontal="center"/>
    </xf>
    <xf numFmtId="0" fontId="0" fillId="0" borderId="6" xfId="0" applyFill="1" applyBorder="1" applyAlignment="1">
      <alignment/>
    </xf>
    <xf numFmtId="14" fontId="0" fillId="0" borderId="11" xfId="0" applyNumberFormat="1" applyBorder="1" applyAlignment="1">
      <alignment horizontal="center"/>
    </xf>
    <xf numFmtId="174" fontId="0" fillId="0" borderId="11" xfId="0" applyNumberFormat="1" applyBorder="1" applyAlignment="1">
      <alignment horizontal="center"/>
    </xf>
    <xf numFmtId="14" fontId="0" fillId="0" borderId="10" xfId="0" applyNumberFormat="1" applyBorder="1" applyAlignment="1">
      <alignment horizontal="center"/>
    </xf>
    <xf numFmtId="0" fontId="0" fillId="0" borderId="19" xfId="0" applyFill="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4" fontId="0" fillId="0" borderId="23" xfId="0" applyNumberFormat="1" applyBorder="1" applyAlignment="1">
      <alignment horizontal="center"/>
    </xf>
    <xf numFmtId="14" fontId="0" fillId="0" borderId="24" xfId="0" applyNumberFormat="1" applyBorder="1" applyAlignment="1">
      <alignment horizontal="center"/>
    </xf>
    <xf numFmtId="49" fontId="3" fillId="0" borderId="11" xfId="0" applyNumberFormat="1" applyFont="1" applyBorder="1" applyAlignment="1">
      <alignment horizontal="center"/>
    </xf>
    <xf numFmtId="174" fontId="0" fillId="0" borderId="16" xfId="0" applyNumberFormat="1" applyBorder="1" applyAlignment="1">
      <alignment horizontal="center"/>
    </xf>
    <xf numFmtId="0" fontId="0" fillId="0" borderId="25" xfId="0" applyFill="1" applyBorder="1" applyAlignment="1">
      <alignment/>
    </xf>
    <xf numFmtId="9" fontId="0" fillId="0" borderId="26" xfId="23" applyFont="1" applyBorder="1" applyAlignment="1">
      <alignment horizontal="center"/>
    </xf>
    <xf numFmtId="0" fontId="0" fillId="0" borderId="27" xfId="0" applyFill="1" applyBorder="1" applyAlignment="1">
      <alignment/>
    </xf>
    <xf numFmtId="0" fontId="0" fillId="2" borderId="11" xfId="0" applyNumberFormat="1" applyFill="1" applyBorder="1" applyAlignment="1">
      <alignment horizontal="center"/>
    </xf>
    <xf numFmtId="2" fontId="0" fillId="2" borderId="11" xfId="0" applyNumberFormat="1" applyFill="1" applyBorder="1" applyAlignment="1">
      <alignment horizontal="center"/>
    </xf>
    <xf numFmtId="14" fontId="0" fillId="0" borderId="28" xfId="0" applyNumberFormat="1" applyBorder="1" applyAlignment="1">
      <alignment horizontal="center"/>
    </xf>
    <xf numFmtId="174" fontId="0" fillId="0" borderId="26" xfId="0" applyNumberFormat="1" applyBorder="1" applyAlignment="1">
      <alignment horizontal="center"/>
    </xf>
    <xf numFmtId="2" fontId="0" fillId="0" borderId="11" xfId="0" applyNumberFormat="1" applyBorder="1" applyAlignment="1">
      <alignment horizontal="center"/>
    </xf>
    <xf numFmtId="2" fontId="0" fillId="2" borderId="17" xfId="0" applyNumberFormat="1" applyFill="1" applyBorder="1" applyAlignment="1">
      <alignment horizontal="center"/>
    </xf>
    <xf numFmtId="2" fontId="0" fillId="0" borderId="18" xfId="0" applyNumberFormat="1" applyBorder="1" applyAlignment="1">
      <alignment horizontal="center"/>
    </xf>
    <xf numFmtId="49" fontId="3" fillId="0" borderId="12" xfId="0" applyNumberFormat="1" applyFont="1" applyBorder="1" applyAlignment="1">
      <alignment horizontal="center"/>
    </xf>
    <xf numFmtId="49" fontId="3" fillId="0" borderId="16" xfId="0" applyNumberFormat="1" applyFont="1" applyBorder="1" applyAlignment="1">
      <alignment horizontal="center"/>
    </xf>
    <xf numFmtId="2" fontId="0" fillId="0" borderId="16" xfId="0" applyNumberFormat="1" applyBorder="1" applyAlignment="1">
      <alignment horizontal="center"/>
    </xf>
    <xf numFmtId="1" fontId="0" fillId="2" borderId="11" xfId="0" applyNumberFormat="1" applyFill="1" applyBorder="1" applyAlignment="1">
      <alignment horizontal="center"/>
    </xf>
    <xf numFmtId="0" fontId="0" fillId="0" borderId="17" xfId="0" applyNumberFormat="1" applyBorder="1" applyAlignment="1">
      <alignment horizontal="center"/>
    </xf>
    <xf numFmtId="0" fontId="0" fillId="2" borderId="17" xfId="0" applyNumberFormat="1" applyFill="1" applyBorder="1" applyAlignment="1">
      <alignment horizontal="center"/>
    </xf>
    <xf numFmtId="0" fontId="0" fillId="0" borderId="18" xfId="0" applyNumberFormat="1" applyBorder="1" applyAlignment="1">
      <alignment horizontal="center"/>
    </xf>
    <xf numFmtId="0" fontId="0" fillId="0" borderId="16" xfId="0" applyNumberFormat="1" applyBorder="1" applyAlignment="1">
      <alignment horizontal="center"/>
    </xf>
    <xf numFmtId="20" fontId="0" fillId="2" borderId="11" xfId="0" applyNumberFormat="1" applyFill="1" applyBorder="1" applyAlignment="1">
      <alignment horizontal="center"/>
    </xf>
    <xf numFmtId="2" fontId="0" fillId="0" borderId="10" xfId="0" applyNumberFormat="1" applyBorder="1" applyAlignment="1">
      <alignment horizontal="center"/>
    </xf>
    <xf numFmtId="14" fontId="0" fillId="0" borderId="16" xfId="0" applyNumberFormat="1" applyBorder="1" applyAlignment="1">
      <alignment horizontal="center"/>
    </xf>
    <xf numFmtId="9" fontId="0" fillId="2" borderId="12" xfId="23" applyFont="1" applyFill="1" applyBorder="1" applyAlignment="1">
      <alignment horizontal="center"/>
    </xf>
    <xf numFmtId="0" fontId="0" fillId="0" borderId="29" xfId="0" applyNumberFormat="1" applyBorder="1" applyAlignment="1">
      <alignment horizontal="center"/>
    </xf>
    <xf numFmtId="0" fontId="0" fillId="0" borderId="30" xfId="0" applyNumberFormat="1" applyBorder="1" applyAlignment="1">
      <alignment horizontal="center"/>
    </xf>
    <xf numFmtId="0" fontId="0" fillId="2" borderId="29" xfId="0" applyNumberForma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 fontId="0" fillId="0" borderId="24" xfId="0" applyNumberFormat="1" applyBorder="1" applyAlignment="1">
      <alignment horizontal="center"/>
    </xf>
    <xf numFmtId="1" fontId="0" fillId="0" borderId="23" xfId="0" applyNumberFormat="1" applyBorder="1" applyAlignment="1">
      <alignment horizontal="center"/>
    </xf>
    <xf numFmtId="1" fontId="0" fillId="2" borderId="23" xfId="0" applyNumberFormat="1" applyFill="1" applyBorder="1" applyAlignment="1">
      <alignment horizontal="center"/>
    </xf>
    <xf numFmtId="1" fontId="0" fillId="0" borderId="32" xfId="0" applyNumberFormat="1" applyBorder="1" applyAlignment="1">
      <alignment horizontal="center"/>
    </xf>
    <xf numFmtId="0" fontId="0" fillId="2" borderId="29"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0" xfId="0" applyNumberFormat="1" applyBorder="1" applyAlignment="1">
      <alignment horizontal="left"/>
    </xf>
    <xf numFmtId="0" fontId="0" fillId="0" borderId="11" xfId="0" applyNumberFormat="1" applyBorder="1" applyAlignment="1">
      <alignment horizontal="left"/>
    </xf>
    <xf numFmtId="1" fontId="0" fillId="0" borderId="11" xfId="0" applyNumberFormat="1" applyBorder="1" applyAlignment="1">
      <alignment horizontal="left"/>
    </xf>
    <xf numFmtId="0" fontId="0" fillId="2" borderId="11" xfId="0" applyNumberFormat="1" applyFill="1" applyBorder="1" applyAlignment="1">
      <alignment horizontal="left"/>
    </xf>
    <xf numFmtId="1" fontId="0" fillId="2" borderId="11" xfId="0" applyNumberFormat="1" applyFill="1" applyBorder="1" applyAlignment="1">
      <alignment horizontal="left"/>
    </xf>
    <xf numFmtId="0" fontId="0" fillId="0" borderId="17" xfId="0" applyNumberFormat="1" applyBorder="1" applyAlignment="1">
      <alignment horizontal="left"/>
    </xf>
    <xf numFmtId="0" fontId="0" fillId="2" borderId="17" xfId="0" applyNumberFormat="1" applyFill="1" applyBorder="1" applyAlignment="1">
      <alignment horizontal="left"/>
    </xf>
    <xf numFmtId="0" fontId="0" fillId="0" borderId="18" xfId="0" applyNumberFormat="1" applyBorder="1" applyAlignment="1">
      <alignment horizontal="left"/>
    </xf>
    <xf numFmtId="0" fontId="0" fillId="0" borderId="16"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2" borderId="11" xfId="0" applyFill="1" applyBorder="1" applyAlignment="1">
      <alignment horizontal="left"/>
    </xf>
    <xf numFmtId="0" fontId="0" fillId="0" borderId="12"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20" fontId="0" fillId="2" borderId="17" xfId="0" applyNumberFormat="1" applyFill="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Fallas-2001 R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19050</xdr:rowOff>
    </xdr:from>
    <xdr:to>
      <xdr:col>16</xdr:col>
      <xdr:colOff>762000</xdr:colOff>
      <xdr:row>5</xdr:row>
      <xdr:rowOff>76200</xdr:rowOff>
    </xdr:to>
    <xdr:sp>
      <xdr:nvSpPr>
        <xdr:cNvPr id="1" name="TextBox 1"/>
        <xdr:cNvSpPr txBox="1">
          <a:spLocks noChangeArrowheads="1"/>
        </xdr:cNvSpPr>
      </xdr:nvSpPr>
      <xdr:spPr>
        <a:xfrm>
          <a:off x="10648950" y="695325"/>
          <a:ext cx="3781425" cy="285750"/>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FEBRERO 2007.
EMPRESA ELECTRICA MILAGRO C.A.</a:t>
          </a:r>
        </a:p>
      </xdr:txBody>
    </xdr:sp>
    <xdr:clientData/>
  </xdr:twoCellAnchor>
  <xdr:twoCellAnchor>
    <xdr:from>
      <xdr:col>12</xdr:col>
      <xdr:colOff>542925</xdr:colOff>
      <xdr:row>57</xdr:row>
      <xdr:rowOff>123825</xdr:rowOff>
    </xdr:from>
    <xdr:to>
      <xdr:col>16</xdr:col>
      <xdr:colOff>762000</xdr:colOff>
      <xdr:row>59</xdr:row>
      <xdr:rowOff>123825</xdr:rowOff>
    </xdr:to>
    <xdr:sp>
      <xdr:nvSpPr>
        <xdr:cNvPr id="2" name="TextBox 2"/>
        <xdr:cNvSpPr txBox="1">
          <a:spLocks noChangeArrowheads="1"/>
        </xdr:cNvSpPr>
      </xdr:nvSpPr>
      <xdr:spPr>
        <a:xfrm>
          <a:off x="11163300" y="12468225"/>
          <a:ext cx="326707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57</xdr:row>
      <xdr:rowOff>180975</xdr:rowOff>
    </xdr:from>
    <xdr:to>
      <xdr:col>17</xdr:col>
      <xdr:colOff>0</xdr:colOff>
      <xdr:row>62</xdr:row>
      <xdr:rowOff>66675</xdr:rowOff>
    </xdr:to>
    <xdr:sp>
      <xdr:nvSpPr>
        <xdr:cNvPr id="3" name="TextBox 3"/>
        <xdr:cNvSpPr txBox="1">
          <a:spLocks noChangeArrowheads="1"/>
        </xdr:cNvSpPr>
      </xdr:nvSpPr>
      <xdr:spPr>
        <a:xfrm>
          <a:off x="10620375" y="12525375"/>
          <a:ext cx="381000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Notas:
             6     El porcentaje aquí indicado es con relación a la demanda estimada del sistema de la distribuidora en el momento de  falla
             7     La clasificación debe estar acorde  con la codificación que se presenta en el comentario de la misma celda
             8     Causa por la que se produjo la falla de una parte de la carga del sistema de la empresa
</a:t>
          </a:r>
          <a:r>
            <a:rPr lang="en-US" cap="none" sz="1000" b="0" i="0" u="none" baseline="0">
              <a:latin typeface="Arial"/>
              <a:ea typeface="Arial"/>
              <a:cs typeface="Arial"/>
            </a:rPr>
            <a:t>
otas:
             6     El porcentaje aquí indicado es con relación a la demanda estimada del sistema de la distribuidora en el momento de la falla
             7     La clasificación debe estar acorde  con la codificación que se presenta en el comentario de la misma celda
             8     Causa por la que se produjo la falla de una parte de la carga del sistema de la empresa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58</xdr:row>
      <xdr:rowOff>123825</xdr:rowOff>
    </xdr:from>
    <xdr:to>
      <xdr:col>5</xdr:col>
      <xdr:colOff>733425</xdr:colOff>
      <xdr:row>62</xdr:row>
      <xdr:rowOff>114300</xdr:rowOff>
    </xdr:to>
    <xdr:sp>
      <xdr:nvSpPr>
        <xdr:cNvPr id="1" name="TextBox 1"/>
        <xdr:cNvSpPr txBox="1">
          <a:spLocks noChangeArrowheads="1"/>
        </xdr:cNvSpPr>
      </xdr:nvSpPr>
      <xdr:spPr>
        <a:xfrm>
          <a:off x="0" y="12915900"/>
          <a:ext cx="4448175" cy="1171575"/>
        </a:xfrm>
        <a:prstGeom prst="rect">
          <a:avLst/>
        </a:prstGeom>
        <a:noFill/>
        <a:ln w="9525" cmpd="sng">
          <a:noFill/>
        </a:ln>
      </xdr:spPr>
      <xdr:txBody>
        <a:bodyPr vertOverflow="clip" wrap="square"/>
        <a:p>
          <a:pPr algn="l">
            <a:defRPr/>
          </a:pPr>
          <a:r>
            <a:rPr lang="en-US" cap="none" sz="1100" b="0" i="0" u="none" baseline="0"/>
            <a:t>Notas:
            1     No. De falla registrado en bitácoras de la Empresa Distribuidora
            2     S/E afectada por la falla
            3     Alimentador afectado por la falla
            4     Nivel de voltaje del alimentador afectado
            5     VOLTAGE instalados en el alimentador</a:t>
          </a:r>
        </a:p>
      </xdr:txBody>
    </xdr:sp>
    <xdr:clientData/>
  </xdr:twoCellAnchor>
  <xdr:twoCellAnchor>
    <xdr:from>
      <xdr:col>0</xdr:col>
      <xdr:colOff>0</xdr:colOff>
      <xdr:row>5</xdr:row>
      <xdr:rowOff>19050</xdr:rowOff>
    </xdr:from>
    <xdr:to>
      <xdr:col>7</xdr:col>
      <xdr:colOff>142875</xdr:colOff>
      <xdr:row>6</xdr:row>
      <xdr:rowOff>76200</xdr:rowOff>
    </xdr:to>
    <xdr:sp>
      <xdr:nvSpPr>
        <xdr:cNvPr id="2" name="TextBox 10"/>
        <xdr:cNvSpPr txBox="1">
          <a:spLocks noChangeArrowheads="1"/>
        </xdr:cNvSpPr>
      </xdr:nvSpPr>
      <xdr:spPr>
        <a:xfrm>
          <a:off x="0" y="933450"/>
          <a:ext cx="5991225" cy="1038225"/>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FEBRERO 2007
EMPRESA ELECTRICA MILAGRO C.A.
</a:t>
          </a:r>
        </a:p>
      </xdr:txBody>
    </xdr:sp>
    <xdr:clientData/>
  </xdr:twoCellAnchor>
  <xdr:twoCellAnchor>
    <xdr:from>
      <xdr:col>11</xdr:col>
      <xdr:colOff>28575</xdr:colOff>
      <xdr:row>5</xdr:row>
      <xdr:rowOff>19050</xdr:rowOff>
    </xdr:from>
    <xdr:to>
      <xdr:col>15</xdr:col>
      <xdr:colOff>1876425</xdr:colOff>
      <xdr:row>6</xdr:row>
      <xdr:rowOff>76200</xdr:rowOff>
    </xdr:to>
    <xdr:sp>
      <xdr:nvSpPr>
        <xdr:cNvPr id="3" name="TextBox 11"/>
        <xdr:cNvSpPr txBox="1">
          <a:spLocks noChangeArrowheads="1"/>
        </xdr:cNvSpPr>
      </xdr:nvSpPr>
      <xdr:spPr>
        <a:xfrm>
          <a:off x="10753725" y="933450"/>
          <a:ext cx="6191250" cy="1038225"/>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FEBRERO 2007.
EMPRESA ELECTRICA MILAGRO C.A.</a:t>
          </a:r>
        </a:p>
      </xdr:txBody>
    </xdr:sp>
    <xdr:clientData/>
  </xdr:twoCellAnchor>
  <xdr:twoCellAnchor>
    <xdr:from>
      <xdr:col>11</xdr:col>
      <xdr:colOff>542925</xdr:colOff>
      <xdr:row>58</xdr:row>
      <xdr:rowOff>123825</xdr:rowOff>
    </xdr:from>
    <xdr:to>
      <xdr:col>15</xdr:col>
      <xdr:colOff>2819400</xdr:colOff>
      <xdr:row>60</xdr:row>
      <xdr:rowOff>123825</xdr:rowOff>
    </xdr:to>
    <xdr:sp>
      <xdr:nvSpPr>
        <xdr:cNvPr id="4" name="TextBox 12"/>
        <xdr:cNvSpPr txBox="1">
          <a:spLocks noChangeArrowheads="1"/>
        </xdr:cNvSpPr>
      </xdr:nvSpPr>
      <xdr:spPr>
        <a:xfrm>
          <a:off x="11268075" y="12915900"/>
          <a:ext cx="66198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266700</xdr:rowOff>
    </xdr:from>
    <xdr:to>
      <xdr:col>16</xdr:col>
      <xdr:colOff>0</xdr:colOff>
      <xdr:row>63</xdr:row>
      <xdr:rowOff>66675</xdr:rowOff>
    </xdr:to>
    <xdr:sp>
      <xdr:nvSpPr>
        <xdr:cNvPr id="5" name="TextBox 41"/>
        <xdr:cNvSpPr txBox="1">
          <a:spLocks noChangeArrowheads="1"/>
        </xdr:cNvSpPr>
      </xdr:nvSpPr>
      <xdr:spPr>
        <a:xfrm>
          <a:off x="10725150" y="13058775"/>
          <a:ext cx="835342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Notas:
             6     El porcentaje aquí indicado es con relación a la demanda estimada del sistema de la distribuidora en el momento de  falla
             7     La clasificación debe estar acorde  con la codificación que se presenta en el comentario de la misma celda
             8     Causa por la que se produjo la falla de una parte de la carga del sistema de la empresa
</a:t>
          </a:r>
          <a:r>
            <a:rPr lang="en-US" cap="none" sz="1000" b="0" i="0" u="none" baseline="0">
              <a:latin typeface="Arial"/>
              <a:ea typeface="Arial"/>
              <a:cs typeface="Arial"/>
            </a:rPr>
            <a:t>
otas:
             6     El porcentaje aquí indicado es con relación a la demanda estimada del sistema de la distribuidora en el momento de la falla
             7     La clasificación debe estar acorde  con la codificación que se presenta en el comentario de la misma celda
             8     Causa por la que se produjo la falla de una parte de la carga del sistema de la empresa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Q63"/>
  <sheetViews>
    <sheetView workbookViewId="0" topLeftCell="J37">
      <selection activeCell="P9" sqref="P9:P57"/>
    </sheetView>
  </sheetViews>
  <sheetFormatPr defaultColWidth="11.421875" defaultRowHeight="12.75"/>
  <cols>
    <col min="7" max="7" width="19.57421875" style="0" customWidth="1"/>
    <col min="9" max="9" width="25.421875" style="0" customWidth="1"/>
  </cols>
  <sheetData>
    <row r="3" ht="13.5" thickBot="1"/>
    <row r="4" spans="1:17" ht="14.25">
      <c r="A4" s="4"/>
      <c r="B4" s="4"/>
      <c r="C4" s="4"/>
      <c r="D4" s="4"/>
      <c r="E4" s="4"/>
      <c r="F4" s="4"/>
      <c r="G4" s="4"/>
      <c r="H4" s="4"/>
      <c r="I4" s="4"/>
      <c r="J4" s="4"/>
      <c r="K4" s="4"/>
      <c r="L4" s="5"/>
      <c r="M4" s="3"/>
      <c r="N4" s="4"/>
      <c r="O4" s="4"/>
      <c r="P4" s="4"/>
      <c r="Q4" s="5"/>
    </row>
    <row r="5" spans="1:17" ht="18">
      <c r="A5" s="7"/>
      <c r="B5" s="7"/>
      <c r="C5" s="7"/>
      <c r="D5" s="7"/>
      <c r="E5" s="7"/>
      <c r="F5" s="7"/>
      <c r="G5" s="7"/>
      <c r="H5" s="7"/>
      <c r="I5" s="7"/>
      <c r="J5" s="7"/>
      <c r="K5" s="7"/>
      <c r="L5" s="8"/>
      <c r="M5" s="6"/>
      <c r="N5" s="7"/>
      <c r="O5" s="7"/>
      <c r="P5" s="7"/>
      <c r="Q5" s="8"/>
    </row>
    <row r="6" spans="1:17" ht="15" thickBot="1">
      <c r="A6" s="1"/>
      <c r="B6" s="1"/>
      <c r="C6" s="1"/>
      <c r="D6" s="1"/>
      <c r="E6" s="1"/>
      <c r="F6" s="1"/>
      <c r="G6" s="1"/>
      <c r="H6" s="1"/>
      <c r="I6" s="1"/>
      <c r="J6" s="1"/>
      <c r="K6" s="1"/>
      <c r="L6" s="10"/>
      <c r="M6" s="9"/>
      <c r="N6" s="1"/>
      <c r="O6" s="1"/>
      <c r="P6" s="1"/>
      <c r="Q6" s="10"/>
    </row>
    <row r="7" spans="1:17" ht="15" thickBot="1">
      <c r="A7" s="7"/>
      <c r="B7" s="7"/>
      <c r="C7" s="7"/>
      <c r="D7" s="7"/>
      <c r="E7" s="7"/>
      <c r="F7" s="7"/>
      <c r="G7" s="7"/>
      <c r="H7" s="7"/>
      <c r="I7" s="7"/>
      <c r="J7" s="7"/>
      <c r="K7" s="7"/>
      <c r="L7" s="7"/>
      <c r="M7" s="7"/>
      <c r="N7" s="7"/>
      <c r="O7" s="7"/>
      <c r="P7" s="7"/>
      <c r="Q7" s="7"/>
    </row>
    <row r="8" spans="1:17" ht="171.75" thickBot="1">
      <c r="A8" s="13" t="s">
        <v>2</v>
      </c>
      <c r="B8" s="14" t="s">
        <v>3</v>
      </c>
      <c r="C8" s="14" t="s">
        <v>4</v>
      </c>
      <c r="D8" s="14" t="s">
        <v>5</v>
      </c>
      <c r="E8" s="14" t="s">
        <v>6</v>
      </c>
      <c r="F8" s="14" t="s">
        <v>7</v>
      </c>
      <c r="G8" s="15" t="s">
        <v>8</v>
      </c>
      <c r="H8" s="15"/>
      <c r="I8" s="14" t="s">
        <v>9</v>
      </c>
      <c r="J8" s="14"/>
      <c r="K8" s="14" t="s">
        <v>10</v>
      </c>
      <c r="L8" s="14" t="s">
        <v>16</v>
      </c>
      <c r="M8" s="14" t="s">
        <v>11</v>
      </c>
      <c r="N8" s="14" t="s">
        <v>12</v>
      </c>
      <c r="O8" s="14" t="s">
        <v>13</v>
      </c>
      <c r="P8" s="14" t="s">
        <v>14</v>
      </c>
      <c r="Q8" s="14" t="s">
        <v>15</v>
      </c>
    </row>
    <row r="9" spans="1:17" ht="14.25">
      <c r="A9" s="53" t="s">
        <v>17</v>
      </c>
      <c r="B9" s="60">
        <v>39114</v>
      </c>
      <c r="C9" s="30">
        <v>0.5333333333333333</v>
      </c>
      <c r="D9" s="46">
        <v>39114</v>
      </c>
      <c r="E9" s="30">
        <v>0.5368055555555555</v>
      </c>
      <c r="F9" s="74">
        <v>0.08333333333333333</v>
      </c>
      <c r="G9" s="90" t="s">
        <v>86</v>
      </c>
      <c r="H9" s="16">
        <v>17</v>
      </c>
      <c r="I9" s="99" t="s">
        <v>76</v>
      </c>
      <c r="J9" s="40">
        <v>1701</v>
      </c>
      <c r="K9" s="16">
        <v>13.8</v>
      </c>
      <c r="L9" s="61">
        <f>2200/0.96</f>
        <v>2291.666666666667</v>
      </c>
      <c r="M9" s="61">
        <f>1200/0.96</f>
        <v>1250</v>
      </c>
      <c r="N9" s="56">
        <f>M9/L9</f>
        <v>0.5454545454545454</v>
      </c>
      <c r="O9" s="17">
        <v>2001</v>
      </c>
      <c r="P9" s="18" t="s">
        <v>148</v>
      </c>
      <c r="Q9" s="57" t="s">
        <v>116</v>
      </c>
    </row>
    <row r="10" spans="1:17" ht="14.25">
      <c r="A10" s="53" t="s">
        <v>18</v>
      </c>
      <c r="B10" s="44">
        <v>39115</v>
      </c>
      <c r="C10" s="31">
        <v>0.40625</v>
      </c>
      <c r="D10" s="44">
        <v>39115</v>
      </c>
      <c r="E10" s="32">
        <v>0.40972222222222227</v>
      </c>
      <c r="F10" s="62">
        <f>5/60</f>
        <v>0.08333333333333333</v>
      </c>
      <c r="G10" s="91" t="s">
        <v>68</v>
      </c>
      <c r="H10" s="19">
        <v>11</v>
      </c>
      <c r="I10" s="100" t="s">
        <v>69</v>
      </c>
      <c r="J10" s="80">
        <v>1103</v>
      </c>
      <c r="K10" s="77">
        <v>13.8</v>
      </c>
      <c r="L10" s="45">
        <f>2300/0.96</f>
        <v>2395.8333333333335</v>
      </c>
      <c r="M10" s="45">
        <f>1500/0.96</f>
        <v>1562.5</v>
      </c>
      <c r="N10" s="27">
        <f aca="true" t="shared" si="0" ref="N10:N57">M10/L10</f>
        <v>0.6521739130434783</v>
      </c>
      <c r="O10" s="83">
        <v>2500</v>
      </c>
      <c r="P10" s="21" t="s">
        <v>149</v>
      </c>
      <c r="Q10" s="26" t="s">
        <v>87</v>
      </c>
    </row>
    <row r="11" spans="1:17" ht="14.25">
      <c r="A11" s="53" t="s">
        <v>19</v>
      </c>
      <c r="B11" s="51">
        <v>39115</v>
      </c>
      <c r="C11" s="32">
        <v>0.5166666666666667</v>
      </c>
      <c r="D11" s="39">
        <v>39115</v>
      </c>
      <c r="E11" s="32">
        <v>0.6006944444444444</v>
      </c>
      <c r="F11" s="62">
        <v>2.0166666666666666</v>
      </c>
      <c r="G11" s="92" t="s">
        <v>72</v>
      </c>
      <c r="H11" s="20">
        <v>13</v>
      </c>
      <c r="I11" s="100" t="s">
        <v>117</v>
      </c>
      <c r="J11" s="81">
        <v>131</v>
      </c>
      <c r="K11" s="78">
        <v>69</v>
      </c>
      <c r="L11" s="45">
        <f>800/0.96</f>
        <v>833.3333333333334</v>
      </c>
      <c r="M11" s="45">
        <f>500/0.96</f>
        <v>520.8333333333334</v>
      </c>
      <c r="N11" s="27">
        <f t="shared" si="0"/>
        <v>0.625</v>
      </c>
      <c r="O11" s="84">
        <v>3619</v>
      </c>
      <c r="P11" s="21" t="s">
        <v>150</v>
      </c>
      <c r="Q11" s="22" t="s">
        <v>118</v>
      </c>
    </row>
    <row r="12" spans="1:17" ht="14.25">
      <c r="A12" s="53" t="s">
        <v>20</v>
      </c>
      <c r="B12" s="51">
        <v>39115</v>
      </c>
      <c r="C12" s="32">
        <v>0.8819444444444445</v>
      </c>
      <c r="D12" s="39">
        <v>39115</v>
      </c>
      <c r="E12" s="32">
        <v>0.8854166666666666</v>
      </c>
      <c r="F12" s="62">
        <v>0.08333333333333333</v>
      </c>
      <c r="G12" s="91" t="s">
        <v>75</v>
      </c>
      <c r="H12" s="19">
        <v>17</v>
      </c>
      <c r="I12" s="100" t="s">
        <v>76</v>
      </c>
      <c r="J12" s="81">
        <v>1701</v>
      </c>
      <c r="K12" s="78">
        <v>13.8</v>
      </c>
      <c r="L12" s="45">
        <f>2200/0.96</f>
        <v>2291.666666666667</v>
      </c>
      <c r="M12" s="45">
        <f>1800/0.96</f>
        <v>1875</v>
      </c>
      <c r="N12" s="27">
        <f t="shared" si="0"/>
        <v>0.8181818181818181</v>
      </c>
      <c r="O12" s="84">
        <v>2001</v>
      </c>
      <c r="P12" s="21" t="s">
        <v>151</v>
      </c>
      <c r="Q12" s="22" t="s">
        <v>88</v>
      </c>
    </row>
    <row r="13" spans="1:17" ht="14.25">
      <c r="A13" s="53" t="s">
        <v>21</v>
      </c>
      <c r="B13" s="51">
        <v>39117</v>
      </c>
      <c r="C13" s="32">
        <v>0.23263888888888887</v>
      </c>
      <c r="D13" s="39">
        <v>39117</v>
      </c>
      <c r="E13" s="32">
        <v>0.4375</v>
      </c>
      <c r="F13" s="59">
        <f>365/60</f>
        <v>6.083333333333333</v>
      </c>
      <c r="G13" s="93" t="s">
        <v>124</v>
      </c>
      <c r="H13" s="58">
        <v>14</v>
      </c>
      <c r="I13" s="100" t="s">
        <v>84</v>
      </c>
      <c r="J13" s="81">
        <v>1403</v>
      </c>
      <c r="K13" s="78">
        <v>13.8</v>
      </c>
      <c r="L13" s="45">
        <f>800/0.96</f>
        <v>833.3333333333334</v>
      </c>
      <c r="M13" s="45">
        <f>400/0.96</f>
        <v>416.6666666666667</v>
      </c>
      <c r="N13" s="27">
        <f t="shared" si="0"/>
        <v>0.5</v>
      </c>
      <c r="O13" s="85">
        <v>2099</v>
      </c>
      <c r="P13" s="21" t="s">
        <v>149</v>
      </c>
      <c r="Q13" s="22" t="s">
        <v>70</v>
      </c>
    </row>
    <row r="14" spans="1:17" ht="14.25">
      <c r="A14" s="53" t="s">
        <v>22</v>
      </c>
      <c r="B14" s="51">
        <v>39118</v>
      </c>
      <c r="C14" s="32">
        <v>0.611111111111111</v>
      </c>
      <c r="D14" s="39">
        <v>39118</v>
      </c>
      <c r="E14" s="32">
        <v>0.6347222222222222</v>
      </c>
      <c r="F14" s="62">
        <v>0.5666666666666667</v>
      </c>
      <c r="G14" s="91" t="s">
        <v>125</v>
      </c>
      <c r="H14" s="19">
        <v>23</v>
      </c>
      <c r="I14" s="100" t="s">
        <v>89</v>
      </c>
      <c r="J14" s="81">
        <v>2301</v>
      </c>
      <c r="K14" s="78">
        <v>13.8</v>
      </c>
      <c r="L14" s="45">
        <f>2000/0.96</f>
        <v>2083.3333333333335</v>
      </c>
      <c r="M14" s="45">
        <f>1200/0.96</f>
        <v>1250</v>
      </c>
      <c r="N14" s="27">
        <f t="shared" si="0"/>
        <v>0.6</v>
      </c>
      <c r="O14" s="84">
        <v>2500</v>
      </c>
      <c r="P14" s="21" t="s">
        <v>149</v>
      </c>
      <c r="Q14" s="22" t="s">
        <v>119</v>
      </c>
    </row>
    <row r="15" spans="1:17" ht="14.25">
      <c r="A15" s="53" t="s">
        <v>23</v>
      </c>
      <c r="B15" s="51">
        <v>39119</v>
      </c>
      <c r="C15" s="32">
        <v>0.4166666666666667</v>
      </c>
      <c r="D15" s="39">
        <v>39119</v>
      </c>
      <c r="E15" s="32">
        <v>0.5208333333333334</v>
      </c>
      <c r="F15" s="59">
        <v>2.5</v>
      </c>
      <c r="G15" s="94" t="s">
        <v>126</v>
      </c>
      <c r="H15" s="68">
        <v>20</v>
      </c>
      <c r="I15" s="100" t="s">
        <v>120</v>
      </c>
      <c r="J15" s="81">
        <v>2002</v>
      </c>
      <c r="K15" s="78">
        <v>13.8</v>
      </c>
      <c r="L15" s="45">
        <f>1500/0.96</f>
        <v>1562.5</v>
      </c>
      <c r="M15" s="45">
        <f>800/0.96</f>
        <v>833.3333333333334</v>
      </c>
      <c r="N15" s="27">
        <f t="shared" si="0"/>
        <v>0.5333333333333333</v>
      </c>
      <c r="O15" s="84">
        <v>2149</v>
      </c>
      <c r="P15" s="21" t="s">
        <v>152</v>
      </c>
      <c r="Q15" s="22" t="s">
        <v>121</v>
      </c>
    </row>
    <row r="16" spans="1:17" ht="14.25">
      <c r="A16" s="53" t="s">
        <v>24</v>
      </c>
      <c r="B16" s="51">
        <v>39119</v>
      </c>
      <c r="C16" s="32">
        <v>0.5902777777777778</v>
      </c>
      <c r="D16" s="39">
        <v>39119</v>
      </c>
      <c r="E16" s="32">
        <v>0.6097222222222222</v>
      </c>
      <c r="F16" s="59">
        <v>0.4666666666666667</v>
      </c>
      <c r="G16" s="93" t="s">
        <v>127</v>
      </c>
      <c r="H16" s="58">
        <v>21</v>
      </c>
      <c r="I16" s="100" t="s">
        <v>67</v>
      </c>
      <c r="J16" s="80">
        <v>2102</v>
      </c>
      <c r="K16" s="77">
        <v>13.8</v>
      </c>
      <c r="L16" s="45">
        <f>1000/0.96</f>
        <v>1041.6666666666667</v>
      </c>
      <c r="M16" s="45">
        <f>600/0.96</f>
        <v>625</v>
      </c>
      <c r="N16" s="27">
        <f t="shared" si="0"/>
        <v>0.6</v>
      </c>
      <c r="O16" s="84">
        <v>2619</v>
      </c>
      <c r="P16" s="21" t="s">
        <v>149</v>
      </c>
      <c r="Q16" s="22" t="s">
        <v>90</v>
      </c>
    </row>
    <row r="17" spans="1:17" ht="14.25">
      <c r="A17" s="53" t="s">
        <v>25</v>
      </c>
      <c r="B17" s="51">
        <v>39120</v>
      </c>
      <c r="C17" s="32">
        <v>0.052083333333333336</v>
      </c>
      <c r="D17" s="39">
        <v>39120</v>
      </c>
      <c r="E17" s="32">
        <v>0.4041666666666666</v>
      </c>
      <c r="F17" s="62">
        <v>8.95</v>
      </c>
      <c r="G17" s="91" t="s">
        <v>72</v>
      </c>
      <c r="H17" s="19">
        <v>13</v>
      </c>
      <c r="I17" s="101" t="s">
        <v>78</v>
      </c>
      <c r="J17" s="87">
        <v>1303</v>
      </c>
      <c r="K17" s="79">
        <v>13.8</v>
      </c>
      <c r="L17" s="45">
        <f>2800/0.96</f>
        <v>2916.666666666667</v>
      </c>
      <c r="M17" s="45">
        <f>1000/0.96</f>
        <v>1041.6666666666667</v>
      </c>
      <c r="N17" s="27">
        <f t="shared" si="0"/>
        <v>0.35714285714285715</v>
      </c>
      <c r="O17" s="85">
        <v>3664</v>
      </c>
      <c r="P17" s="76" t="s">
        <v>149</v>
      </c>
      <c r="Q17" s="22" t="s">
        <v>85</v>
      </c>
    </row>
    <row r="18" spans="1:17" ht="14.25">
      <c r="A18" s="53" t="s">
        <v>26</v>
      </c>
      <c r="B18" s="51">
        <v>39121</v>
      </c>
      <c r="C18" s="73">
        <v>0.2916666666666667</v>
      </c>
      <c r="D18" s="39">
        <v>39121</v>
      </c>
      <c r="E18" s="32">
        <v>0.4902777777777778</v>
      </c>
      <c r="F18" s="62">
        <v>4.766666666666667</v>
      </c>
      <c r="G18" s="91" t="s">
        <v>128</v>
      </c>
      <c r="H18" s="19">
        <v>16</v>
      </c>
      <c r="I18" s="101" t="s">
        <v>91</v>
      </c>
      <c r="J18" s="87">
        <v>1603</v>
      </c>
      <c r="K18" s="79">
        <v>13.8</v>
      </c>
      <c r="L18" s="45">
        <f>1500/0.96</f>
        <v>1562.5</v>
      </c>
      <c r="M18" s="45">
        <f>650/0.96</f>
        <v>677.0833333333334</v>
      </c>
      <c r="N18" s="27">
        <f t="shared" si="0"/>
        <v>0.43333333333333335</v>
      </c>
      <c r="O18" s="85">
        <v>1061</v>
      </c>
      <c r="P18" s="76" t="s">
        <v>149</v>
      </c>
      <c r="Q18" s="22" t="s">
        <v>70</v>
      </c>
    </row>
    <row r="19" spans="1:17" ht="14.25">
      <c r="A19" s="53" t="s">
        <v>27</v>
      </c>
      <c r="B19" s="51">
        <v>39121</v>
      </c>
      <c r="C19" s="73">
        <v>0.5</v>
      </c>
      <c r="D19" s="39">
        <v>39121</v>
      </c>
      <c r="E19" s="32">
        <v>0.6180555555555556</v>
      </c>
      <c r="F19" s="62">
        <v>2.8333333333333335</v>
      </c>
      <c r="G19" s="91" t="s">
        <v>124</v>
      </c>
      <c r="H19" s="19">
        <v>14</v>
      </c>
      <c r="I19" s="100" t="s">
        <v>92</v>
      </c>
      <c r="J19" s="80" t="s">
        <v>115</v>
      </c>
      <c r="K19" s="77">
        <v>13.8</v>
      </c>
      <c r="L19" s="45">
        <f>1200/0.96</f>
        <v>1250</v>
      </c>
      <c r="M19" s="45">
        <f>800/0.96</f>
        <v>833.3333333333334</v>
      </c>
      <c r="N19" s="27">
        <f t="shared" si="0"/>
        <v>0.6666666666666667</v>
      </c>
      <c r="O19" s="84">
        <v>3495</v>
      </c>
      <c r="P19" s="21" t="s">
        <v>149</v>
      </c>
      <c r="Q19" s="22" t="s">
        <v>93</v>
      </c>
    </row>
    <row r="20" spans="1:17" ht="14.25">
      <c r="A20" s="53" t="s">
        <v>28</v>
      </c>
      <c r="B20" s="51">
        <v>39121</v>
      </c>
      <c r="C20" s="32">
        <v>0.8180555555555555</v>
      </c>
      <c r="D20" s="39">
        <v>39121</v>
      </c>
      <c r="E20" s="32">
        <v>0.8368055555555555</v>
      </c>
      <c r="F20" s="62">
        <v>0.45</v>
      </c>
      <c r="G20" s="91" t="s">
        <v>126</v>
      </c>
      <c r="H20" s="19">
        <v>20</v>
      </c>
      <c r="I20" s="100" t="s">
        <v>73</v>
      </c>
      <c r="J20" s="80">
        <v>2003</v>
      </c>
      <c r="K20" s="77">
        <v>13.8</v>
      </c>
      <c r="L20" s="45">
        <f>1500/0.96</f>
        <v>1562.5</v>
      </c>
      <c r="M20" s="45">
        <f>1200/0.96</f>
        <v>1250</v>
      </c>
      <c r="N20" s="27">
        <f t="shared" si="0"/>
        <v>0.8</v>
      </c>
      <c r="O20" s="83">
        <v>2149</v>
      </c>
      <c r="P20" s="21" t="s">
        <v>149</v>
      </c>
      <c r="Q20" s="22" t="s">
        <v>70</v>
      </c>
    </row>
    <row r="21" spans="1:17" ht="14.25">
      <c r="A21" s="53" t="s">
        <v>29</v>
      </c>
      <c r="B21" s="51">
        <v>39122</v>
      </c>
      <c r="C21" s="32">
        <v>0.21875</v>
      </c>
      <c r="D21" s="39">
        <v>39122</v>
      </c>
      <c r="E21" s="32">
        <v>0.3888888888888889</v>
      </c>
      <c r="F21" s="59">
        <v>4.583333333333333</v>
      </c>
      <c r="G21" s="93" t="s">
        <v>72</v>
      </c>
      <c r="H21" s="58">
        <v>13</v>
      </c>
      <c r="I21" s="100" t="s">
        <v>94</v>
      </c>
      <c r="J21" s="80">
        <v>1304</v>
      </c>
      <c r="K21" s="77">
        <v>13.8</v>
      </c>
      <c r="L21" s="45">
        <f>1300/0.96</f>
        <v>1354.1666666666667</v>
      </c>
      <c r="M21" s="45">
        <f>600/0.96</f>
        <v>625</v>
      </c>
      <c r="N21" s="27">
        <f t="shared" si="0"/>
        <v>0.4615384615384615</v>
      </c>
      <c r="O21" s="84">
        <v>1500</v>
      </c>
      <c r="P21" s="21" t="s">
        <v>150</v>
      </c>
      <c r="Q21" s="22" t="s">
        <v>118</v>
      </c>
    </row>
    <row r="22" spans="1:17" ht="14.25">
      <c r="A22" s="53" t="s">
        <v>30</v>
      </c>
      <c r="B22" s="51">
        <v>39122</v>
      </c>
      <c r="C22" s="32">
        <v>0.2222222222222222</v>
      </c>
      <c r="D22" s="39">
        <v>39122</v>
      </c>
      <c r="E22" s="32">
        <v>0.4305555555555556</v>
      </c>
      <c r="F22" s="59">
        <v>5</v>
      </c>
      <c r="G22" s="93" t="s">
        <v>72</v>
      </c>
      <c r="H22" s="58">
        <v>13</v>
      </c>
      <c r="I22" s="100" t="s">
        <v>117</v>
      </c>
      <c r="J22" s="80">
        <v>131</v>
      </c>
      <c r="K22" s="77">
        <v>69</v>
      </c>
      <c r="L22" s="45">
        <f>800/0.96</f>
        <v>833.3333333333334</v>
      </c>
      <c r="M22" s="45">
        <f>400/0.96</f>
        <v>416.6666666666667</v>
      </c>
      <c r="N22" s="27">
        <f t="shared" si="0"/>
        <v>0.5</v>
      </c>
      <c r="O22" s="84">
        <v>3619</v>
      </c>
      <c r="P22" s="21" t="s">
        <v>152</v>
      </c>
      <c r="Q22" s="22" t="s">
        <v>103</v>
      </c>
    </row>
    <row r="23" spans="1:17" ht="14.25">
      <c r="A23" s="53" t="s">
        <v>31</v>
      </c>
      <c r="B23" s="51">
        <v>39122</v>
      </c>
      <c r="C23" s="32">
        <v>0.5520833333333334</v>
      </c>
      <c r="D23" s="39">
        <v>39122</v>
      </c>
      <c r="E23" s="32">
        <v>0.576388888888889</v>
      </c>
      <c r="F23" s="62">
        <v>0.5833333333333334</v>
      </c>
      <c r="G23" s="91" t="s">
        <v>129</v>
      </c>
      <c r="H23" s="19">
        <v>18</v>
      </c>
      <c r="I23" s="100" t="s">
        <v>95</v>
      </c>
      <c r="J23" s="80">
        <v>181</v>
      </c>
      <c r="K23" s="77">
        <v>69</v>
      </c>
      <c r="L23" s="45">
        <f>5600/0.96</f>
        <v>5833.333333333334</v>
      </c>
      <c r="M23" s="45">
        <f>4500/0.96</f>
        <v>4687.5</v>
      </c>
      <c r="N23" s="27">
        <f t="shared" si="0"/>
        <v>0.8035714285714285</v>
      </c>
      <c r="O23" s="84">
        <v>9097</v>
      </c>
      <c r="P23" s="21" t="s">
        <v>149</v>
      </c>
      <c r="Q23" s="22" t="s">
        <v>122</v>
      </c>
    </row>
    <row r="24" spans="1:17" ht="14.25">
      <c r="A24" s="53" t="s">
        <v>32</v>
      </c>
      <c r="B24" s="51">
        <v>39124</v>
      </c>
      <c r="C24" s="32">
        <v>0.3888888888888889</v>
      </c>
      <c r="D24" s="51">
        <v>39124</v>
      </c>
      <c r="E24" s="32">
        <v>0.5555555555555556</v>
      </c>
      <c r="F24" s="62">
        <v>4</v>
      </c>
      <c r="G24" s="91" t="s">
        <v>124</v>
      </c>
      <c r="H24" s="23">
        <v>14</v>
      </c>
      <c r="I24" s="102" t="s">
        <v>74</v>
      </c>
      <c r="J24" s="81">
        <v>142</v>
      </c>
      <c r="K24" s="77">
        <v>69</v>
      </c>
      <c r="L24" s="45">
        <f>6300/0.96</f>
        <v>6562.5</v>
      </c>
      <c r="M24" s="45">
        <f>4560/0.96</f>
        <v>4750</v>
      </c>
      <c r="N24" s="27">
        <f t="shared" si="0"/>
        <v>0.7238095238095238</v>
      </c>
      <c r="O24" s="84">
        <v>6388</v>
      </c>
      <c r="P24" s="21" t="s">
        <v>148</v>
      </c>
      <c r="Q24" s="24" t="s">
        <v>123</v>
      </c>
    </row>
    <row r="25" spans="1:17" ht="14.25">
      <c r="A25" s="53" t="s">
        <v>33</v>
      </c>
      <c r="B25" s="51">
        <v>39124</v>
      </c>
      <c r="C25" s="33">
        <v>0.5555555555555556</v>
      </c>
      <c r="D25" s="39">
        <v>39124</v>
      </c>
      <c r="E25" s="33">
        <v>0.5833333333333334</v>
      </c>
      <c r="F25" s="41">
        <v>0.6666666666666666</v>
      </c>
      <c r="G25" s="95" t="s">
        <v>124</v>
      </c>
      <c r="H25" s="69">
        <v>14</v>
      </c>
      <c r="I25" s="103" t="s">
        <v>96</v>
      </c>
      <c r="J25" s="88">
        <v>1402</v>
      </c>
      <c r="K25" s="80">
        <v>13.8</v>
      </c>
      <c r="L25" s="45">
        <f>1200/0.96</f>
        <v>1250</v>
      </c>
      <c r="M25" s="45">
        <f>650/0.96</f>
        <v>677.0833333333334</v>
      </c>
      <c r="N25" s="27">
        <f t="shared" si="0"/>
        <v>0.5416666666666667</v>
      </c>
      <c r="O25" s="84">
        <v>2027</v>
      </c>
      <c r="P25" s="21" t="s">
        <v>149</v>
      </c>
      <c r="Q25" s="25" t="s">
        <v>70</v>
      </c>
    </row>
    <row r="26" spans="1:17" ht="14.25">
      <c r="A26" s="53" t="s">
        <v>34</v>
      </c>
      <c r="B26" s="51">
        <v>39125</v>
      </c>
      <c r="C26" s="33">
        <v>0.7916666666666666</v>
      </c>
      <c r="D26" s="39">
        <v>39125</v>
      </c>
      <c r="E26" s="33">
        <v>0.8416666666666667</v>
      </c>
      <c r="F26" s="63">
        <v>1.2</v>
      </c>
      <c r="G26" s="96" t="s">
        <v>127</v>
      </c>
      <c r="H26" s="70">
        <v>21</v>
      </c>
      <c r="I26" s="103" t="s">
        <v>66</v>
      </c>
      <c r="J26" s="88" t="s">
        <v>82</v>
      </c>
      <c r="K26" s="80">
        <v>13.8</v>
      </c>
      <c r="L26" s="45">
        <f>1500/0.96</f>
        <v>1562.5</v>
      </c>
      <c r="M26" s="45">
        <f>1400/0.96</f>
        <v>1458.3333333333335</v>
      </c>
      <c r="N26" s="27">
        <f t="shared" si="0"/>
        <v>0.9333333333333335</v>
      </c>
      <c r="O26" s="84">
        <v>3619</v>
      </c>
      <c r="P26" s="21" t="s">
        <v>149</v>
      </c>
      <c r="Q26" s="25" t="s">
        <v>130</v>
      </c>
    </row>
    <row r="27" spans="1:17" ht="14.25">
      <c r="A27" s="53" t="s">
        <v>35</v>
      </c>
      <c r="B27" s="51">
        <v>39125</v>
      </c>
      <c r="C27" s="33">
        <v>0.7916666666666666</v>
      </c>
      <c r="D27" s="39">
        <v>39125</v>
      </c>
      <c r="E27" s="33">
        <v>0.8819444444444445</v>
      </c>
      <c r="F27" s="41">
        <v>2.1666666666666665</v>
      </c>
      <c r="G27" s="95" t="s">
        <v>127</v>
      </c>
      <c r="H27" s="69">
        <v>21</v>
      </c>
      <c r="I27" s="103" t="s">
        <v>67</v>
      </c>
      <c r="J27" s="88">
        <v>2102</v>
      </c>
      <c r="K27" s="77">
        <v>13.8</v>
      </c>
      <c r="L27" s="45">
        <f>1000/0.96</f>
        <v>1041.6666666666667</v>
      </c>
      <c r="M27" s="45">
        <f>1000/0.96</f>
        <v>1041.6666666666667</v>
      </c>
      <c r="N27" s="27">
        <f t="shared" si="0"/>
        <v>1</v>
      </c>
      <c r="O27" s="84">
        <v>2619</v>
      </c>
      <c r="P27" s="21" t="s">
        <v>149</v>
      </c>
      <c r="Q27" s="25" t="s">
        <v>131</v>
      </c>
    </row>
    <row r="28" spans="1:17" ht="14.25">
      <c r="A28" s="53" t="s">
        <v>36</v>
      </c>
      <c r="B28" s="51">
        <v>39126</v>
      </c>
      <c r="C28" s="33">
        <v>0.37152777777777773</v>
      </c>
      <c r="D28" s="39">
        <v>39126</v>
      </c>
      <c r="E28" s="33">
        <v>0.40972222222222227</v>
      </c>
      <c r="F28" s="41">
        <v>0.9166666666666666</v>
      </c>
      <c r="G28" s="95" t="s">
        <v>68</v>
      </c>
      <c r="H28" s="69">
        <v>11</v>
      </c>
      <c r="I28" s="103" t="s">
        <v>97</v>
      </c>
      <c r="J28" s="88">
        <v>1101</v>
      </c>
      <c r="K28" s="77">
        <v>13.8</v>
      </c>
      <c r="L28" s="45">
        <f>2800/0.96</f>
        <v>2916.666666666667</v>
      </c>
      <c r="M28" s="45">
        <f>1500/0.96</f>
        <v>1562.5</v>
      </c>
      <c r="N28" s="27">
        <f t="shared" si="0"/>
        <v>0.5357142857142857</v>
      </c>
      <c r="O28" s="84">
        <v>2000</v>
      </c>
      <c r="P28" s="21" t="s">
        <v>149</v>
      </c>
      <c r="Q28" s="26" t="s">
        <v>98</v>
      </c>
    </row>
    <row r="29" spans="1:17" ht="14.25">
      <c r="A29" s="53" t="s">
        <v>37</v>
      </c>
      <c r="B29" s="51">
        <v>39126</v>
      </c>
      <c r="C29" s="33">
        <v>0.4618055555555556</v>
      </c>
      <c r="D29" s="39">
        <v>39126</v>
      </c>
      <c r="E29" s="33">
        <v>0.4666666666666666</v>
      </c>
      <c r="F29" s="41">
        <v>0.11666666666666667</v>
      </c>
      <c r="G29" s="95" t="s">
        <v>72</v>
      </c>
      <c r="H29" s="69">
        <v>13</v>
      </c>
      <c r="I29" s="103" t="s">
        <v>80</v>
      </c>
      <c r="J29" s="88">
        <v>1301</v>
      </c>
      <c r="K29" s="80">
        <v>13.8</v>
      </c>
      <c r="L29" s="45">
        <f>1500/0.96</f>
        <v>1562.5</v>
      </c>
      <c r="M29" s="45">
        <f>700/0.96</f>
        <v>729.1666666666667</v>
      </c>
      <c r="N29" s="27">
        <f t="shared" si="0"/>
        <v>0.46666666666666673</v>
      </c>
      <c r="O29" s="84">
        <v>2368</v>
      </c>
      <c r="P29" s="27" t="s">
        <v>153</v>
      </c>
      <c r="Q29" s="28" t="s">
        <v>99</v>
      </c>
    </row>
    <row r="30" spans="1:17" ht="14.25">
      <c r="A30" s="53" t="s">
        <v>38</v>
      </c>
      <c r="B30" s="51">
        <v>39126</v>
      </c>
      <c r="C30" s="106">
        <v>0.2916666666666667</v>
      </c>
      <c r="D30" s="39">
        <v>39126</v>
      </c>
      <c r="E30" s="33">
        <v>0.4270833333333333</v>
      </c>
      <c r="F30" s="41">
        <v>3.25</v>
      </c>
      <c r="G30" s="95" t="s">
        <v>127</v>
      </c>
      <c r="H30" s="69">
        <v>21</v>
      </c>
      <c r="I30" s="103" t="s">
        <v>67</v>
      </c>
      <c r="J30" s="88">
        <v>2102</v>
      </c>
      <c r="K30" s="80">
        <v>13.8</v>
      </c>
      <c r="L30" s="45">
        <f>1000/0.96</f>
        <v>1041.6666666666667</v>
      </c>
      <c r="M30" s="45">
        <f>1000/0.96</f>
        <v>1041.6666666666667</v>
      </c>
      <c r="N30" s="27">
        <f t="shared" si="0"/>
        <v>1</v>
      </c>
      <c r="O30" s="84">
        <v>2619</v>
      </c>
      <c r="P30" s="27" t="s">
        <v>149</v>
      </c>
      <c r="Q30" s="28" t="s">
        <v>100</v>
      </c>
    </row>
    <row r="31" spans="1:17" ht="14.25">
      <c r="A31" s="53" t="s">
        <v>39</v>
      </c>
      <c r="B31" s="39">
        <v>39127</v>
      </c>
      <c r="C31" s="33">
        <v>0.517361111111111</v>
      </c>
      <c r="D31" s="39">
        <v>39127</v>
      </c>
      <c r="E31" s="33">
        <v>0.5208333333333334</v>
      </c>
      <c r="F31" s="41">
        <v>0.08333333333333333</v>
      </c>
      <c r="G31" s="95" t="s">
        <v>72</v>
      </c>
      <c r="H31" s="69">
        <v>13</v>
      </c>
      <c r="I31" s="103" t="s">
        <v>94</v>
      </c>
      <c r="J31" s="88">
        <v>1304</v>
      </c>
      <c r="K31" s="80">
        <v>13.8</v>
      </c>
      <c r="L31" s="45">
        <f>1300/0.96</f>
        <v>1354.1666666666667</v>
      </c>
      <c r="M31" s="45">
        <f>700/0.96</f>
        <v>729.1666666666667</v>
      </c>
      <c r="N31" s="27">
        <f t="shared" si="0"/>
        <v>0.5384615384615384</v>
      </c>
      <c r="O31" s="84">
        <v>1500</v>
      </c>
      <c r="P31" s="27" t="s">
        <v>148</v>
      </c>
      <c r="Q31" s="28" t="s">
        <v>116</v>
      </c>
    </row>
    <row r="32" spans="1:17" ht="14.25">
      <c r="A32" s="53" t="s">
        <v>40</v>
      </c>
      <c r="B32" s="51">
        <v>39127</v>
      </c>
      <c r="C32" s="33">
        <v>0.8375</v>
      </c>
      <c r="D32" s="39">
        <v>39127</v>
      </c>
      <c r="E32" s="33">
        <v>0.9791666666666666</v>
      </c>
      <c r="F32" s="41">
        <v>3.6</v>
      </c>
      <c r="G32" s="95" t="s">
        <v>125</v>
      </c>
      <c r="H32" s="69">
        <v>23</v>
      </c>
      <c r="I32" s="103" t="s">
        <v>89</v>
      </c>
      <c r="J32" s="88">
        <v>2301</v>
      </c>
      <c r="K32" s="80">
        <v>13.8</v>
      </c>
      <c r="L32" s="45">
        <f>2000/0.96</f>
        <v>2083.3333333333335</v>
      </c>
      <c r="M32" s="45">
        <f>1850/0.96</f>
        <v>1927.0833333333335</v>
      </c>
      <c r="N32" s="27">
        <f t="shared" si="0"/>
        <v>0.925</v>
      </c>
      <c r="O32" s="84">
        <v>2500</v>
      </c>
      <c r="P32" s="27" t="s">
        <v>149</v>
      </c>
      <c r="Q32" s="28" t="s">
        <v>132</v>
      </c>
    </row>
    <row r="33" spans="1:17" ht="14.25">
      <c r="A33" s="53" t="s">
        <v>41</v>
      </c>
      <c r="B33" s="51">
        <v>39128</v>
      </c>
      <c r="C33" s="33">
        <v>0.8208333333333333</v>
      </c>
      <c r="D33" s="39">
        <v>39128</v>
      </c>
      <c r="E33" s="33">
        <v>0.8868055555555556</v>
      </c>
      <c r="F33" s="41">
        <v>1.5833333333333333</v>
      </c>
      <c r="G33" s="95" t="s">
        <v>124</v>
      </c>
      <c r="H33" s="69">
        <v>14</v>
      </c>
      <c r="I33" s="103" t="s">
        <v>136</v>
      </c>
      <c r="J33" s="88">
        <v>142</v>
      </c>
      <c r="K33" s="80">
        <v>69</v>
      </c>
      <c r="L33" s="45">
        <f>6300/0.96</f>
        <v>6562.5</v>
      </c>
      <c r="M33" s="45">
        <f>6000/0.96</f>
        <v>6250</v>
      </c>
      <c r="N33" s="27">
        <f t="shared" si="0"/>
        <v>0.9523809523809523</v>
      </c>
      <c r="O33" s="84">
        <v>6388</v>
      </c>
      <c r="P33" s="27" t="s">
        <v>149</v>
      </c>
      <c r="Q33" s="28" t="s">
        <v>101</v>
      </c>
    </row>
    <row r="34" spans="1:17" ht="14.25">
      <c r="A34" s="53" t="s">
        <v>42</v>
      </c>
      <c r="B34" s="51">
        <v>39128</v>
      </c>
      <c r="C34" s="33">
        <v>0.8868055555555556</v>
      </c>
      <c r="D34" s="39">
        <v>39129</v>
      </c>
      <c r="E34" s="33">
        <v>0.35625</v>
      </c>
      <c r="F34" s="41">
        <v>11.26</v>
      </c>
      <c r="G34" s="95" t="s">
        <v>133</v>
      </c>
      <c r="H34" s="69">
        <v>15</v>
      </c>
      <c r="I34" s="103" t="s">
        <v>137</v>
      </c>
      <c r="J34" s="88">
        <v>152</v>
      </c>
      <c r="K34" s="80">
        <v>69</v>
      </c>
      <c r="L34" s="45">
        <f>3200/0.96</f>
        <v>3333.3333333333335</v>
      </c>
      <c r="M34" s="45">
        <f>3200/0.96</f>
        <v>3333.3333333333335</v>
      </c>
      <c r="N34" s="27">
        <f t="shared" si="0"/>
        <v>1</v>
      </c>
      <c r="O34" s="84">
        <v>4256</v>
      </c>
      <c r="P34" s="27" t="s">
        <v>149</v>
      </c>
      <c r="Q34" s="28" t="s">
        <v>138</v>
      </c>
    </row>
    <row r="35" spans="1:17" ht="14.25">
      <c r="A35" s="53" t="s">
        <v>43</v>
      </c>
      <c r="B35" s="51">
        <v>39129</v>
      </c>
      <c r="C35" s="33">
        <v>0.6520833333333333</v>
      </c>
      <c r="D35" s="39">
        <v>39129</v>
      </c>
      <c r="E35" s="33">
        <v>0.7423611111111111</v>
      </c>
      <c r="F35" s="41">
        <v>2.1666666666666665</v>
      </c>
      <c r="G35" s="95" t="s">
        <v>72</v>
      </c>
      <c r="H35" s="69">
        <v>13</v>
      </c>
      <c r="I35" s="103" t="s">
        <v>102</v>
      </c>
      <c r="J35" s="88">
        <v>1302</v>
      </c>
      <c r="K35" s="80">
        <v>13.8</v>
      </c>
      <c r="L35" s="45">
        <f>3700/0.96</f>
        <v>3854.166666666667</v>
      </c>
      <c r="M35" s="45">
        <f>2160/0.96</f>
        <v>2250</v>
      </c>
      <c r="N35" s="27">
        <f t="shared" si="0"/>
        <v>0.5837837837837837</v>
      </c>
      <c r="O35" s="84">
        <v>2895</v>
      </c>
      <c r="P35" s="27" t="s">
        <v>150</v>
      </c>
      <c r="Q35" s="28" t="s">
        <v>139</v>
      </c>
    </row>
    <row r="36" spans="1:17" ht="14.25">
      <c r="A36" s="65" t="s">
        <v>44</v>
      </c>
      <c r="B36" s="52">
        <v>39129</v>
      </c>
      <c r="C36" s="32">
        <v>0.7847222222222222</v>
      </c>
      <c r="D36" s="44">
        <v>39129</v>
      </c>
      <c r="E36" s="32">
        <v>0.8236111111111111</v>
      </c>
      <c r="F36" s="62">
        <v>0.9333333333333333</v>
      </c>
      <c r="G36" s="91" t="s">
        <v>129</v>
      </c>
      <c r="H36" s="19">
        <v>18</v>
      </c>
      <c r="I36" s="100" t="s">
        <v>71</v>
      </c>
      <c r="J36" s="80">
        <v>1802</v>
      </c>
      <c r="K36" s="80">
        <v>13.8</v>
      </c>
      <c r="L36" s="45">
        <f>2500/0.96</f>
        <v>2604.166666666667</v>
      </c>
      <c r="M36" s="45">
        <f>2300/0.96</f>
        <v>2395.8333333333335</v>
      </c>
      <c r="N36" s="27">
        <f t="shared" si="0"/>
        <v>0.9199999999999999</v>
      </c>
      <c r="O36" s="83">
        <v>1836</v>
      </c>
      <c r="P36" s="27" t="s">
        <v>149</v>
      </c>
      <c r="Q36" s="47" t="s">
        <v>77</v>
      </c>
    </row>
    <row r="37" spans="1:17" ht="14.25">
      <c r="A37" s="53" t="s">
        <v>45</v>
      </c>
      <c r="B37" s="51">
        <v>39129</v>
      </c>
      <c r="C37" s="33">
        <v>0.8</v>
      </c>
      <c r="D37" s="39">
        <v>39129</v>
      </c>
      <c r="E37" s="33">
        <v>0.8569444444444444</v>
      </c>
      <c r="F37" s="41">
        <v>1.3666666666666667</v>
      </c>
      <c r="G37" s="95" t="s">
        <v>133</v>
      </c>
      <c r="H37" s="69">
        <v>15</v>
      </c>
      <c r="I37" s="103" t="s">
        <v>66</v>
      </c>
      <c r="J37" s="88" t="s">
        <v>83</v>
      </c>
      <c r="K37" s="80">
        <v>13.8</v>
      </c>
      <c r="L37" s="45">
        <f>3000/0.96</f>
        <v>3125</v>
      </c>
      <c r="M37" s="45">
        <f>2900/0.96</f>
        <v>3020.8333333333335</v>
      </c>
      <c r="N37" s="27">
        <f t="shared" si="0"/>
        <v>0.9666666666666667</v>
      </c>
      <c r="O37" s="84">
        <v>2132</v>
      </c>
      <c r="P37" s="27" t="s">
        <v>152</v>
      </c>
      <c r="Q37" s="28" t="s">
        <v>103</v>
      </c>
    </row>
    <row r="38" spans="1:17" ht="14.25">
      <c r="A38" s="53" t="s">
        <v>46</v>
      </c>
      <c r="B38" s="52">
        <v>39129</v>
      </c>
      <c r="C38" s="32">
        <v>0.8611111111111112</v>
      </c>
      <c r="D38" s="44">
        <v>39129</v>
      </c>
      <c r="E38" s="32">
        <v>0.8770833333333333</v>
      </c>
      <c r="F38" s="62">
        <v>0.7166666666666667</v>
      </c>
      <c r="G38" s="91" t="s">
        <v>68</v>
      </c>
      <c r="H38" s="19">
        <v>11</v>
      </c>
      <c r="I38" s="100" t="s">
        <v>104</v>
      </c>
      <c r="J38" s="80">
        <v>1104</v>
      </c>
      <c r="K38" s="80">
        <v>13.8</v>
      </c>
      <c r="L38" s="45">
        <f>4200/0.96</f>
        <v>4375</v>
      </c>
      <c r="M38" s="45">
        <f>4000/0.96</f>
        <v>4166.666666666667</v>
      </c>
      <c r="N38" s="27">
        <f t="shared" si="0"/>
        <v>0.9523809523809524</v>
      </c>
      <c r="O38" s="84">
        <v>1500</v>
      </c>
      <c r="P38" s="27" t="s">
        <v>152</v>
      </c>
      <c r="Q38" s="28" t="s">
        <v>103</v>
      </c>
    </row>
    <row r="39" spans="1:17" ht="14.25">
      <c r="A39" s="65" t="s">
        <v>47</v>
      </c>
      <c r="B39" s="52">
        <v>39129</v>
      </c>
      <c r="C39" s="32">
        <v>0.8847222222222223</v>
      </c>
      <c r="D39" s="44">
        <v>39129</v>
      </c>
      <c r="E39" s="32">
        <v>0.904861111111111</v>
      </c>
      <c r="F39" s="59">
        <v>0.48333333333333334</v>
      </c>
      <c r="G39" s="93" t="s">
        <v>75</v>
      </c>
      <c r="H39" s="58">
        <v>17</v>
      </c>
      <c r="I39" s="100" t="s">
        <v>105</v>
      </c>
      <c r="J39" s="80">
        <v>171</v>
      </c>
      <c r="K39" s="80">
        <v>69</v>
      </c>
      <c r="L39" s="45">
        <f>19260/0.96</f>
        <v>20062.5</v>
      </c>
      <c r="M39" s="45">
        <f>16500/0.96</f>
        <v>17187.5</v>
      </c>
      <c r="N39" s="27">
        <f t="shared" si="0"/>
        <v>0.8566978193146417</v>
      </c>
      <c r="O39" s="83">
        <v>32057</v>
      </c>
      <c r="P39" s="27" t="s">
        <v>152</v>
      </c>
      <c r="Q39" s="47" t="s">
        <v>103</v>
      </c>
    </row>
    <row r="40" spans="1:17" ht="14.25">
      <c r="A40" s="53" t="s">
        <v>48</v>
      </c>
      <c r="B40" s="51">
        <v>39129</v>
      </c>
      <c r="C40" s="42">
        <v>0.8722222222222222</v>
      </c>
      <c r="D40" s="44">
        <v>39129</v>
      </c>
      <c r="E40" s="42">
        <v>0.8944444444444444</v>
      </c>
      <c r="F40" s="64">
        <v>0.5333333333333333</v>
      </c>
      <c r="G40" s="97" t="s">
        <v>124</v>
      </c>
      <c r="H40" s="71">
        <v>14</v>
      </c>
      <c r="I40" s="104" t="s">
        <v>84</v>
      </c>
      <c r="J40" s="89">
        <v>1403</v>
      </c>
      <c r="K40" s="81">
        <v>13.8</v>
      </c>
      <c r="L40" s="45">
        <f>800/0.96</f>
        <v>833.3333333333334</v>
      </c>
      <c r="M40" s="45">
        <f>700/0.96</f>
        <v>729.1666666666667</v>
      </c>
      <c r="N40" s="27">
        <f t="shared" si="0"/>
        <v>0.875</v>
      </c>
      <c r="O40" s="84">
        <v>2099</v>
      </c>
      <c r="P40" s="21" t="s">
        <v>152</v>
      </c>
      <c r="Q40" s="43" t="s">
        <v>103</v>
      </c>
    </row>
    <row r="41" spans="1:17" ht="14.25">
      <c r="A41" s="53" t="s">
        <v>49</v>
      </c>
      <c r="B41" s="51">
        <v>39130</v>
      </c>
      <c r="C41" s="33">
        <v>0.20833333333333334</v>
      </c>
      <c r="D41" s="44">
        <v>39130</v>
      </c>
      <c r="E41" s="33">
        <v>0.4201388888888889</v>
      </c>
      <c r="F41" s="63">
        <v>5.083333333333333</v>
      </c>
      <c r="G41" s="96" t="s">
        <v>126</v>
      </c>
      <c r="H41" s="70">
        <v>20</v>
      </c>
      <c r="I41" s="103" t="s">
        <v>106</v>
      </c>
      <c r="J41" s="88">
        <v>2003</v>
      </c>
      <c r="K41" s="80">
        <v>13.8</v>
      </c>
      <c r="L41" s="45">
        <f>1500/0.96</f>
        <v>1562.5</v>
      </c>
      <c r="M41" s="45">
        <f>800/0.96</f>
        <v>833.3333333333334</v>
      </c>
      <c r="N41" s="27">
        <f t="shared" si="0"/>
        <v>0.5333333333333333</v>
      </c>
      <c r="O41" s="84">
        <v>2149</v>
      </c>
      <c r="P41" s="27" t="s">
        <v>152</v>
      </c>
      <c r="Q41" s="28" t="s">
        <v>103</v>
      </c>
    </row>
    <row r="42" spans="1:17" ht="14.25">
      <c r="A42" s="53" t="s">
        <v>65</v>
      </c>
      <c r="B42" s="51">
        <v>39130</v>
      </c>
      <c r="C42" s="33">
        <v>0.43402777777777773</v>
      </c>
      <c r="D42" s="39">
        <v>39130</v>
      </c>
      <c r="E42" s="33">
        <v>0.4909722222222222</v>
      </c>
      <c r="F42" s="41">
        <v>1.3666666666666667</v>
      </c>
      <c r="G42" s="95" t="s">
        <v>124</v>
      </c>
      <c r="H42" s="69">
        <v>14</v>
      </c>
      <c r="I42" s="103" t="s">
        <v>84</v>
      </c>
      <c r="J42" s="88">
        <v>1403</v>
      </c>
      <c r="K42" s="80">
        <v>13.8</v>
      </c>
      <c r="L42" s="45">
        <f>800/0.96</f>
        <v>833.3333333333334</v>
      </c>
      <c r="M42" s="45">
        <f>500/0.96</f>
        <v>520.8333333333334</v>
      </c>
      <c r="N42" s="27">
        <f t="shared" si="0"/>
        <v>0.625</v>
      </c>
      <c r="O42" s="84">
        <v>2099</v>
      </c>
      <c r="P42" s="27" t="s">
        <v>149</v>
      </c>
      <c r="Q42" s="28" t="s">
        <v>70</v>
      </c>
    </row>
    <row r="43" spans="1:17" ht="14.25">
      <c r="A43" s="53" t="s">
        <v>50</v>
      </c>
      <c r="B43" s="52">
        <v>39130</v>
      </c>
      <c r="C43" s="32">
        <v>0.43402777777777773</v>
      </c>
      <c r="D43" s="44">
        <v>39130</v>
      </c>
      <c r="E43" s="32">
        <v>0.4444444444444444</v>
      </c>
      <c r="F43" s="62">
        <v>0.25</v>
      </c>
      <c r="G43" s="91" t="s">
        <v>124</v>
      </c>
      <c r="H43" s="19">
        <v>14</v>
      </c>
      <c r="I43" s="100" t="s">
        <v>96</v>
      </c>
      <c r="J43" s="80">
        <v>1402</v>
      </c>
      <c r="K43" s="80">
        <v>13.8</v>
      </c>
      <c r="L43" s="45">
        <f>1200/0.96</f>
        <v>1250</v>
      </c>
      <c r="M43" s="45">
        <f>700/0.96</f>
        <v>729.1666666666667</v>
      </c>
      <c r="N43" s="27">
        <f t="shared" si="0"/>
        <v>0.5833333333333334</v>
      </c>
      <c r="O43" s="83">
        <v>2027</v>
      </c>
      <c r="P43" s="27" t="s">
        <v>149</v>
      </c>
      <c r="Q43" s="47" t="s">
        <v>140</v>
      </c>
    </row>
    <row r="44" spans="1:17" ht="14.25">
      <c r="A44" s="53" t="s">
        <v>51</v>
      </c>
      <c r="B44" s="52">
        <v>39132</v>
      </c>
      <c r="C44" s="73">
        <v>0.2916666666666667</v>
      </c>
      <c r="D44" s="44">
        <v>39132</v>
      </c>
      <c r="E44" s="32">
        <v>0.44097222222222227</v>
      </c>
      <c r="F44" s="62">
        <v>3.5833333333333335</v>
      </c>
      <c r="G44" s="91" t="s">
        <v>129</v>
      </c>
      <c r="H44" s="19">
        <v>18</v>
      </c>
      <c r="I44" s="100" t="s">
        <v>107</v>
      </c>
      <c r="J44" s="80">
        <v>182</v>
      </c>
      <c r="K44" s="80">
        <v>69</v>
      </c>
      <c r="L44" s="45">
        <f>5200/0.96</f>
        <v>5416.666666666667</v>
      </c>
      <c r="M44" s="45">
        <f>4100/0.96</f>
        <v>4270.833333333334</v>
      </c>
      <c r="N44" s="27">
        <f t="shared" si="0"/>
        <v>0.7884615384615385</v>
      </c>
      <c r="O44" s="83">
        <v>6134</v>
      </c>
      <c r="P44" s="27" t="s">
        <v>149</v>
      </c>
      <c r="Q44" s="47" t="s">
        <v>141</v>
      </c>
    </row>
    <row r="45" spans="1:17" ht="14.25">
      <c r="A45" s="53" t="s">
        <v>52</v>
      </c>
      <c r="B45" s="52">
        <v>39133</v>
      </c>
      <c r="C45" s="32">
        <v>0.7583333333333333</v>
      </c>
      <c r="D45" s="44">
        <v>39133</v>
      </c>
      <c r="E45" s="32">
        <v>0.7743055555555555</v>
      </c>
      <c r="F45" s="62">
        <v>0.38333333333333336</v>
      </c>
      <c r="G45" s="91" t="s">
        <v>75</v>
      </c>
      <c r="H45" s="19">
        <v>17</v>
      </c>
      <c r="I45" s="100" t="s">
        <v>105</v>
      </c>
      <c r="J45" s="80">
        <v>171</v>
      </c>
      <c r="K45" s="80">
        <v>69</v>
      </c>
      <c r="L45" s="45">
        <f>19600/0.96</f>
        <v>20416.666666666668</v>
      </c>
      <c r="M45" s="45">
        <f>18000/0.96</f>
        <v>18750</v>
      </c>
      <c r="N45" s="27">
        <f t="shared" si="0"/>
        <v>0.9183673469387754</v>
      </c>
      <c r="O45" s="83">
        <v>32057</v>
      </c>
      <c r="P45" s="27" t="s">
        <v>152</v>
      </c>
      <c r="Q45" s="47" t="s">
        <v>103</v>
      </c>
    </row>
    <row r="46" spans="1:17" ht="14.25">
      <c r="A46" s="53" t="s">
        <v>53</v>
      </c>
      <c r="B46" s="52">
        <v>39134</v>
      </c>
      <c r="C46" s="32">
        <v>0.625</v>
      </c>
      <c r="D46" s="39">
        <v>39134</v>
      </c>
      <c r="E46" s="32">
        <v>0.6736111111111112</v>
      </c>
      <c r="F46" s="62">
        <v>1.1666666666666667</v>
      </c>
      <c r="G46" s="91" t="s">
        <v>124</v>
      </c>
      <c r="H46" s="19">
        <v>14</v>
      </c>
      <c r="I46" s="100" t="s">
        <v>108</v>
      </c>
      <c r="J46" s="80">
        <v>1405</v>
      </c>
      <c r="K46" s="80">
        <v>13.8</v>
      </c>
      <c r="L46" s="45">
        <f>1200/0.96</f>
        <v>1250</v>
      </c>
      <c r="M46" s="45">
        <f>650/0.96</f>
        <v>677.0833333333334</v>
      </c>
      <c r="N46" s="27">
        <f t="shared" si="0"/>
        <v>0.5416666666666667</v>
      </c>
      <c r="O46" s="83">
        <v>3495</v>
      </c>
      <c r="P46" s="27" t="s">
        <v>150</v>
      </c>
      <c r="Q46" s="47" t="s">
        <v>142</v>
      </c>
    </row>
    <row r="47" spans="1:17" ht="14.25">
      <c r="A47" s="53" t="s">
        <v>54</v>
      </c>
      <c r="B47" s="52">
        <v>39134</v>
      </c>
      <c r="C47" s="32">
        <v>0.8229166666666666</v>
      </c>
      <c r="D47" s="44">
        <v>39134</v>
      </c>
      <c r="E47" s="32">
        <v>0.8611111111111112</v>
      </c>
      <c r="F47" s="62">
        <v>0.9166666666666666</v>
      </c>
      <c r="G47" s="91" t="s">
        <v>134</v>
      </c>
      <c r="H47" s="19">
        <v>19</v>
      </c>
      <c r="I47" s="100" t="s">
        <v>81</v>
      </c>
      <c r="J47" s="80">
        <v>1901</v>
      </c>
      <c r="K47" s="80">
        <v>13.8</v>
      </c>
      <c r="L47" s="45">
        <f>3100/0.96</f>
        <v>3229.166666666667</v>
      </c>
      <c r="M47" s="45">
        <f>3000/0.96</f>
        <v>3125</v>
      </c>
      <c r="N47" s="27">
        <f t="shared" si="0"/>
        <v>0.9677419354838709</v>
      </c>
      <c r="O47" s="83">
        <v>5727</v>
      </c>
      <c r="P47" s="27" t="s">
        <v>149</v>
      </c>
      <c r="Q47" s="47" t="s">
        <v>70</v>
      </c>
    </row>
    <row r="48" spans="1:17" ht="14.25">
      <c r="A48" s="53" t="s">
        <v>55</v>
      </c>
      <c r="B48" s="44">
        <v>39134</v>
      </c>
      <c r="C48" s="32">
        <v>0.8402777777777778</v>
      </c>
      <c r="D48" s="52">
        <v>39134</v>
      </c>
      <c r="E48" s="73">
        <v>0.8541666666666666</v>
      </c>
      <c r="F48" s="62">
        <v>0.3333333333333333</v>
      </c>
      <c r="G48" s="91" t="s">
        <v>126</v>
      </c>
      <c r="H48" s="19">
        <v>20</v>
      </c>
      <c r="I48" s="100" t="s">
        <v>106</v>
      </c>
      <c r="J48" s="80">
        <v>2003</v>
      </c>
      <c r="K48" s="80">
        <v>13.8</v>
      </c>
      <c r="L48" s="45">
        <f>1500/0.96</f>
        <v>1562.5</v>
      </c>
      <c r="M48" s="45">
        <f>1500/0.96</f>
        <v>1562.5</v>
      </c>
      <c r="N48" s="27">
        <f t="shared" si="0"/>
        <v>1</v>
      </c>
      <c r="O48" s="83">
        <v>2822</v>
      </c>
      <c r="P48" s="27" t="s">
        <v>150</v>
      </c>
      <c r="Q48" s="47" t="s">
        <v>143</v>
      </c>
    </row>
    <row r="49" spans="1:17" ht="14.25">
      <c r="A49" s="53" t="s">
        <v>56</v>
      </c>
      <c r="B49" s="44">
        <v>39135</v>
      </c>
      <c r="C49" s="32">
        <v>0.3020833333333333</v>
      </c>
      <c r="D49" s="52">
        <v>39135</v>
      </c>
      <c r="E49" s="32">
        <v>0.3229166666666667</v>
      </c>
      <c r="F49" s="62">
        <v>0.5</v>
      </c>
      <c r="G49" s="91" t="s">
        <v>68</v>
      </c>
      <c r="H49" s="19">
        <v>11</v>
      </c>
      <c r="I49" s="100" t="s">
        <v>109</v>
      </c>
      <c r="J49" s="80">
        <v>1109</v>
      </c>
      <c r="K49" s="80">
        <v>13.8</v>
      </c>
      <c r="L49" s="45">
        <f>3100/0.96</f>
        <v>3229.166666666667</v>
      </c>
      <c r="M49" s="45">
        <f>2500/0.96</f>
        <v>2604.166666666667</v>
      </c>
      <c r="N49" s="27">
        <f t="shared" si="0"/>
        <v>0.8064516129032259</v>
      </c>
      <c r="O49" s="83">
        <v>3500</v>
      </c>
      <c r="P49" s="27" t="s">
        <v>153</v>
      </c>
      <c r="Q49" s="47" t="s">
        <v>157</v>
      </c>
    </row>
    <row r="50" spans="1:17" ht="14.25">
      <c r="A50" s="53" t="s">
        <v>57</v>
      </c>
      <c r="B50" s="44">
        <v>39138</v>
      </c>
      <c r="C50" s="32">
        <v>0.2916666666666667</v>
      </c>
      <c r="D50" s="52">
        <v>39138</v>
      </c>
      <c r="E50" s="32">
        <v>0.3958333333333333</v>
      </c>
      <c r="F50" s="62">
        <v>2.5</v>
      </c>
      <c r="G50" s="91" t="s">
        <v>124</v>
      </c>
      <c r="H50" s="19">
        <v>14</v>
      </c>
      <c r="I50" s="100" t="s">
        <v>108</v>
      </c>
      <c r="J50" s="80">
        <v>1405</v>
      </c>
      <c r="K50" s="80">
        <v>13.8</v>
      </c>
      <c r="L50" s="45">
        <f>1200/0.96</f>
        <v>1250</v>
      </c>
      <c r="M50" s="45">
        <f>700/0.96</f>
        <v>729.1666666666667</v>
      </c>
      <c r="N50" s="27">
        <f t="shared" si="0"/>
        <v>0.5833333333333334</v>
      </c>
      <c r="O50" s="83">
        <v>3495</v>
      </c>
      <c r="P50" s="27" t="s">
        <v>150</v>
      </c>
      <c r="Q50" s="47" t="s">
        <v>85</v>
      </c>
    </row>
    <row r="51" spans="1:17" ht="14.25">
      <c r="A51" s="53" t="s">
        <v>58</v>
      </c>
      <c r="B51" s="44">
        <v>39139</v>
      </c>
      <c r="C51" s="32">
        <v>0.25</v>
      </c>
      <c r="D51" s="44">
        <v>39139</v>
      </c>
      <c r="E51" s="32">
        <v>0.40625</v>
      </c>
      <c r="F51" s="62">
        <v>3.75</v>
      </c>
      <c r="G51" s="91" t="s">
        <v>124</v>
      </c>
      <c r="H51" s="19">
        <v>14</v>
      </c>
      <c r="I51" s="100" t="s">
        <v>108</v>
      </c>
      <c r="J51" s="80">
        <v>1405</v>
      </c>
      <c r="K51" s="80">
        <v>13.8</v>
      </c>
      <c r="L51" s="45">
        <f>1200/0.96</f>
        <v>1250</v>
      </c>
      <c r="M51" s="45">
        <f>650/0.96</f>
        <v>677.0833333333334</v>
      </c>
      <c r="N51" s="27">
        <f t="shared" si="0"/>
        <v>0.5416666666666667</v>
      </c>
      <c r="O51" s="83">
        <v>3495</v>
      </c>
      <c r="P51" s="27" t="s">
        <v>150</v>
      </c>
      <c r="Q51" s="47" t="s">
        <v>79</v>
      </c>
    </row>
    <row r="52" spans="1:17" ht="14.25">
      <c r="A52" s="53" t="s">
        <v>59</v>
      </c>
      <c r="B52" s="44">
        <v>39140</v>
      </c>
      <c r="C52" s="33">
        <v>0.2847222222222222</v>
      </c>
      <c r="D52" s="44">
        <v>39140</v>
      </c>
      <c r="E52" s="32">
        <v>0.4236111111111111</v>
      </c>
      <c r="F52" s="62">
        <v>3.1666666666666665</v>
      </c>
      <c r="G52" s="91" t="s">
        <v>124</v>
      </c>
      <c r="H52" s="19">
        <v>14</v>
      </c>
      <c r="I52" s="100" t="s">
        <v>110</v>
      </c>
      <c r="J52" s="80">
        <v>142</v>
      </c>
      <c r="K52" s="80">
        <v>69</v>
      </c>
      <c r="L52" s="45">
        <f>6300/0.96</f>
        <v>6562.5</v>
      </c>
      <c r="M52" s="45">
        <f>5450/0.96</f>
        <v>5677.083333333334</v>
      </c>
      <c r="N52" s="27">
        <f t="shared" si="0"/>
        <v>0.8650793650793652</v>
      </c>
      <c r="O52" s="83">
        <v>6388</v>
      </c>
      <c r="P52" s="27" t="s">
        <v>154</v>
      </c>
      <c r="Q52" s="47" t="s">
        <v>155</v>
      </c>
    </row>
    <row r="53" spans="1:17" ht="14.25">
      <c r="A53" s="53" t="s">
        <v>60</v>
      </c>
      <c r="B53" s="44">
        <v>39140</v>
      </c>
      <c r="C53" s="33">
        <v>0.2916666666666667</v>
      </c>
      <c r="D53" s="44">
        <v>39140</v>
      </c>
      <c r="E53" s="32">
        <v>0.3923611111111111</v>
      </c>
      <c r="F53" s="62">
        <v>2.4166666666666665</v>
      </c>
      <c r="G53" s="91" t="s">
        <v>135</v>
      </c>
      <c r="H53" s="19">
        <v>22</v>
      </c>
      <c r="I53" s="100" t="s">
        <v>111</v>
      </c>
      <c r="J53" s="80">
        <v>221</v>
      </c>
      <c r="K53" s="80">
        <v>69</v>
      </c>
      <c r="L53" s="45">
        <f>2800/0.96</f>
        <v>2916.666666666667</v>
      </c>
      <c r="M53" s="45">
        <f>1500/0.96</f>
        <v>1562.5</v>
      </c>
      <c r="N53" s="27">
        <f t="shared" si="0"/>
        <v>0.5357142857142857</v>
      </c>
      <c r="O53" s="83">
        <v>2500</v>
      </c>
      <c r="P53" s="27" t="s">
        <v>149</v>
      </c>
      <c r="Q53" s="47" t="s">
        <v>146</v>
      </c>
    </row>
    <row r="54" spans="1:17" ht="14.25">
      <c r="A54" s="53" t="s">
        <v>61</v>
      </c>
      <c r="B54" s="44">
        <v>39140</v>
      </c>
      <c r="C54" s="33">
        <v>0.3923611111111111</v>
      </c>
      <c r="D54" s="44">
        <v>39140</v>
      </c>
      <c r="E54" s="32">
        <v>0.5243055555555556</v>
      </c>
      <c r="F54" s="62">
        <v>3.16</v>
      </c>
      <c r="G54" s="91" t="s">
        <v>125</v>
      </c>
      <c r="H54" s="19">
        <v>23</v>
      </c>
      <c r="I54" s="100" t="s">
        <v>112</v>
      </c>
      <c r="J54" s="80">
        <v>2302</v>
      </c>
      <c r="K54" s="80">
        <v>13.8</v>
      </c>
      <c r="L54" s="45">
        <f>800/0.96</f>
        <v>833.3333333333334</v>
      </c>
      <c r="M54" s="45">
        <f>500/0.96</f>
        <v>520.8333333333334</v>
      </c>
      <c r="N54" s="27">
        <f t="shared" si="0"/>
        <v>0.625</v>
      </c>
      <c r="O54" s="83">
        <v>500</v>
      </c>
      <c r="P54" s="27" t="s">
        <v>149</v>
      </c>
      <c r="Q54" s="47" t="s">
        <v>113</v>
      </c>
    </row>
    <row r="55" spans="1:17" ht="14.25">
      <c r="A55" s="53" t="s">
        <v>62</v>
      </c>
      <c r="B55" s="44">
        <v>39140</v>
      </c>
      <c r="C55" s="32">
        <v>0.3333333333333333</v>
      </c>
      <c r="D55" s="44">
        <v>39140</v>
      </c>
      <c r="E55" s="32">
        <v>0.42569444444444443</v>
      </c>
      <c r="F55" s="62">
        <v>2.216666666666667</v>
      </c>
      <c r="G55" s="91" t="s">
        <v>133</v>
      </c>
      <c r="H55" s="19">
        <v>15</v>
      </c>
      <c r="I55" s="100" t="s">
        <v>114</v>
      </c>
      <c r="J55" s="80">
        <v>1502</v>
      </c>
      <c r="K55" s="80">
        <v>13.8</v>
      </c>
      <c r="L55" s="45">
        <f>1500/0.96</f>
        <v>1562.5</v>
      </c>
      <c r="M55" s="45">
        <f>600/0.96</f>
        <v>625</v>
      </c>
      <c r="N55" s="27">
        <f t="shared" si="0"/>
        <v>0.4</v>
      </c>
      <c r="O55" s="83">
        <v>53</v>
      </c>
      <c r="P55" s="27" t="s">
        <v>149</v>
      </c>
      <c r="Q55" s="47" t="s">
        <v>70</v>
      </c>
    </row>
    <row r="56" spans="1:17" ht="14.25">
      <c r="A56" s="53" t="s">
        <v>63</v>
      </c>
      <c r="B56" s="44">
        <v>39140</v>
      </c>
      <c r="C56" s="32">
        <v>0.49652777777777773</v>
      </c>
      <c r="D56" s="44">
        <v>39140</v>
      </c>
      <c r="E56" s="32">
        <v>0.5381944444444444</v>
      </c>
      <c r="F56" s="62">
        <v>1</v>
      </c>
      <c r="G56" s="91" t="s">
        <v>124</v>
      </c>
      <c r="H56" s="19">
        <v>14</v>
      </c>
      <c r="I56" s="100" t="s">
        <v>108</v>
      </c>
      <c r="J56" s="80">
        <v>1405</v>
      </c>
      <c r="K56" s="80">
        <v>13.8</v>
      </c>
      <c r="L56" s="45">
        <f>1200/0.96</f>
        <v>1250</v>
      </c>
      <c r="M56" s="45">
        <f>650/0.96</f>
        <v>677.0833333333334</v>
      </c>
      <c r="N56" s="27">
        <f t="shared" si="0"/>
        <v>0.5416666666666667</v>
      </c>
      <c r="O56" s="83">
        <v>3495</v>
      </c>
      <c r="P56" s="27" t="s">
        <v>149</v>
      </c>
      <c r="Q56" s="47" t="s">
        <v>77</v>
      </c>
    </row>
    <row r="57" spans="1:17" ht="15" thickBot="1">
      <c r="A57" s="66" t="s">
        <v>64</v>
      </c>
      <c r="B57" s="75">
        <v>39141</v>
      </c>
      <c r="C57" s="34">
        <v>0.5416666666666666</v>
      </c>
      <c r="D57" s="75">
        <v>39141</v>
      </c>
      <c r="E57" s="34">
        <v>0.5659722222222222</v>
      </c>
      <c r="F57" s="67">
        <v>0.5833333333333334</v>
      </c>
      <c r="G57" s="98" t="s">
        <v>129</v>
      </c>
      <c r="H57" s="72">
        <v>18</v>
      </c>
      <c r="I57" s="105" t="s">
        <v>71</v>
      </c>
      <c r="J57" s="82">
        <v>1802</v>
      </c>
      <c r="K57" s="82">
        <v>13.8</v>
      </c>
      <c r="L57" s="54">
        <f>2500/0.96</f>
        <v>2604.166666666667</v>
      </c>
      <c r="M57" s="54">
        <f>1600/0.96</f>
        <v>1666.6666666666667</v>
      </c>
      <c r="N57" s="29">
        <f t="shared" si="0"/>
        <v>0.6399999999999999</v>
      </c>
      <c r="O57" s="86">
        <v>1836</v>
      </c>
      <c r="P57" s="29" t="s">
        <v>153</v>
      </c>
      <c r="Q57" s="55" t="s">
        <v>147</v>
      </c>
    </row>
    <row r="58" spans="1:17" ht="14.25">
      <c r="A58" s="2"/>
      <c r="B58" s="2"/>
      <c r="C58" s="2"/>
      <c r="D58" s="2"/>
      <c r="E58" s="2"/>
      <c r="F58" s="2"/>
      <c r="G58" s="2"/>
      <c r="H58" s="2"/>
      <c r="I58" s="2"/>
      <c r="J58" s="2"/>
      <c r="K58" s="2"/>
      <c r="L58" s="2"/>
      <c r="M58" s="35"/>
      <c r="N58" s="36"/>
      <c r="O58" s="36"/>
      <c r="P58" s="37"/>
      <c r="Q58" s="38"/>
    </row>
    <row r="59" spans="1:17" ht="14.25">
      <c r="A59" s="2"/>
      <c r="B59" s="2"/>
      <c r="C59" s="2"/>
      <c r="D59" s="2"/>
      <c r="E59" s="2"/>
      <c r="F59" s="2"/>
      <c r="G59" s="2"/>
      <c r="H59" s="2"/>
      <c r="I59" s="2"/>
      <c r="J59" s="2"/>
      <c r="K59" s="2"/>
      <c r="L59" s="2"/>
      <c r="M59" s="35"/>
      <c r="N59" s="36"/>
      <c r="O59" s="36"/>
      <c r="P59" s="37"/>
      <c r="Q59" s="38"/>
    </row>
    <row r="60" spans="1:17" ht="14.25">
      <c r="A60" s="2"/>
      <c r="B60" s="2"/>
      <c r="C60" s="2"/>
      <c r="D60" s="2"/>
      <c r="E60" s="2"/>
      <c r="F60" s="2"/>
      <c r="G60" s="2"/>
      <c r="H60" s="2"/>
      <c r="I60" s="2"/>
      <c r="J60" s="2"/>
      <c r="K60" s="2"/>
      <c r="L60" s="2"/>
      <c r="M60" s="35"/>
      <c r="N60" s="36"/>
      <c r="O60" s="36"/>
      <c r="P60" s="37"/>
      <c r="Q60" s="38"/>
    </row>
    <row r="61" spans="1:17" ht="14.25">
      <c r="A61" s="2"/>
      <c r="B61" s="2"/>
      <c r="C61" s="2"/>
      <c r="D61" s="2"/>
      <c r="E61" s="2"/>
      <c r="F61" s="2"/>
      <c r="G61" s="2"/>
      <c r="H61" s="2"/>
      <c r="I61" s="2"/>
      <c r="J61" s="2"/>
      <c r="K61" s="2"/>
      <c r="L61" s="2"/>
      <c r="M61" s="35"/>
      <c r="N61" s="36"/>
      <c r="O61" s="36"/>
      <c r="P61" s="37"/>
      <c r="Q61" s="38"/>
    </row>
    <row r="62" spans="1:17" ht="14.25">
      <c r="A62" s="2" t="s">
        <v>156</v>
      </c>
      <c r="B62" s="2"/>
      <c r="C62" s="2"/>
      <c r="D62" s="2"/>
      <c r="E62" s="2"/>
      <c r="F62" s="2"/>
      <c r="G62" s="2"/>
      <c r="H62" s="2"/>
      <c r="I62" s="2"/>
      <c r="J62" s="2"/>
      <c r="K62" s="2"/>
      <c r="L62" s="2"/>
      <c r="M62" s="35"/>
      <c r="N62" s="36"/>
      <c r="O62" s="36"/>
      <c r="P62" s="37"/>
      <c r="Q62" s="38"/>
    </row>
    <row r="63" spans="1:17" ht="14.25">
      <c r="A63" s="2"/>
      <c r="B63" s="2"/>
      <c r="C63" s="2"/>
      <c r="D63" s="2"/>
      <c r="E63" s="2"/>
      <c r="F63" s="2"/>
      <c r="G63" s="2"/>
      <c r="H63" s="2"/>
      <c r="I63" s="2"/>
      <c r="J63" s="2"/>
      <c r="K63" s="2"/>
      <c r="L63" s="2"/>
      <c r="M63" s="35"/>
      <c r="N63" s="36"/>
      <c r="O63" s="36"/>
      <c r="P63" s="37"/>
      <c r="Q63" s="38"/>
    </row>
  </sheetData>
  <printOptions/>
  <pageMargins left="0.75" right="0.75" top="1" bottom="1" header="0" footer="0"/>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Hoja3">
    <pageSetUpPr fitToPage="1"/>
  </sheetPr>
  <dimension ref="A4:P65"/>
  <sheetViews>
    <sheetView showGridLines="0" tabSelected="1" zoomScale="75" zoomScaleNormal="75" zoomScaleSheetLayoutView="75" workbookViewId="0" topLeftCell="B1">
      <selection activeCell="B3" sqref="B3:P69"/>
    </sheetView>
  </sheetViews>
  <sheetFormatPr defaultColWidth="11.421875" defaultRowHeight="12.75"/>
  <cols>
    <col min="1" max="1" width="5.421875" style="2" hidden="1" customWidth="1"/>
    <col min="2" max="2" width="7.7109375" style="2" customWidth="1"/>
    <col min="3" max="8" width="16.00390625" style="2" customWidth="1"/>
    <col min="9" max="9" width="19.00390625" style="2" customWidth="1"/>
    <col min="10" max="10" width="14.8515625" style="2" customWidth="1"/>
    <col min="11" max="11" width="23.28125" style="2" customWidth="1"/>
    <col min="12" max="13" width="16.28125" style="2" customWidth="1"/>
    <col min="14" max="14" width="16.140625" style="2" customWidth="1"/>
    <col min="15" max="15" width="16.421875" style="2" customWidth="1"/>
    <col min="16" max="16" width="60.140625" style="2" customWidth="1"/>
    <col min="17" max="16384" width="11.421875" style="2" customWidth="1"/>
  </cols>
  <sheetData>
    <row r="1" ht="14.25"/>
    <row r="2" ht="14.25"/>
    <row r="3" ht="14.25"/>
    <row r="4" spans="11:16" ht="15" thickBot="1">
      <c r="K4" s="12" t="s">
        <v>1</v>
      </c>
      <c r="P4" s="12" t="s">
        <v>1</v>
      </c>
    </row>
    <row r="5" spans="1:16" ht="14.25">
      <c r="A5" s="3"/>
      <c r="B5" s="4"/>
      <c r="C5" s="4"/>
      <c r="D5" s="4"/>
      <c r="E5" s="4"/>
      <c r="F5" s="4"/>
      <c r="G5" s="4"/>
      <c r="H5" s="4"/>
      <c r="I5" s="4"/>
      <c r="J5" s="4"/>
      <c r="K5" s="5"/>
      <c r="L5" s="3"/>
      <c r="M5" s="4"/>
      <c r="N5" s="4"/>
      <c r="O5" s="4"/>
      <c r="P5" s="5"/>
    </row>
    <row r="6" spans="1:16" s="11" customFormat="1" ht="77.25" customHeight="1">
      <c r="A6" s="6"/>
      <c r="B6" s="7"/>
      <c r="C6" s="7"/>
      <c r="D6" s="7"/>
      <c r="E6" s="7"/>
      <c r="F6" s="7"/>
      <c r="G6" s="7"/>
      <c r="H6" s="7"/>
      <c r="I6" s="7"/>
      <c r="J6" s="7"/>
      <c r="K6" s="8"/>
      <c r="L6" s="6"/>
      <c r="M6" s="7"/>
      <c r="N6" s="7"/>
      <c r="O6" s="7"/>
      <c r="P6" s="8"/>
    </row>
    <row r="7" spans="1:16" ht="15" thickBot="1">
      <c r="A7" s="9"/>
      <c r="B7" s="1"/>
      <c r="C7" s="1"/>
      <c r="D7" s="1"/>
      <c r="E7" s="1"/>
      <c r="F7" s="1"/>
      <c r="G7" s="1"/>
      <c r="H7" s="1"/>
      <c r="I7" s="1"/>
      <c r="J7" s="1"/>
      <c r="K7" s="10"/>
      <c r="L7" s="9"/>
      <c r="M7" s="1"/>
      <c r="N7" s="1"/>
      <c r="O7" s="1"/>
      <c r="P7" s="10"/>
    </row>
    <row r="8" spans="1:16" ht="15" thickBot="1">
      <c r="A8" s="7"/>
      <c r="B8" s="7"/>
      <c r="C8" s="7"/>
      <c r="D8" s="7"/>
      <c r="E8" s="7"/>
      <c r="F8" s="7"/>
      <c r="G8" s="7"/>
      <c r="H8" s="7"/>
      <c r="I8" s="7"/>
      <c r="J8" s="7"/>
      <c r="K8" s="7"/>
      <c r="L8" s="7"/>
      <c r="M8" s="7"/>
      <c r="N8" s="7"/>
      <c r="O8" s="7"/>
      <c r="P8" s="7"/>
    </row>
    <row r="9" spans="1:16" ht="129" thickBot="1">
      <c r="A9" s="13" t="s">
        <v>0</v>
      </c>
      <c r="B9" s="13" t="s">
        <v>2</v>
      </c>
      <c r="C9" s="14" t="s">
        <v>3</v>
      </c>
      <c r="D9" s="14" t="s">
        <v>4</v>
      </c>
      <c r="E9" s="14" t="s">
        <v>5</v>
      </c>
      <c r="F9" s="14" t="s">
        <v>6</v>
      </c>
      <c r="G9" s="14" t="s">
        <v>7</v>
      </c>
      <c r="H9" s="15" t="s">
        <v>8</v>
      </c>
      <c r="I9" s="14" t="s">
        <v>9</v>
      </c>
      <c r="J9" s="14" t="s">
        <v>10</v>
      </c>
      <c r="K9" s="14" t="s">
        <v>16</v>
      </c>
      <c r="L9" s="14" t="s">
        <v>11</v>
      </c>
      <c r="M9" s="14" t="s">
        <v>12</v>
      </c>
      <c r="N9" s="14" t="s">
        <v>13</v>
      </c>
      <c r="O9" s="14" t="s">
        <v>14</v>
      </c>
      <c r="P9" s="14" t="s">
        <v>15</v>
      </c>
    </row>
    <row r="10" spans="1:16" ht="14.25">
      <c r="A10" s="48">
        <v>1</v>
      </c>
      <c r="B10" s="53" t="s">
        <v>17</v>
      </c>
      <c r="C10" s="60">
        <v>39114</v>
      </c>
      <c r="D10" s="30">
        <v>0.5333333333333333</v>
      </c>
      <c r="E10" s="46">
        <v>39114</v>
      </c>
      <c r="F10" s="30">
        <v>0.5368055555555555</v>
      </c>
      <c r="G10" s="74">
        <v>0.08333333333333333</v>
      </c>
      <c r="H10" s="16">
        <v>17</v>
      </c>
      <c r="I10" s="40">
        <v>1701</v>
      </c>
      <c r="J10" s="16">
        <v>13.8</v>
      </c>
      <c r="K10" s="61">
        <f>2200/0.96</f>
        <v>2291.666666666667</v>
      </c>
      <c r="L10" s="61">
        <f>1200/0.96</f>
        <v>1250</v>
      </c>
      <c r="M10" s="56">
        <f>L10/K10</f>
        <v>0.5454545454545454</v>
      </c>
      <c r="N10" s="17">
        <v>2001</v>
      </c>
      <c r="O10" s="18" t="s">
        <v>148</v>
      </c>
      <c r="P10" s="57" t="s">
        <v>116</v>
      </c>
    </row>
    <row r="11" spans="1:16" ht="14.25">
      <c r="A11" s="49">
        <v>2</v>
      </c>
      <c r="B11" s="53" t="s">
        <v>18</v>
      </c>
      <c r="C11" s="44">
        <v>39115</v>
      </c>
      <c r="D11" s="31">
        <v>0.40625</v>
      </c>
      <c r="E11" s="44">
        <v>39115</v>
      </c>
      <c r="F11" s="32">
        <v>0.40972222222222227</v>
      </c>
      <c r="G11" s="62">
        <f>5/60</f>
        <v>0.08333333333333333</v>
      </c>
      <c r="H11" s="19">
        <v>11</v>
      </c>
      <c r="I11" s="80">
        <v>1103</v>
      </c>
      <c r="J11" s="77">
        <v>13.8</v>
      </c>
      <c r="K11" s="45">
        <f>2300/0.96</f>
        <v>2395.8333333333335</v>
      </c>
      <c r="L11" s="45">
        <f>1500/0.96</f>
        <v>1562.5</v>
      </c>
      <c r="M11" s="27">
        <f aca="true" t="shared" si="0" ref="M11:M58">L11/K11</f>
        <v>0.6521739130434783</v>
      </c>
      <c r="N11" s="83">
        <v>2500</v>
      </c>
      <c r="O11" s="21" t="s">
        <v>149</v>
      </c>
      <c r="P11" s="26" t="s">
        <v>87</v>
      </c>
    </row>
    <row r="12" spans="1:16" ht="14.25">
      <c r="A12" s="49">
        <v>3</v>
      </c>
      <c r="B12" s="53" t="s">
        <v>19</v>
      </c>
      <c r="C12" s="51">
        <v>39115</v>
      </c>
      <c r="D12" s="32">
        <v>0.5166666666666667</v>
      </c>
      <c r="E12" s="39">
        <v>39115</v>
      </c>
      <c r="F12" s="32">
        <v>0.6006944444444444</v>
      </c>
      <c r="G12" s="62">
        <v>2.0166666666666666</v>
      </c>
      <c r="H12" s="20">
        <v>13</v>
      </c>
      <c r="I12" s="81">
        <v>131</v>
      </c>
      <c r="J12" s="78">
        <v>69</v>
      </c>
      <c r="K12" s="45">
        <f>800/0.96</f>
        <v>833.3333333333334</v>
      </c>
      <c r="L12" s="45">
        <f>500/0.96</f>
        <v>520.8333333333334</v>
      </c>
      <c r="M12" s="27">
        <f t="shared" si="0"/>
        <v>0.625</v>
      </c>
      <c r="N12" s="84">
        <v>3619</v>
      </c>
      <c r="O12" s="21" t="s">
        <v>150</v>
      </c>
      <c r="P12" s="22" t="s">
        <v>118</v>
      </c>
    </row>
    <row r="13" spans="1:16" ht="14.25">
      <c r="A13" s="49">
        <v>4</v>
      </c>
      <c r="B13" s="53" t="s">
        <v>20</v>
      </c>
      <c r="C13" s="51">
        <v>39115</v>
      </c>
      <c r="D13" s="32">
        <v>0.8819444444444445</v>
      </c>
      <c r="E13" s="39">
        <v>39115</v>
      </c>
      <c r="F13" s="32">
        <v>0.8854166666666666</v>
      </c>
      <c r="G13" s="62">
        <v>0.08333333333333333</v>
      </c>
      <c r="H13" s="19">
        <v>17</v>
      </c>
      <c r="I13" s="81">
        <v>1701</v>
      </c>
      <c r="J13" s="78">
        <v>13.8</v>
      </c>
      <c r="K13" s="45">
        <f>2200/0.96</f>
        <v>2291.666666666667</v>
      </c>
      <c r="L13" s="45">
        <f>1800/0.96</f>
        <v>1875</v>
      </c>
      <c r="M13" s="27">
        <f t="shared" si="0"/>
        <v>0.8181818181818181</v>
      </c>
      <c r="N13" s="84">
        <v>2001</v>
      </c>
      <c r="O13" s="21" t="s">
        <v>151</v>
      </c>
      <c r="P13" s="22" t="s">
        <v>88</v>
      </c>
    </row>
    <row r="14" spans="1:16" ht="14.25">
      <c r="A14" s="49">
        <v>5</v>
      </c>
      <c r="B14" s="53" t="s">
        <v>21</v>
      </c>
      <c r="C14" s="51">
        <v>39117</v>
      </c>
      <c r="D14" s="32">
        <v>0.23263888888888887</v>
      </c>
      <c r="E14" s="39">
        <v>39117</v>
      </c>
      <c r="F14" s="32">
        <v>0.4375</v>
      </c>
      <c r="G14" s="59">
        <f>365/60</f>
        <v>6.083333333333333</v>
      </c>
      <c r="H14" s="58">
        <v>14</v>
      </c>
      <c r="I14" s="81">
        <v>1403</v>
      </c>
      <c r="J14" s="78">
        <v>13.8</v>
      </c>
      <c r="K14" s="45">
        <f>800/0.96</f>
        <v>833.3333333333334</v>
      </c>
      <c r="L14" s="45">
        <f>400/0.96</f>
        <v>416.6666666666667</v>
      </c>
      <c r="M14" s="27">
        <f t="shared" si="0"/>
        <v>0.5</v>
      </c>
      <c r="N14" s="85">
        <v>2099</v>
      </c>
      <c r="O14" s="21" t="s">
        <v>149</v>
      </c>
      <c r="P14" s="22" t="s">
        <v>70</v>
      </c>
    </row>
    <row r="15" spans="1:16" ht="14.25">
      <c r="A15" s="49">
        <v>6</v>
      </c>
      <c r="B15" s="53" t="s">
        <v>22</v>
      </c>
      <c r="C15" s="51">
        <v>39118</v>
      </c>
      <c r="D15" s="32">
        <v>0.611111111111111</v>
      </c>
      <c r="E15" s="39">
        <v>39118</v>
      </c>
      <c r="F15" s="32">
        <v>0.6347222222222222</v>
      </c>
      <c r="G15" s="62">
        <v>0.5666666666666667</v>
      </c>
      <c r="H15" s="19">
        <v>23</v>
      </c>
      <c r="I15" s="81">
        <v>2301</v>
      </c>
      <c r="J15" s="78">
        <v>13.8</v>
      </c>
      <c r="K15" s="45">
        <f>2000/0.96</f>
        <v>2083.3333333333335</v>
      </c>
      <c r="L15" s="45">
        <f>1200/0.96</f>
        <v>1250</v>
      </c>
      <c r="M15" s="27">
        <f t="shared" si="0"/>
        <v>0.6</v>
      </c>
      <c r="N15" s="84">
        <v>2500</v>
      </c>
      <c r="O15" s="21" t="s">
        <v>149</v>
      </c>
      <c r="P15" s="22" t="s">
        <v>119</v>
      </c>
    </row>
    <row r="16" spans="1:16" ht="14.25">
      <c r="A16" s="49">
        <v>7</v>
      </c>
      <c r="B16" s="53" t="s">
        <v>23</v>
      </c>
      <c r="C16" s="51">
        <v>39119</v>
      </c>
      <c r="D16" s="32">
        <v>0.4166666666666667</v>
      </c>
      <c r="E16" s="39">
        <v>39119</v>
      </c>
      <c r="F16" s="32">
        <v>0.5208333333333334</v>
      </c>
      <c r="G16" s="59">
        <v>2.5</v>
      </c>
      <c r="H16" s="68">
        <v>20</v>
      </c>
      <c r="I16" s="81">
        <v>2002</v>
      </c>
      <c r="J16" s="78">
        <v>13.8</v>
      </c>
      <c r="K16" s="45">
        <f>1500/0.96</f>
        <v>1562.5</v>
      </c>
      <c r="L16" s="45">
        <f>800/0.96</f>
        <v>833.3333333333334</v>
      </c>
      <c r="M16" s="27">
        <f t="shared" si="0"/>
        <v>0.5333333333333333</v>
      </c>
      <c r="N16" s="84">
        <v>2149</v>
      </c>
      <c r="O16" s="21" t="s">
        <v>152</v>
      </c>
      <c r="P16" s="22" t="s">
        <v>121</v>
      </c>
    </row>
    <row r="17" spans="1:16" ht="14.25">
      <c r="A17" s="49">
        <v>8</v>
      </c>
      <c r="B17" s="53" t="s">
        <v>24</v>
      </c>
      <c r="C17" s="51">
        <v>39119</v>
      </c>
      <c r="D17" s="32">
        <v>0.5902777777777778</v>
      </c>
      <c r="E17" s="39">
        <v>39119</v>
      </c>
      <c r="F17" s="32">
        <v>0.6097222222222222</v>
      </c>
      <c r="G17" s="59">
        <v>0.4666666666666667</v>
      </c>
      <c r="H17" s="58">
        <v>21</v>
      </c>
      <c r="I17" s="80">
        <v>2102</v>
      </c>
      <c r="J17" s="77">
        <v>13.8</v>
      </c>
      <c r="K17" s="45">
        <f>1000/0.96</f>
        <v>1041.6666666666667</v>
      </c>
      <c r="L17" s="45">
        <f>600/0.96</f>
        <v>625</v>
      </c>
      <c r="M17" s="27">
        <f t="shared" si="0"/>
        <v>0.6</v>
      </c>
      <c r="N17" s="84">
        <v>2619</v>
      </c>
      <c r="O17" s="21" t="s">
        <v>149</v>
      </c>
      <c r="P17" s="22" t="s">
        <v>90</v>
      </c>
    </row>
    <row r="18" spans="1:16" ht="14.25">
      <c r="A18" s="49">
        <v>9</v>
      </c>
      <c r="B18" s="53" t="s">
        <v>25</v>
      </c>
      <c r="C18" s="51">
        <v>39120</v>
      </c>
      <c r="D18" s="32">
        <v>0.052083333333333336</v>
      </c>
      <c r="E18" s="39">
        <v>39120</v>
      </c>
      <c r="F18" s="32">
        <v>0.4041666666666666</v>
      </c>
      <c r="G18" s="62">
        <v>8.95</v>
      </c>
      <c r="H18" s="19">
        <v>13</v>
      </c>
      <c r="I18" s="87">
        <v>1303</v>
      </c>
      <c r="J18" s="79">
        <v>13.8</v>
      </c>
      <c r="K18" s="45">
        <f>2800/0.96</f>
        <v>2916.666666666667</v>
      </c>
      <c r="L18" s="45">
        <f>1000/0.96</f>
        <v>1041.6666666666667</v>
      </c>
      <c r="M18" s="27">
        <f t="shared" si="0"/>
        <v>0.35714285714285715</v>
      </c>
      <c r="N18" s="85">
        <v>3664</v>
      </c>
      <c r="O18" s="76" t="s">
        <v>149</v>
      </c>
      <c r="P18" s="22" t="s">
        <v>85</v>
      </c>
    </row>
    <row r="19" spans="1:16" ht="14.25">
      <c r="A19" s="49"/>
      <c r="B19" s="53" t="s">
        <v>26</v>
      </c>
      <c r="C19" s="51">
        <v>39121</v>
      </c>
      <c r="D19" s="73">
        <v>0.2916666666666667</v>
      </c>
      <c r="E19" s="39">
        <v>39121</v>
      </c>
      <c r="F19" s="32">
        <v>0.4902777777777778</v>
      </c>
      <c r="G19" s="62">
        <v>4.766666666666667</v>
      </c>
      <c r="H19" s="19">
        <v>16</v>
      </c>
      <c r="I19" s="87">
        <v>1603</v>
      </c>
      <c r="J19" s="79">
        <v>13.8</v>
      </c>
      <c r="K19" s="45">
        <f>1500/0.96</f>
        <v>1562.5</v>
      </c>
      <c r="L19" s="45">
        <f>650/0.96</f>
        <v>677.0833333333334</v>
      </c>
      <c r="M19" s="27">
        <f t="shared" si="0"/>
        <v>0.43333333333333335</v>
      </c>
      <c r="N19" s="85">
        <v>1061</v>
      </c>
      <c r="O19" s="76" t="s">
        <v>149</v>
      </c>
      <c r="P19" s="22" t="s">
        <v>70</v>
      </c>
    </row>
    <row r="20" spans="1:16" ht="14.25">
      <c r="A20" s="49">
        <v>10</v>
      </c>
      <c r="B20" s="53" t="s">
        <v>27</v>
      </c>
      <c r="C20" s="51">
        <v>39121</v>
      </c>
      <c r="D20" s="73">
        <v>0.5</v>
      </c>
      <c r="E20" s="39">
        <v>39121</v>
      </c>
      <c r="F20" s="32">
        <v>0.6180555555555556</v>
      </c>
      <c r="G20" s="62">
        <v>2.8333333333333335</v>
      </c>
      <c r="H20" s="19">
        <v>14</v>
      </c>
      <c r="I20" s="80" t="s">
        <v>115</v>
      </c>
      <c r="J20" s="77">
        <v>13.8</v>
      </c>
      <c r="K20" s="45">
        <f>1200/0.96</f>
        <v>1250</v>
      </c>
      <c r="L20" s="45">
        <f>800/0.96</f>
        <v>833.3333333333334</v>
      </c>
      <c r="M20" s="27">
        <f t="shared" si="0"/>
        <v>0.6666666666666667</v>
      </c>
      <c r="N20" s="84">
        <v>3495</v>
      </c>
      <c r="O20" s="21" t="s">
        <v>149</v>
      </c>
      <c r="P20" s="22" t="s">
        <v>93</v>
      </c>
    </row>
    <row r="21" spans="1:16" ht="14.25">
      <c r="A21" s="49">
        <v>11</v>
      </c>
      <c r="B21" s="53" t="s">
        <v>28</v>
      </c>
      <c r="C21" s="51">
        <v>39121</v>
      </c>
      <c r="D21" s="32">
        <v>0.8180555555555555</v>
      </c>
      <c r="E21" s="39">
        <v>39121</v>
      </c>
      <c r="F21" s="32">
        <v>0.8368055555555555</v>
      </c>
      <c r="G21" s="62">
        <v>0.45</v>
      </c>
      <c r="H21" s="19">
        <v>20</v>
      </c>
      <c r="I21" s="80">
        <v>2003</v>
      </c>
      <c r="J21" s="77">
        <v>13.8</v>
      </c>
      <c r="K21" s="45">
        <f>1500/0.96</f>
        <v>1562.5</v>
      </c>
      <c r="L21" s="45">
        <f>1200/0.96</f>
        <v>1250</v>
      </c>
      <c r="M21" s="27">
        <f t="shared" si="0"/>
        <v>0.8</v>
      </c>
      <c r="N21" s="83">
        <v>2149</v>
      </c>
      <c r="O21" s="21" t="s">
        <v>149</v>
      </c>
      <c r="P21" s="22" t="s">
        <v>70</v>
      </c>
    </row>
    <row r="22" spans="1:16" ht="14.25">
      <c r="A22" s="49">
        <v>12</v>
      </c>
      <c r="B22" s="53" t="s">
        <v>29</v>
      </c>
      <c r="C22" s="51">
        <v>39122</v>
      </c>
      <c r="D22" s="32">
        <v>0.21875</v>
      </c>
      <c r="E22" s="39">
        <v>39122</v>
      </c>
      <c r="F22" s="32">
        <v>0.3888888888888889</v>
      </c>
      <c r="G22" s="59">
        <v>4.583333333333333</v>
      </c>
      <c r="H22" s="58">
        <v>13</v>
      </c>
      <c r="I22" s="80">
        <v>1304</v>
      </c>
      <c r="J22" s="77">
        <v>13.8</v>
      </c>
      <c r="K22" s="45">
        <f>1300/0.96</f>
        <v>1354.1666666666667</v>
      </c>
      <c r="L22" s="45">
        <f>600/0.96</f>
        <v>625</v>
      </c>
      <c r="M22" s="27">
        <f t="shared" si="0"/>
        <v>0.4615384615384615</v>
      </c>
      <c r="N22" s="84">
        <v>1500</v>
      </c>
      <c r="O22" s="21" t="s">
        <v>150</v>
      </c>
      <c r="P22" s="22" t="s">
        <v>118</v>
      </c>
    </row>
    <row r="23" spans="1:16" ht="14.25">
      <c r="A23" s="49">
        <v>13</v>
      </c>
      <c r="B23" s="53" t="s">
        <v>30</v>
      </c>
      <c r="C23" s="51">
        <v>39122</v>
      </c>
      <c r="D23" s="32">
        <v>0.2222222222222222</v>
      </c>
      <c r="E23" s="39">
        <v>39122</v>
      </c>
      <c r="F23" s="32">
        <v>0.4305555555555556</v>
      </c>
      <c r="G23" s="59">
        <v>5</v>
      </c>
      <c r="H23" s="58">
        <v>13</v>
      </c>
      <c r="I23" s="80">
        <v>131</v>
      </c>
      <c r="J23" s="77">
        <v>69</v>
      </c>
      <c r="K23" s="45">
        <f>800/0.96</f>
        <v>833.3333333333334</v>
      </c>
      <c r="L23" s="45">
        <f>400/0.96</f>
        <v>416.6666666666667</v>
      </c>
      <c r="M23" s="27">
        <f t="shared" si="0"/>
        <v>0.5</v>
      </c>
      <c r="N23" s="84">
        <v>3619</v>
      </c>
      <c r="O23" s="21" t="s">
        <v>152</v>
      </c>
      <c r="P23" s="22" t="s">
        <v>103</v>
      </c>
    </row>
    <row r="24" spans="1:16" ht="14.25">
      <c r="A24" s="49">
        <v>14</v>
      </c>
      <c r="B24" s="53" t="s">
        <v>31</v>
      </c>
      <c r="C24" s="51">
        <v>39122</v>
      </c>
      <c r="D24" s="32">
        <v>0.5520833333333334</v>
      </c>
      <c r="E24" s="39">
        <v>39122</v>
      </c>
      <c r="F24" s="32">
        <v>0.576388888888889</v>
      </c>
      <c r="G24" s="62">
        <v>0.5833333333333334</v>
      </c>
      <c r="H24" s="19">
        <v>18</v>
      </c>
      <c r="I24" s="80">
        <v>181</v>
      </c>
      <c r="J24" s="77">
        <v>69</v>
      </c>
      <c r="K24" s="45">
        <f>5600/0.96</f>
        <v>5833.333333333334</v>
      </c>
      <c r="L24" s="45">
        <f>4500/0.96</f>
        <v>4687.5</v>
      </c>
      <c r="M24" s="27">
        <f t="shared" si="0"/>
        <v>0.8035714285714285</v>
      </c>
      <c r="N24" s="84">
        <v>9097</v>
      </c>
      <c r="O24" s="21" t="s">
        <v>149</v>
      </c>
      <c r="P24" s="22" t="s">
        <v>122</v>
      </c>
    </row>
    <row r="25" spans="1:16" ht="14.25">
      <c r="A25" s="49">
        <v>15</v>
      </c>
      <c r="B25" s="53" t="s">
        <v>32</v>
      </c>
      <c r="C25" s="51">
        <v>39124</v>
      </c>
      <c r="D25" s="32">
        <v>0.3888888888888889</v>
      </c>
      <c r="E25" s="51">
        <v>39124</v>
      </c>
      <c r="F25" s="32">
        <v>0.5555555555555556</v>
      </c>
      <c r="G25" s="62">
        <v>4</v>
      </c>
      <c r="H25" s="23">
        <v>14</v>
      </c>
      <c r="I25" s="81">
        <v>142</v>
      </c>
      <c r="J25" s="77">
        <v>69</v>
      </c>
      <c r="K25" s="45">
        <f>6300/0.96</f>
        <v>6562.5</v>
      </c>
      <c r="L25" s="45">
        <f>4560/0.96</f>
        <v>4750</v>
      </c>
      <c r="M25" s="27">
        <f t="shared" si="0"/>
        <v>0.7238095238095238</v>
      </c>
      <c r="N25" s="84">
        <v>6388</v>
      </c>
      <c r="O25" s="21" t="s">
        <v>148</v>
      </c>
      <c r="P25" s="24" t="s">
        <v>123</v>
      </c>
    </row>
    <row r="26" spans="1:16" ht="14.25">
      <c r="A26" s="49">
        <v>16</v>
      </c>
      <c r="B26" s="53" t="s">
        <v>33</v>
      </c>
      <c r="C26" s="51">
        <v>39124</v>
      </c>
      <c r="D26" s="33">
        <v>0.5555555555555556</v>
      </c>
      <c r="E26" s="39">
        <v>39124</v>
      </c>
      <c r="F26" s="33">
        <v>0.5833333333333334</v>
      </c>
      <c r="G26" s="41">
        <v>0.6666666666666666</v>
      </c>
      <c r="H26" s="69">
        <v>14</v>
      </c>
      <c r="I26" s="88">
        <v>1402</v>
      </c>
      <c r="J26" s="80">
        <v>13.8</v>
      </c>
      <c r="K26" s="45">
        <f>1200/0.96</f>
        <v>1250</v>
      </c>
      <c r="L26" s="45">
        <f>650/0.96</f>
        <v>677.0833333333334</v>
      </c>
      <c r="M26" s="27">
        <f t="shared" si="0"/>
        <v>0.5416666666666667</v>
      </c>
      <c r="N26" s="84">
        <v>2027</v>
      </c>
      <c r="O26" s="21" t="s">
        <v>149</v>
      </c>
      <c r="P26" s="25" t="s">
        <v>70</v>
      </c>
    </row>
    <row r="27" spans="1:16" ht="14.25">
      <c r="A27" s="49">
        <v>17</v>
      </c>
      <c r="B27" s="53" t="s">
        <v>34</v>
      </c>
      <c r="C27" s="51">
        <v>39125</v>
      </c>
      <c r="D27" s="33">
        <v>0.7916666666666666</v>
      </c>
      <c r="E27" s="39">
        <v>39125</v>
      </c>
      <c r="F27" s="33">
        <v>0.8416666666666667</v>
      </c>
      <c r="G27" s="63">
        <v>1.2</v>
      </c>
      <c r="H27" s="70">
        <v>21</v>
      </c>
      <c r="I27" s="88" t="s">
        <v>82</v>
      </c>
      <c r="J27" s="80">
        <v>13.8</v>
      </c>
      <c r="K27" s="45">
        <f>1500/0.96</f>
        <v>1562.5</v>
      </c>
      <c r="L27" s="45">
        <f>1400/0.96</f>
        <v>1458.3333333333335</v>
      </c>
      <c r="M27" s="27">
        <f t="shared" si="0"/>
        <v>0.9333333333333335</v>
      </c>
      <c r="N27" s="84">
        <v>3619</v>
      </c>
      <c r="O27" s="21" t="s">
        <v>149</v>
      </c>
      <c r="P27" s="25" t="s">
        <v>130</v>
      </c>
    </row>
    <row r="28" spans="1:16" ht="14.25">
      <c r="A28" s="49">
        <v>18</v>
      </c>
      <c r="B28" s="53" t="s">
        <v>35</v>
      </c>
      <c r="C28" s="51">
        <v>39125</v>
      </c>
      <c r="D28" s="33">
        <v>0.7916666666666666</v>
      </c>
      <c r="E28" s="39">
        <v>39125</v>
      </c>
      <c r="F28" s="33">
        <v>0.8819444444444445</v>
      </c>
      <c r="G28" s="41">
        <v>2.1666666666666665</v>
      </c>
      <c r="H28" s="69">
        <v>21</v>
      </c>
      <c r="I28" s="88">
        <v>2102</v>
      </c>
      <c r="J28" s="77">
        <v>13.8</v>
      </c>
      <c r="K28" s="45">
        <f>1000/0.96</f>
        <v>1041.6666666666667</v>
      </c>
      <c r="L28" s="45">
        <f>1000/0.96</f>
        <v>1041.6666666666667</v>
      </c>
      <c r="M28" s="27">
        <f t="shared" si="0"/>
        <v>1</v>
      </c>
      <c r="N28" s="84">
        <v>2619</v>
      </c>
      <c r="O28" s="21" t="s">
        <v>149</v>
      </c>
      <c r="P28" s="25" t="s">
        <v>131</v>
      </c>
    </row>
    <row r="29" spans="1:16" ht="14.25">
      <c r="A29" s="49">
        <v>19</v>
      </c>
      <c r="B29" s="53" t="s">
        <v>36</v>
      </c>
      <c r="C29" s="51">
        <v>39126</v>
      </c>
      <c r="D29" s="33">
        <v>0.37152777777777773</v>
      </c>
      <c r="E29" s="39">
        <v>39126</v>
      </c>
      <c r="F29" s="33">
        <v>0.40972222222222227</v>
      </c>
      <c r="G29" s="41">
        <v>0.9166666666666666</v>
      </c>
      <c r="H29" s="69">
        <v>11</v>
      </c>
      <c r="I29" s="88">
        <v>1101</v>
      </c>
      <c r="J29" s="77">
        <v>13.8</v>
      </c>
      <c r="K29" s="45">
        <f>2800/0.96</f>
        <v>2916.666666666667</v>
      </c>
      <c r="L29" s="45">
        <f>1500/0.96</f>
        <v>1562.5</v>
      </c>
      <c r="M29" s="27">
        <f t="shared" si="0"/>
        <v>0.5357142857142857</v>
      </c>
      <c r="N29" s="84">
        <v>2000</v>
      </c>
      <c r="O29" s="21" t="s">
        <v>149</v>
      </c>
      <c r="P29" s="26" t="s">
        <v>98</v>
      </c>
    </row>
    <row r="30" spans="1:16" ht="14.25">
      <c r="A30" s="49">
        <v>21</v>
      </c>
      <c r="B30" s="53" t="s">
        <v>37</v>
      </c>
      <c r="C30" s="51">
        <v>39126</v>
      </c>
      <c r="D30" s="33">
        <v>0.4618055555555556</v>
      </c>
      <c r="E30" s="39">
        <v>39126</v>
      </c>
      <c r="F30" s="33">
        <v>0.4666666666666666</v>
      </c>
      <c r="G30" s="41">
        <v>0.11666666666666667</v>
      </c>
      <c r="H30" s="69">
        <v>13</v>
      </c>
      <c r="I30" s="88">
        <v>1301</v>
      </c>
      <c r="J30" s="80">
        <v>13.8</v>
      </c>
      <c r="K30" s="45">
        <f>1500/0.96</f>
        <v>1562.5</v>
      </c>
      <c r="L30" s="45">
        <f>700/0.96</f>
        <v>729.1666666666667</v>
      </c>
      <c r="M30" s="27">
        <f t="shared" si="0"/>
        <v>0.46666666666666673</v>
      </c>
      <c r="N30" s="84">
        <v>2368</v>
      </c>
      <c r="O30" s="27" t="s">
        <v>153</v>
      </c>
      <c r="P30" s="28" t="s">
        <v>99</v>
      </c>
    </row>
    <row r="31" spans="1:16" ht="14.25">
      <c r="A31" s="49">
        <v>24</v>
      </c>
      <c r="B31" s="53" t="s">
        <v>38</v>
      </c>
      <c r="C31" s="51">
        <v>39126</v>
      </c>
      <c r="D31" s="106">
        <v>0.2916666666666667</v>
      </c>
      <c r="E31" s="39">
        <v>39126</v>
      </c>
      <c r="F31" s="33">
        <v>0.4270833333333333</v>
      </c>
      <c r="G31" s="41">
        <v>3.25</v>
      </c>
      <c r="H31" s="69">
        <v>21</v>
      </c>
      <c r="I31" s="88">
        <v>2102</v>
      </c>
      <c r="J31" s="80">
        <v>13.8</v>
      </c>
      <c r="K31" s="45">
        <f>1000/0.96</f>
        <v>1041.6666666666667</v>
      </c>
      <c r="L31" s="45">
        <f>1000/0.96</f>
        <v>1041.6666666666667</v>
      </c>
      <c r="M31" s="27">
        <f t="shared" si="0"/>
        <v>1</v>
      </c>
      <c r="N31" s="84">
        <v>2619</v>
      </c>
      <c r="O31" s="27" t="s">
        <v>149</v>
      </c>
      <c r="P31" s="28" t="s">
        <v>100</v>
      </c>
    </row>
    <row r="32" spans="1:16" ht="14.25">
      <c r="A32" s="49">
        <v>25</v>
      </c>
      <c r="B32" s="53" t="s">
        <v>39</v>
      </c>
      <c r="C32" s="39">
        <v>39127</v>
      </c>
      <c r="D32" s="33">
        <v>0.517361111111111</v>
      </c>
      <c r="E32" s="39">
        <v>39127</v>
      </c>
      <c r="F32" s="33">
        <v>0.5208333333333334</v>
      </c>
      <c r="G32" s="41">
        <v>0.08333333333333333</v>
      </c>
      <c r="H32" s="69">
        <v>13</v>
      </c>
      <c r="I32" s="88">
        <v>1304</v>
      </c>
      <c r="J32" s="80">
        <v>13.8</v>
      </c>
      <c r="K32" s="45">
        <f>1300/0.96</f>
        <v>1354.1666666666667</v>
      </c>
      <c r="L32" s="45">
        <f>700/0.96</f>
        <v>729.1666666666667</v>
      </c>
      <c r="M32" s="27">
        <f t="shared" si="0"/>
        <v>0.5384615384615384</v>
      </c>
      <c r="N32" s="84">
        <v>1500</v>
      </c>
      <c r="O32" s="27" t="s">
        <v>148</v>
      </c>
      <c r="P32" s="28" t="s">
        <v>116</v>
      </c>
    </row>
    <row r="33" spans="1:16" ht="14.25">
      <c r="A33" s="49">
        <v>26</v>
      </c>
      <c r="B33" s="53" t="s">
        <v>40</v>
      </c>
      <c r="C33" s="51">
        <v>39127</v>
      </c>
      <c r="D33" s="33">
        <v>0.8375</v>
      </c>
      <c r="E33" s="39">
        <v>39127</v>
      </c>
      <c r="F33" s="33">
        <v>0.9791666666666666</v>
      </c>
      <c r="G33" s="41">
        <v>3.6</v>
      </c>
      <c r="H33" s="69">
        <v>23</v>
      </c>
      <c r="I33" s="88">
        <v>2301</v>
      </c>
      <c r="J33" s="80">
        <v>13.8</v>
      </c>
      <c r="K33" s="45">
        <f>2000/0.96</f>
        <v>2083.3333333333335</v>
      </c>
      <c r="L33" s="45">
        <f>1850/0.96</f>
        <v>1927.0833333333335</v>
      </c>
      <c r="M33" s="27">
        <f t="shared" si="0"/>
        <v>0.925</v>
      </c>
      <c r="N33" s="84">
        <v>2500</v>
      </c>
      <c r="O33" s="27" t="s">
        <v>149</v>
      </c>
      <c r="P33" s="28" t="s">
        <v>132</v>
      </c>
    </row>
    <row r="34" spans="1:16" ht="14.25">
      <c r="A34" s="49">
        <v>28</v>
      </c>
      <c r="B34" s="53" t="s">
        <v>41</v>
      </c>
      <c r="C34" s="51">
        <v>39128</v>
      </c>
      <c r="D34" s="33">
        <v>0.8208333333333333</v>
      </c>
      <c r="E34" s="39">
        <v>39128</v>
      </c>
      <c r="F34" s="33">
        <v>0.8868055555555556</v>
      </c>
      <c r="G34" s="41">
        <v>1.5833333333333333</v>
      </c>
      <c r="H34" s="69">
        <v>14</v>
      </c>
      <c r="I34" s="88">
        <v>142</v>
      </c>
      <c r="J34" s="80">
        <v>69</v>
      </c>
      <c r="K34" s="45">
        <f>6300/0.96</f>
        <v>6562.5</v>
      </c>
      <c r="L34" s="45">
        <f>6000/0.96</f>
        <v>6250</v>
      </c>
      <c r="M34" s="27">
        <f t="shared" si="0"/>
        <v>0.9523809523809523</v>
      </c>
      <c r="N34" s="84">
        <v>6388</v>
      </c>
      <c r="O34" s="27" t="s">
        <v>149</v>
      </c>
      <c r="P34" s="28" t="s">
        <v>101</v>
      </c>
    </row>
    <row r="35" spans="1:16" ht="14.25">
      <c r="A35" s="49">
        <v>29</v>
      </c>
      <c r="B35" s="53" t="s">
        <v>42</v>
      </c>
      <c r="C35" s="51">
        <v>39128</v>
      </c>
      <c r="D35" s="33">
        <v>0.8868055555555556</v>
      </c>
      <c r="E35" s="39">
        <v>39129</v>
      </c>
      <c r="F35" s="33">
        <v>0.35625</v>
      </c>
      <c r="G35" s="41">
        <v>11.26</v>
      </c>
      <c r="H35" s="69">
        <v>15</v>
      </c>
      <c r="I35" s="88">
        <v>152</v>
      </c>
      <c r="J35" s="80">
        <v>69</v>
      </c>
      <c r="K35" s="45">
        <f>3200/0.96</f>
        <v>3333.3333333333335</v>
      </c>
      <c r="L35" s="45">
        <f>3200/0.96</f>
        <v>3333.3333333333335</v>
      </c>
      <c r="M35" s="27">
        <f t="shared" si="0"/>
        <v>1</v>
      </c>
      <c r="N35" s="84">
        <v>4256</v>
      </c>
      <c r="O35" s="27" t="s">
        <v>149</v>
      </c>
      <c r="P35" s="28" t="s">
        <v>138</v>
      </c>
    </row>
    <row r="36" spans="1:16" ht="14.25">
      <c r="A36" s="49">
        <v>30</v>
      </c>
      <c r="B36" s="53" t="s">
        <v>43</v>
      </c>
      <c r="C36" s="51">
        <v>39129</v>
      </c>
      <c r="D36" s="33">
        <v>0.6520833333333333</v>
      </c>
      <c r="E36" s="39">
        <v>39129</v>
      </c>
      <c r="F36" s="33">
        <v>0.7423611111111111</v>
      </c>
      <c r="G36" s="41">
        <v>2.1666666666666665</v>
      </c>
      <c r="H36" s="69">
        <v>13</v>
      </c>
      <c r="I36" s="88">
        <v>1302</v>
      </c>
      <c r="J36" s="80">
        <v>13.8</v>
      </c>
      <c r="K36" s="45">
        <f>3700/0.96</f>
        <v>3854.166666666667</v>
      </c>
      <c r="L36" s="45">
        <f>2160/0.96</f>
        <v>2250</v>
      </c>
      <c r="M36" s="27">
        <f t="shared" si="0"/>
        <v>0.5837837837837837</v>
      </c>
      <c r="N36" s="84">
        <v>2895</v>
      </c>
      <c r="O36" s="27" t="s">
        <v>150</v>
      </c>
      <c r="P36" s="28" t="s">
        <v>139</v>
      </c>
    </row>
    <row r="37" spans="1:16" ht="14.25">
      <c r="A37" s="49">
        <v>31</v>
      </c>
      <c r="B37" s="65" t="s">
        <v>44</v>
      </c>
      <c r="C37" s="52">
        <v>39129</v>
      </c>
      <c r="D37" s="32">
        <v>0.7847222222222222</v>
      </c>
      <c r="E37" s="44">
        <v>39129</v>
      </c>
      <c r="F37" s="32">
        <v>0.8236111111111111</v>
      </c>
      <c r="G37" s="62">
        <v>0.9333333333333333</v>
      </c>
      <c r="H37" s="19">
        <v>18</v>
      </c>
      <c r="I37" s="80">
        <v>1802</v>
      </c>
      <c r="J37" s="80">
        <v>13.8</v>
      </c>
      <c r="K37" s="45">
        <f>2500/0.96</f>
        <v>2604.166666666667</v>
      </c>
      <c r="L37" s="45">
        <f>2300/0.96</f>
        <v>2395.8333333333335</v>
      </c>
      <c r="M37" s="27">
        <f t="shared" si="0"/>
        <v>0.9199999999999999</v>
      </c>
      <c r="N37" s="83">
        <v>1836</v>
      </c>
      <c r="O37" s="27" t="s">
        <v>149</v>
      </c>
      <c r="P37" s="47" t="s">
        <v>77</v>
      </c>
    </row>
    <row r="38" spans="1:16" ht="14.25">
      <c r="A38" s="49">
        <v>33</v>
      </c>
      <c r="B38" s="53" t="s">
        <v>45</v>
      </c>
      <c r="C38" s="51">
        <v>39129</v>
      </c>
      <c r="D38" s="33">
        <v>0.8</v>
      </c>
      <c r="E38" s="39">
        <v>39129</v>
      </c>
      <c r="F38" s="33">
        <v>0.8569444444444444</v>
      </c>
      <c r="G38" s="41">
        <v>1.3666666666666667</v>
      </c>
      <c r="H38" s="69">
        <v>15</v>
      </c>
      <c r="I38" s="88" t="s">
        <v>83</v>
      </c>
      <c r="J38" s="80">
        <v>13.8</v>
      </c>
      <c r="K38" s="45">
        <f>3000/0.96</f>
        <v>3125</v>
      </c>
      <c r="L38" s="45">
        <f>2900/0.96</f>
        <v>3020.8333333333335</v>
      </c>
      <c r="M38" s="27">
        <f t="shared" si="0"/>
        <v>0.9666666666666667</v>
      </c>
      <c r="N38" s="84">
        <v>2132</v>
      </c>
      <c r="O38" s="27" t="s">
        <v>152</v>
      </c>
      <c r="P38" s="28" t="s">
        <v>103</v>
      </c>
    </row>
    <row r="39" spans="1:16" ht="14.25">
      <c r="A39" s="49">
        <v>34</v>
      </c>
      <c r="B39" s="53" t="s">
        <v>46</v>
      </c>
      <c r="C39" s="52">
        <v>39129</v>
      </c>
      <c r="D39" s="32">
        <v>0.8611111111111112</v>
      </c>
      <c r="E39" s="44">
        <v>39129</v>
      </c>
      <c r="F39" s="32">
        <v>0.8770833333333333</v>
      </c>
      <c r="G39" s="62">
        <v>0.7166666666666667</v>
      </c>
      <c r="H39" s="19">
        <v>11</v>
      </c>
      <c r="I39" s="80">
        <v>1104</v>
      </c>
      <c r="J39" s="80">
        <v>13.8</v>
      </c>
      <c r="K39" s="45">
        <f>4200/0.96</f>
        <v>4375</v>
      </c>
      <c r="L39" s="45">
        <f>4000/0.96</f>
        <v>4166.666666666667</v>
      </c>
      <c r="M39" s="27">
        <f t="shared" si="0"/>
        <v>0.9523809523809524</v>
      </c>
      <c r="N39" s="84">
        <v>1500</v>
      </c>
      <c r="O39" s="27" t="s">
        <v>152</v>
      </c>
      <c r="P39" s="28" t="s">
        <v>103</v>
      </c>
    </row>
    <row r="40" spans="1:16" ht="14.25">
      <c r="A40" s="49">
        <v>35</v>
      </c>
      <c r="B40" s="65" t="s">
        <v>47</v>
      </c>
      <c r="C40" s="52">
        <v>39129</v>
      </c>
      <c r="D40" s="32">
        <v>0.8847222222222223</v>
      </c>
      <c r="E40" s="44">
        <v>39129</v>
      </c>
      <c r="F40" s="32">
        <v>0.904861111111111</v>
      </c>
      <c r="G40" s="59">
        <v>0.48333333333333334</v>
      </c>
      <c r="H40" s="58">
        <v>17</v>
      </c>
      <c r="I40" s="80">
        <v>171</v>
      </c>
      <c r="J40" s="80">
        <v>69</v>
      </c>
      <c r="K40" s="45">
        <f>19260/0.96</f>
        <v>20062.5</v>
      </c>
      <c r="L40" s="45">
        <f>16500/0.96</f>
        <v>17187.5</v>
      </c>
      <c r="M40" s="27">
        <f t="shared" si="0"/>
        <v>0.8566978193146417</v>
      </c>
      <c r="N40" s="83">
        <v>32057</v>
      </c>
      <c r="O40" s="27" t="s">
        <v>152</v>
      </c>
      <c r="P40" s="47" t="s">
        <v>103</v>
      </c>
    </row>
    <row r="41" spans="1:16" ht="14.25">
      <c r="A41" s="50">
        <v>36</v>
      </c>
      <c r="B41" s="53" t="s">
        <v>48</v>
      </c>
      <c r="C41" s="51">
        <v>39129</v>
      </c>
      <c r="D41" s="42">
        <v>0.8722222222222222</v>
      </c>
      <c r="E41" s="44">
        <v>39129</v>
      </c>
      <c r="F41" s="42">
        <v>0.8944444444444444</v>
      </c>
      <c r="G41" s="64">
        <v>0.5333333333333333</v>
      </c>
      <c r="H41" s="71">
        <v>14</v>
      </c>
      <c r="I41" s="89">
        <v>1403</v>
      </c>
      <c r="J41" s="81">
        <v>13.8</v>
      </c>
      <c r="K41" s="45">
        <f>800/0.96</f>
        <v>833.3333333333334</v>
      </c>
      <c r="L41" s="45">
        <f>700/0.96</f>
        <v>729.1666666666667</v>
      </c>
      <c r="M41" s="27">
        <f t="shared" si="0"/>
        <v>0.875</v>
      </c>
      <c r="N41" s="84">
        <v>2099</v>
      </c>
      <c r="O41" s="21" t="s">
        <v>152</v>
      </c>
      <c r="P41" s="43" t="s">
        <v>103</v>
      </c>
    </row>
    <row r="42" spans="1:16" ht="14.25">
      <c r="A42" s="49">
        <v>37</v>
      </c>
      <c r="B42" s="53" t="s">
        <v>49</v>
      </c>
      <c r="C42" s="51">
        <v>39130</v>
      </c>
      <c r="D42" s="33">
        <v>0.20833333333333334</v>
      </c>
      <c r="E42" s="44">
        <v>39130</v>
      </c>
      <c r="F42" s="33">
        <v>0.4201388888888889</v>
      </c>
      <c r="G42" s="63">
        <v>5.083333333333333</v>
      </c>
      <c r="H42" s="70">
        <v>20</v>
      </c>
      <c r="I42" s="88">
        <v>2003</v>
      </c>
      <c r="J42" s="80">
        <v>13.8</v>
      </c>
      <c r="K42" s="45">
        <f>1500/0.96</f>
        <v>1562.5</v>
      </c>
      <c r="L42" s="45">
        <f>800/0.96</f>
        <v>833.3333333333334</v>
      </c>
      <c r="M42" s="27">
        <f t="shared" si="0"/>
        <v>0.5333333333333333</v>
      </c>
      <c r="N42" s="84">
        <v>2149</v>
      </c>
      <c r="O42" s="27" t="s">
        <v>152</v>
      </c>
      <c r="P42" s="28" t="s">
        <v>103</v>
      </c>
    </row>
    <row r="43" spans="1:16" ht="14.25">
      <c r="A43" s="49">
        <v>38</v>
      </c>
      <c r="B43" s="53" t="s">
        <v>65</v>
      </c>
      <c r="C43" s="51">
        <v>39130</v>
      </c>
      <c r="D43" s="33">
        <v>0.43402777777777773</v>
      </c>
      <c r="E43" s="39">
        <v>39130</v>
      </c>
      <c r="F43" s="33">
        <v>0.4909722222222222</v>
      </c>
      <c r="G43" s="41">
        <v>1.3666666666666667</v>
      </c>
      <c r="H43" s="69">
        <v>14</v>
      </c>
      <c r="I43" s="88">
        <v>1403</v>
      </c>
      <c r="J43" s="80">
        <v>13.8</v>
      </c>
      <c r="K43" s="45">
        <f>800/0.96</f>
        <v>833.3333333333334</v>
      </c>
      <c r="L43" s="45">
        <f>500/0.96</f>
        <v>520.8333333333334</v>
      </c>
      <c r="M43" s="27">
        <f t="shared" si="0"/>
        <v>0.625</v>
      </c>
      <c r="N43" s="84">
        <v>2099</v>
      </c>
      <c r="O43" s="27" t="s">
        <v>149</v>
      </c>
      <c r="P43" s="28" t="s">
        <v>70</v>
      </c>
    </row>
    <row r="44" spans="1:16" ht="14.25">
      <c r="A44" s="49">
        <v>39</v>
      </c>
      <c r="B44" s="53" t="s">
        <v>50</v>
      </c>
      <c r="C44" s="52">
        <v>39130</v>
      </c>
      <c r="D44" s="32">
        <v>0.43402777777777773</v>
      </c>
      <c r="E44" s="44">
        <v>39130</v>
      </c>
      <c r="F44" s="32">
        <v>0.4444444444444444</v>
      </c>
      <c r="G44" s="62">
        <v>0.25</v>
      </c>
      <c r="H44" s="19">
        <v>14</v>
      </c>
      <c r="I44" s="80">
        <v>1402</v>
      </c>
      <c r="J44" s="80">
        <v>13.8</v>
      </c>
      <c r="K44" s="45">
        <f>1200/0.96</f>
        <v>1250</v>
      </c>
      <c r="L44" s="45">
        <f>700/0.96</f>
        <v>729.1666666666667</v>
      </c>
      <c r="M44" s="27">
        <f t="shared" si="0"/>
        <v>0.5833333333333334</v>
      </c>
      <c r="N44" s="83">
        <v>2027</v>
      </c>
      <c r="O44" s="27" t="s">
        <v>149</v>
      </c>
      <c r="P44" s="47" t="s">
        <v>140</v>
      </c>
    </row>
    <row r="45" spans="1:16" ht="14.25">
      <c r="A45" s="49">
        <v>40</v>
      </c>
      <c r="B45" s="53" t="s">
        <v>51</v>
      </c>
      <c r="C45" s="52">
        <v>39132</v>
      </c>
      <c r="D45" s="73">
        <v>0.2916666666666667</v>
      </c>
      <c r="E45" s="44">
        <v>39132</v>
      </c>
      <c r="F45" s="32">
        <v>0.44097222222222227</v>
      </c>
      <c r="G45" s="62">
        <v>3.5833333333333335</v>
      </c>
      <c r="H45" s="19">
        <v>18</v>
      </c>
      <c r="I45" s="80">
        <v>182</v>
      </c>
      <c r="J45" s="80">
        <v>69</v>
      </c>
      <c r="K45" s="45">
        <f>5200/0.96</f>
        <v>5416.666666666667</v>
      </c>
      <c r="L45" s="45">
        <f>4100/0.96</f>
        <v>4270.833333333334</v>
      </c>
      <c r="M45" s="27">
        <f t="shared" si="0"/>
        <v>0.7884615384615385</v>
      </c>
      <c r="N45" s="83">
        <v>6134</v>
      </c>
      <c r="O45" s="27" t="s">
        <v>149</v>
      </c>
      <c r="P45" s="47" t="s">
        <v>141</v>
      </c>
    </row>
    <row r="46" spans="1:16" ht="14.25">
      <c r="A46" s="49">
        <v>41</v>
      </c>
      <c r="B46" s="53" t="s">
        <v>52</v>
      </c>
      <c r="C46" s="52">
        <v>39133</v>
      </c>
      <c r="D46" s="32">
        <v>0.7583333333333333</v>
      </c>
      <c r="E46" s="44">
        <v>39133</v>
      </c>
      <c r="F46" s="32">
        <v>0.7743055555555555</v>
      </c>
      <c r="G46" s="62">
        <v>0.38333333333333336</v>
      </c>
      <c r="H46" s="19">
        <v>17</v>
      </c>
      <c r="I46" s="80">
        <v>171</v>
      </c>
      <c r="J46" s="80">
        <v>69</v>
      </c>
      <c r="K46" s="45">
        <f>19600/0.96</f>
        <v>20416.666666666668</v>
      </c>
      <c r="L46" s="45">
        <f>18000/0.96</f>
        <v>18750</v>
      </c>
      <c r="M46" s="27">
        <f t="shared" si="0"/>
        <v>0.9183673469387754</v>
      </c>
      <c r="N46" s="83">
        <v>32057</v>
      </c>
      <c r="O46" s="27" t="s">
        <v>152</v>
      </c>
      <c r="P46" s="47" t="s">
        <v>103</v>
      </c>
    </row>
    <row r="47" spans="1:16" ht="14.25">
      <c r="A47" s="49"/>
      <c r="B47" s="53" t="s">
        <v>53</v>
      </c>
      <c r="C47" s="52">
        <v>39134</v>
      </c>
      <c r="D47" s="32">
        <v>0.625</v>
      </c>
      <c r="E47" s="39">
        <v>39134</v>
      </c>
      <c r="F47" s="32">
        <v>0.6736111111111112</v>
      </c>
      <c r="G47" s="62">
        <v>1.1666666666666667</v>
      </c>
      <c r="H47" s="19">
        <v>14</v>
      </c>
      <c r="I47" s="80">
        <v>1405</v>
      </c>
      <c r="J47" s="80">
        <v>13.8</v>
      </c>
      <c r="K47" s="45">
        <f>1200/0.96</f>
        <v>1250</v>
      </c>
      <c r="L47" s="45">
        <f>650/0.96</f>
        <v>677.0833333333334</v>
      </c>
      <c r="M47" s="27">
        <f t="shared" si="0"/>
        <v>0.5416666666666667</v>
      </c>
      <c r="N47" s="83">
        <v>3495</v>
      </c>
      <c r="O47" s="27" t="s">
        <v>150</v>
      </c>
      <c r="P47" s="47" t="s">
        <v>142</v>
      </c>
    </row>
    <row r="48" spans="1:16" ht="14.25">
      <c r="A48" s="49"/>
      <c r="B48" s="53" t="s">
        <v>54</v>
      </c>
      <c r="C48" s="52">
        <v>39134</v>
      </c>
      <c r="D48" s="32">
        <v>0.8229166666666666</v>
      </c>
      <c r="E48" s="44">
        <v>39134</v>
      </c>
      <c r="F48" s="32">
        <v>0.8611111111111112</v>
      </c>
      <c r="G48" s="62">
        <v>0.9166666666666666</v>
      </c>
      <c r="H48" s="19">
        <v>19</v>
      </c>
      <c r="I48" s="80">
        <v>1901</v>
      </c>
      <c r="J48" s="80">
        <v>13.8</v>
      </c>
      <c r="K48" s="45">
        <f>3100/0.96</f>
        <v>3229.166666666667</v>
      </c>
      <c r="L48" s="45">
        <f>3000/0.96</f>
        <v>3125</v>
      </c>
      <c r="M48" s="27">
        <f t="shared" si="0"/>
        <v>0.9677419354838709</v>
      </c>
      <c r="N48" s="83">
        <v>5727</v>
      </c>
      <c r="O48" s="27" t="s">
        <v>149</v>
      </c>
      <c r="P48" s="47" t="s">
        <v>70</v>
      </c>
    </row>
    <row r="49" spans="1:16" ht="14.25">
      <c r="A49" s="49"/>
      <c r="B49" s="53" t="s">
        <v>55</v>
      </c>
      <c r="C49" s="44">
        <v>39134</v>
      </c>
      <c r="D49" s="32">
        <v>0.8402777777777778</v>
      </c>
      <c r="E49" s="52">
        <v>39134</v>
      </c>
      <c r="F49" s="73">
        <v>0.8541666666666666</v>
      </c>
      <c r="G49" s="62">
        <v>0.3333333333333333</v>
      </c>
      <c r="H49" s="19">
        <v>20</v>
      </c>
      <c r="I49" s="80">
        <v>2003</v>
      </c>
      <c r="J49" s="80">
        <v>13.8</v>
      </c>
      <c r="K49" s="45">
        <f>1500/0.96</f>
        <v>1562.5</v>
      </c>
      <c r="L49" s="45">
        <f>1500/0.96</f>
        <v>1562.5</v>
      </c>
      <c r="M49" s="27">
        <f t="shared" si="0"/>
        <v>1</v>
      </c>
      <c r="N49" s="83">
        <v>2822</v>
      </c>
      <c r="O49" s="27" t="s">
        <v>150</v>
      </c>
      <c r="P49" s="47" t="s">
        <v>143</v>
      </c>
    </row>
    <row r="50" spans="1:16" ht="14.25">
      <c r="A50" s="49"/>
      <c r="B50" s="53" t="s">
        <v>56</v>
      </c>
      <c r="C50" s="44">
        <v>39135</v>
      </c>
      <c r="D50" s="32">
        <v>0.3020833333333333</v>
      </c>
      <c r="E50" s="52">
        <v>39135</v>
      </c>
      <c r="F50" s="32">
        <v>0.3229166666666667</v>
      </c>
      <c r="G50" s="62">
        <v>0.5</v>
      </c>
      <c r="H50" s="19">
        <v>11</v>
      </c>
      <c r="I50" s="80">
        <v>1109</v>
      </c>
      <c r="J50" s="80">
        <v>13.8</v>
      </c>
      <c r="K50" s="45">
        <f>3100/0.96</f>
        <v>3229.166666666667</v>
      </c>
      <c r="L50" s="45">
        <f>2500/0.96</f>
        <v>2604.166666666667</v>
      </c>
      <c r="M50" s="27">
        <f t="shared" si="0"/>
        <v>0.8064516129032259</v>
      </c>
      <c r="N50" s="83">
        <v>3500</v>
      </c>
      <c r="O50" s="27" t="s">
        <v>153</v>
      </c>
      <c r="P50" s="47" t="s">
        <v>144</v>
      </c>
    </row>
    <row r="51" spans="1:16" ht="14.25">
      <c r="A51" s="49"/>
      <c r="B51" s="53" t="s">
        <v>57</v>
      </c>
      <c r="C51" s="44">
        <v>39138</v>
      </c>
      <c r="D51" s="32">
        <v>0.2916666666666667</v>
      </c>
      <c r="E51" s="52">
        <v>39138</v>
      </c>
      <c r="F51" s="32">
        <v>0.3958333333333333</v>
      </c>
      <c r="G51" s="62">
        <v>2.5</v>
      </c>
      <c r="H51" s="19">
        <v>14</v>
      </c>
      <c r="I51" s="80">
        <v>1405</v>
      </c>
      <c r="J51" s="80">
        <v>13.8</v>
      </c>
      <c r="K51" s="45">
        <f>1200/0.96</f>
        <v>1250</v>
      </c>
      <c r="L51" s="45">
        <f>700/0.96</f>
        <v>729.1666666666667</v>
      </c>
      <c r="M51" s="27">
        <f t="shared" si="0"/>
        <v>0.5833333333333334</v>
      </c>
      <c r="N51" s="83">
        <v>3495</v>
      </c>
      <c r="O51" s="27" t="s">
        <v>150</v>
      </c>
      <c r="P51" s="47" t="s">
        <v>85</v>
      </c>
    </row>
    <row r="52" spans="1:16" ht="14.25">
      <c r="A52" s="49"/>
      <c r="B52" s="53" t="s">
        <v>58</v>
      </c>
      <c r="C52" s="44">
        <v>39139</v>
      </c>
      <c r="D52" s="32">
        <v>0.25</v>
      </c>
      <c r="E52" s="44">
        <v>39139</v>
      </c>
      <c r="F52" s="32">
        <v>0.40625</v>
      </c>
      <c r="G52" s="62">
        <v>3.75</v>
      </c>
      <c r="H52" s="19">
        <v>14</v>
      </c>
      <c r="I52" s="80">
        <v>1405</v>
      </c>
      <c r="J52" s="80">
        <v>13.8</v>
      </c>
      <c r="K52" s="45">
        <f>1200/0.96</f>
        <v>1250</v>
      </c>
      <c r="L52" s="45">
        <f>650/0.96</f>
        <v>677.0833333333334</v>
      </c>
      <c r="M52" s="27">
        <f t="shared" si="0"/>
        <v>0.5416666666666667</v>
      </c>
      <c r="N52" s="83">
        <v>3495</v>
      </c>
      <c r="O52" s="27" t="s">
        <v>150</v>
      </c>
      <c r="P52" s="47" t="s">
        <v>79</v>
      </c>
    </row>
    <row r="53" spans="1:16" ht="14.25">
      <c r="A53" s="49"/>
      <c r="B53" s="53" t="s">
        <v>59</v>
      </c>
      <c r="C53" s="44">
        <v>39140</v>
      </c>
      <c r="D53" s="33">
        <v>0.2847222222222222</v>
      </c>
      <c r="E53" s="44">
        <v>39140</v>
      </c>
      <c r="F53" s="32">
        <v>0.4236111111111111</v>
      </c>
      <c r="G53" s="62">
        <v>3.1666666666666665</v>
      </c>
      <c r="H53" s="19">
        <v>14</v>
      </c>
      <c r="I53" s="80">
        <v>142</v>
      </c>
      <c r="J53" s="80">
        <v>69</v>
      </c>
      <c r="K53" s="45">
        <f>6300/0.96</f>
        <v>6562.5</v>
      </c>
      <c r="L53" s="45">
        <f>5450/0.96</f>
        <v>5677.083333333334</v>
      </c>
      <c r="M53" s="27">
        <f t="shared" si="0"/>
        <v>0.8650793650793652</v>
      </c>
      <c r="N53" s="83">
        <v>6388</v>
      </c>
      <c r="O53" s="27" t="s">
        <v>154</v>
      </c>
      <c r="P53" s="47" t="s">
        <v>145</v>
      </c>
    </row>
    <row r="54" spans="1:16" ht="14.25">
      <c r="A54" s="49"/>
      <c r="B54" s="53" t="s">
        <v>60</v>
      </c>
      <c r="C54" s="44">
        <v>39140</v>
      </c>
      <c r="D54" s="33">
        <v>0.2916666666666667</v>
      </c>
      <c r="E54" s="44">
        <v>39140</v>
      </c>
      <c r="F54" s="32">
        <v>0.3923611111111111</v>
      </c>
      <c r="G54" s="62">
        <v>2.4166666666666665</v>
      </c>
      <c r="H54" s="19">
        <v>22</v>
      </c>
      <c r="I54" s="80">
        <v>221</v>
      </c>
      <c r="J54" s="80">
        <v>69</v>
      </c>
      <c r="K54" s="45">
        <f>2800/0.96</f>
        <v>2916.666666666667</v>
      </c>
      <c r="L54" s="45">
        <f>1500/0.96</f>
        <v>1562.5</v>
      </c>
      <c r="M54" s="27">
        <f t="shared" si="0"/>
        <v>0.5357142857142857</v>
      </c>
      <c r="N54" s="83">
        <v>2500</v>
      </c>
      <c r="O54" s="27" t="s">
        <v>149</v>
      </c>
      <c r="P54" s="47" t="s">
        <v>146</v>
      </c>
    </row>
    <row r="55" spans="1:16" ht="14.25">
      <c r="A55" s="49"/>
      <c r="B55" s="53" t="s">
        <v>61</v>
      </c>
      <c r="C55" s="44">
        <v>39140</v>
      </c>
      <c r="D55" s="33">
        <v>0.3923611111111111</v>
      </c>
      <c r="E55" s="44">
        <v>39140</v>
      </c>
      <c r="F55" s="32">
        <v>0.5243055555555556</v>
      </c>
      <c r="G55" s="62">
        <v>3.16</v>
      </c>
      <c r="H55" s="19">
        <v>23</v>
      </c>
      <c r="I55" s="80">
        <v>2302</v>
      </c>
      <c r="J55" s="80">
        <v>13.8</v>
      </c>
      <c r="K55" s="45">
        <f>800/0.96</f>
        <v>833.3333333333334</v>
      </c>
      <c r="L55" s="45">
        <f>500/0.96</f>
        <v>520.8333333333334</v>
      </c>
      <c r="M55" s="27">
        <f t="shared" si="0"/>
        <v>0.625</v>
      </c>
      <c r="N55" s="83">
        <v>500</v>
      </c>
      <c r="O55" s="27" t="s">
        <v>149</v>
      </c>
      <c r="P55" s="47" t="s">
        <v>113</v>
      </c>
    </row>
    <row r="56" spans="1:16" ht="14.25">
      <c r="A56" s="49"/>
      <c r="B56" s="53" t="s">
        <v>62</v>
      </c>
      <c r="C56" s="44">
        <v>39140</v>
      </c>
      <c r="D56" s="32">
        <v>0.3333333333333333</v>
      </c>
      <c r="E56" s="44">
        <v>39140</v>
      </c>
      <c r="F56" s="32">
        <v>0.42569444444444443</v>
      </c>
      <c r="G56" s="62">
        <v>2.216666666666667</v>
      </c>
      <c r="H56" s="19">
        <v>15</v>
      </c>
      <c r="I56" s="80">
        <v>1502</v>
      </c>
      <c r="J56" s="80">
        <v>13.8</v>
      </c>
      <c r="K56" s="45">
        <f>1500/0.96</f>
        <v>1562.5</v>
      </c>
      <c r="L56" s="45">
        <f>600/0.96</f>
        <v>625</v>
      </c>
      <c r="M56" s="27">
        <f t="shared" si="0"/>
        <v>0.4</v>
      </c>
      <c r="N56" s="83">
        <v>53</v>
      </c>
      <c r="O56" s="27" t="s">
        <v>149</v>
      </c>
      <c r="P56" s="47" t="s">
        <v>70</v>
      </c>
    </row>
    <row r="57" spans="1:16" ht="14.25">
      <c r="A57" s="49"/>
      <c r="B57" s="53" t="s">
        <v>63</v>
      </c>
      <c r="C57" s="44">
        <v>39140</v>
      </c>
      <c r="D57" s="32">
        <v>0.49652777777777773</v>
      </c>
      <c r="E57" s="44">
        <v>39140</v>
      </c>
      <c r="F57" s="32">
        <v>0.5381944444444444</v>
      </c>
      <c r="G57" s="62">
        <v>1</v>
      </c>
      <c r="H57" s="19">
        <v>14</v>
      </c>
      <c r="I57" s="80">
        <v>1405</v>
      </c>
      <c r="J57" s="80">
        <v>13.8</v>
      </c>
      <c r="K57" s="45">
        <f>1200/0.96</f>
        <v>1250</v>
      </c>
      <c r="L57" s="45">
        <f>650/0.96</f>
        <v>677.0833333333334</v>
      </c>
      <c r="M57" s="27">
        <f t="shared" si="0"/>
        <v>0.5416666666666667</v>
      </c>
      <c r="N57" s="83">
        <v>3495</v>
      </c>
      <c r="O57" s="27" t="s">
        <v>149</v>
      </c>
      <c r="P57" s="47" t="s">
        <v>77</v>
      </c>
    </row>
    <row r="58" spans="1:16" ht="15" thickBot="1">
      <c r="A58" s="49"/>
      <c r="B58" s="66" t="s">
        <v>64</v>
      </c>
      <c r="C58" s="75">
        <v>39141</v>
      </c>
      <c r="D58" s="34">
        <v>0.5416666666666666</v>
      </c>
      <c r="E58" s="75">
        <v>39141</v>
      </c>
      <c r="F58" s="34">
        <v>0.5659722222222222</v>
      </c>
      <c r="G58" s="67">
        <v>0.5833333333333334</v>
      </c>
      <c r="H58" s="72">
        <v>18</v>
      </c>
      <c r="I58" s="82">
        <v>1802</v>
      </c>
      <c r="J58" s="82">
        <v>13.8</v>
      </c>
      <c r="K58" s="54">
        <f>2500/0.96</f>
        <v>2604.166666666667</v>
      </c>
      <c r="L58" s="54">
        <f>1600/0.96</f>
        <v>1666.6666666666667</v>
      </c>
      <c r="M58" s="29">
        <f t="shared" si="0"/>
        <v>0.6399999999999999</v>
      </c>
      <c r="N58" s="86">
        <v>1836</v>
      </c>
      <c r="O58" s="29" t="s">
        <v>153</v>
      </c>
      <c r="P58" s="55" t="s">
        <v>147</v>
      </c>
    </row>
    <row r="59" spans="12:16" ht="50.25" customHeight="1">
      <c r="L59" s="35"/>
      <c r="M59" s="36"/>
      <c r="N59" s="36"/>
      <c r="O59" s="37"/>
      <c r="P59" s="38"/>
    </row>
    <row r="60" spans="12:16" ht="14.25">
      <c r="L60" s="35"/>
      <c r="M60" s="36"/>
      <c r="N60" s="36"/>
      <c r="O60" s="37"/>
      <c r="P60" s="38"/>
    </row>
    <row r="61" spans="12:16" ht="14.25">
      <c r="L61" s="35"/>
      <c r="M61" s="36"/>
      <c r="N61" s="36"/>
      <c r="O61" s="37"/>
      <c r="P61" s="38"/>
    </row>
    <row r="62" spans="12:16" ht="14.25">
      <c r="L62" s="35"/>
      <c r="M62" s="36"/>
      <c r="N62" s="36"/>
      <c r="O62" s="37"/>
      <c r="P62" s="38"/>
    </row>
    <row r="63" spans="12:16" ht="14.25">
      <c r="L63" s="35"/>
      <c r="M63" s="36"/>
      <c r="N63" s="36"/>
      <c r="O63" s="37"/>
      <c r="P63" s="38"/>
    </row>
    <row r="64" spans="12:16" ht="14.25">
      <c r="L64" s="35"/>
      <c r="M64" s="36"/>
      <c r="N64" s="36"/>
      <c r="O64" s="37"/>
      <c r="P64" s="38"/>
    </row>
    <row r="65" spans="12:16" ht="14.25">
      <c r="L65" s="35"/>
      <c r="M65" s="36"/>
      <c r="N65" s="36"/>
      <c r="O65" s="37"/>
      <c r="P65" s="38"/>
    </row>
  </sheetData>
  <printOptions horizontalCentered="1" verticalCentered="1"/>
  <pageMargins left="0.17" right="0.27" top="0.7874015748031497" bottom="0.7874015748031497" header="0.15748031496062992" footer="0"/>
  <pageSetup fitToHeight="1" fitToWidth="1" horizontalDpi="600" verticalDpi="600" orientation="landscape" paperSize="9" scale="40" r:id="rId4"/>
  <headerFooter alignWithMargins="0">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centrosur 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Henry Espinoza</dc:creator>
  <cp:keywords/>
  <dc:description/>
  <cp:lastModifiedBy>sjara</cp:lastModifiedBy>
  <cp:lastPrinted>2007-03-13T19:53:36Z</cp:lastPrinted>
  <dcterms:created xsi:type="dcterms:W3CDTF">2002-07-03T16:19:52Z</dcterms:created>
  <dcterms:modified xsi:type="dcterms:W3CDTF">2007-03-13T19:53:45Z</dcterms:modified>
  <cp:category/>
  <cp:version/>
  <cp:contentType/>
  <cp:contentStatus/>
</cp:coreProperties>
</file>