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8475" windowHeight="8460" tabRatio="972" firstSheet="4" activeTab="5"/>
  </bookViews>
  <sheets>
    <sheet name="DEP. Y AMORT." sheetId="1" r:id="rId1"/>
    <sheet name="Datos + PyG" sheetId="2" r:id="rId2"/>
    <sheet name="FLUJO DE CAJA" sheetId="3" r:id="rId3"/>
    <sheet name="BALANCE GENERAL" sheetId="4" r:id="rId4"/>
    <sheet name="P. E" sheetId="5" r:id="rId5"/>
    <sheet name="ANALISIS DE SENSIBILIDAD" sheetId="6" r:id="rId6"/>
    <sheet name="A.S. baja morosidad" sheetId="7" r:id="rId7"/>
    <sheet name="A.S. sube morosidad" sheetId="8" r:id="rId8"/>
    <sheet name="A.S. baja precio" sheetId="9" r:id="rId9"/>
    <sheet name="A.S. aumenta precio" sheetId="10" r:id="rId10"/>
    <sheet name="A.S. baja demanda " sheetId="11" r:id="rId11"/>
    <sheet name="A.S. baja demanda  (2)" sheetId="12" r:id="rId12"/>
    <sheet name="A.S. aumento demanda " sheetId="13" r:id="rId13"/>
    <sheet name="A.S. aumento demanda  (2)" sheetId="14" r:id="rId14"/>
  </sheets>
  <externalReferences>
    <externalReference r:id="rId17"/>
  </externalReferences>
  <definedNames/>
  <calcPr fullCalcOnLoad="1"/>
</workbook>
</file>

<file path=xl/comments1.xml><?xml version="1.0" encoding="utf-8"?>
<comments xmlns="http://schemas.openxmlformats.org/spreadsheetml/2006/main">
  <authors>
    <author>Maginot</author>
  </authors>
  <commentList>
    <comment ref="A64" authorId="0">
      <text>
        <r>
          <rPr>
            <b/>
            <sz val="8"/>
            <rFont val="Tahoma"/>
            <family val="2"/>
          </rPr>
          <t>Maginot:</t>
        </r>
        <r>
          <rPr>
            <sz val="8"/>
            <rFont val="Tahoma"/>
            <family val="2"/>
          </rPr>
          <t xml:space="preserve">
a cuantos años amortizamos??</t>
        </r>
      </text>
    </comment>
  </commentList>
</comments>
</file>

<file path=xl/sharedStrings.xml><?xml version="1.0" encoding="utf-8"?>
<sst xmlns="http://schemas.openxmlformats.org/spreadsheetml/2006/main" count="1474" uniqueCount="247">
  <si>
    <t>Monto de prestamo por Hectarea</t>
  </si>
  <si>
    <t>Promedio de Hectareas por clientes</t>
  </si>
  <si>
    <t>5 Ha.</t>
  </si>
  <si>
    <t xml:space="preserve"> </t>
  </si>
  <si>
    <t>Crecimiento de prestamo por Hectarea</t>
  </si>
  <si>
    <t>Años</t>
  </si>
  <si>
    <t>por hectarea</t>
  </si>
  <si>
    <t>Hectarea</t>
  </si>
  <si>
    <t>Total</t>
  </si>
  <si>
    <t xml:space="preserve">Credito </t>
  </si>
  <si>
    <t>Otorgado</t>
  </si>
  <si>
    <t>PROYECCION DE CAPTACION DE FONDOS</t>
  </si>
  <si>
    <t>Capital</t>
  </si>
  <si>
    <t>Intereses</t>
  </si>
  <si>
    <t>Tasa</t>
  </si>
  <si>
    <t>TOTAL</t>
  </si>
  <si>
    <t xml:space="preserve">La empresa proyecta para los proximos cinco (5) años captar fondos del </t>
  </si>
  <si>
    <t>Credito</t>
  </si>
  <si>
    <t xml:space="preserve">Nota: Para establecer un ingreso  aproximado de intereses por colocación de credito </t>
  </si>
  <si>
    <t>Gastos Preoperacionales</t>
  </si>
  <si>
    <t xml:space="preserve">   Captación de fondos</t>
  </si>
  <si>
    <t xml:space="preserve">   Caja Chica</t>
  </si>
  <si>
    <t xml:space="preserve">   15% Trabajadores</t>
  </si>
  <si>
    <t xml:space="preserve">   Impuesto a la Renta</t>
  </si>
  <si>
    <t xml:space="preserve">   Telefonía Móvil</t>
  </si>
  <si>
    <t>Intereses Ganados</t>
  </si>
  <si>
    <t>Otros Ingresos</t>
  </si>
  <si>
    <t xml:space="preserve">  Publicidad</t>
  </si>
  <si>
    <t xml:space="preserve">  Sueldos</t>
  </si>
  <si>
    <t xml:space="preserve">  Beneficios Sociales</t>
  </si>
  <si>
    <t>Total Gastos Variables</t>
  </si>
  <si>
    <t xml:space="preserve">  Depreciaciones</t>
  </si>
  <si>
    <t xml:space="preserve">  Amortizaciones</t>
  </si>
  <si>
    <t>Utilidad Ejercicio</t>
  </si>
  <si>
    <t>15% part.trabajadores</t>
  </si>
  <si>
    <t>Utilidad Neta</t>
  </si>
  <si>
    <t>Utilidad Neta/Ingresos</t>
  </si>
  <si>
    <t>25% Impuesto Renta</t>
  </si>
  <si>
    <t xml:space="preserve">  Ctas. Por Cobrar (credito)</t>
  </si>
  <si>
    <t>Total Activo Corriente</t>
  </si>
  <si>
    <t xml:space="preserve">  Edificio</t>
  </si>
  <si>
    <t xml:space="preserve">  Muebles y Enseres</t>
  </si>
  <si>
    <t xml:space="preserve">  Equipo de Ofic. Y Comunic.</t>
  </si>
  <si>
    <t xml:space="preserve">  Vehiculos</t>
  </si>
  <si>
    <t xml:space="preserve">  Equipos de Computación</t>
  </si>
  <si>
    <t>Depreciación Acumulada</t>
  </si>
  <si>
    <t>Total Activo Fijo</t>
  </si>
  <si>
    <t xml:space="preserve">  Gastos de Constitución</t>
  </si>
  <si>
    <t xml:space="preserve">  Gastos Preoperacionales</t>
  </si>
  <si>
    <t>Amortización Acumulada</t>
  </si>
  <si>
    <t>Total Activo Diferido</t>
  </si>
  <si>
    <t xml:space="preserve">  Participacion Trabajadores</t>
  </si>
  <si>
    <t xml:space="preserve">  Capital</t>
  </si>
  <si>
    <t xml:space="preserve">  Utilidad del Ejercicio</t>
  </si>
  <si>
    <t>PE anual</t>
  </si>
  <si>
    <t>PE mensual</t>
  </si>
  <si>
    <t>Provisión</t>
  </si>
  <si>
    <t>Incobrables</t>
  </si>
  <si>
    <t xml:space="preserve">         cobranzas.</t>
  </si>
  <si>
    <t xml:space="preserve">         se provisiona el 1% para  cuentas incobrables.  Se prevee un 10.94% de moro-</t>
  </si>
  <si>
    <t>Util. antes Impto. Renta</t>
  </si>
  <si>
    <t>Castigo</t>
  </si>
  <si>
    <t>Mora</t>
  </si>
  <si>
    <t>a una tasa del 5%.</t>
  </si>
  <si>
    <t>EVALUACION FINANCIERA</t>
  </si>
  <si>
    <t>INVERSIONES</t>
  </si>
  <si>
    <t>APORTE</t>
  </si>
  <si>
    <r>
      <t xml:space="preserve">Inicio </t>
    </r>
    <r>
      <rPr>
        <b/>
        <sz val="11"/>
        <rFont val="Arial"/>
        <family val="2"/>
      </rPr>
      <t>933</t>
    </r>
    <r>
      <rPr>
        <sz val="11"/>
        <rFont val="Arial"/>
        <family val="2"/>
      </rPr>
      <t xml:space="preserve"> clientes, con un crecimiento anual del</t>
    </r>
  </si>
  <si>
    <t>DATOS</t>
  </si>
  <si>
    <t>TOTALES</t>
  </si>
  <si>
    <t>ESTADO DE PERDIDAS Y GANANCIAS PROYECTADO 5 AÑOS</t>
  </si>
  <si>
    <t>GASTOS</t>
  </si>
  <si>
    <t>INGRESOS</t>
  </si>
  <si>
    <t>TOTAL INGRESOS</t>
  </si>
  <si>
    <t>TOTAL GASTOS</t>
  </si>
  <si>
    <t xml:space="preserve">  Servicio de Seguridad Privada</t>
  </si>
  <si>
    <t>Total Gastos Fijos</t>
  </si>
  <si>
    <t>(expresado en miles de dolares)</t>
  </si>
  <si>
    <t>A DICIEMBRE DEL 2009</t>
  </si>
  <si>
    <t xml:space="preserve">  Prov. Incobrables</t>
  </si>
  <si>
    <t>TOTAL ACTIVOS</t>
  </si>
  <si>
    <t>ACTIVO CORRIENTE</t>
  </si>
  <si>
    <t>ACTIVO FIJO</t>
  </si>
  <si>
    <t>ACTIVO DIFERIDO</t>
  </si>
  <si>
    <t>ACTIVOS</t>
  </si>
  <si>
    <t>PASIVOS</t>
  </si>
  <si>
    <t>Total Pasivos</t>
  </si>
  <si>
    <t>PATRIMONIO</t>
  </si>
  <si>
    <t>Total Patrimonio</t>
  </si>
  <si>
    <t xml:space="preserve">  Obligaciones por Pagar (captaciones)</t>
  </si>
  <si>
    <t>TOTAL PASIVO Y PATRIMONIO</t>
  </si>
  <si>
    <t>Hectareas
promedio</t>
  </si>
  <si>
    <t># Clientes
promedio</t>
  </si>
  <si>
    <t xml:space="preserve">Monto de </t>
  </si>
  <si>
    <t xml:space="preserve">Total </t>
  </si>
  <si>
    <t>monto por</t>
  </si>
  <si>
    <t xml:space="preserve">FLUJO DE CAJA PROYECTADO </t>
  </si>
  <si>
    <t>EGRESOS</t>
  </si>
  <si>
    <t>VAN</t>
  </si>
  <si>
    <t>TIR</t>
  </si>
  <si>
    <t>año 0</t>
  </si>
  <si>
    <t xml:space="preserve">  Gastos de Arriendo</t>
  </si>
  <si>
    <t xml:space="preserve">   Colocaciones</t>
  </si>
  <si>
    <t xml:space="preserve">         en los siguientes cinco años se consideró una tasa del 13%, asi como también </t>
  </si>
  <si>
    <t xml:space="preserve">  Mantenimiento y combustible</t>
  </si>
  <si>
    <t xml:space="preserve">                    Ingresos</t>
  </si>
  <si>
    <t>Gastos Operacionales Variables</t>
  </si>
  <si>
    <t>Gastos Operacionales Fijos</t>
  </si>
  <si>
    <t xml:space="preserve">  =</t>
  </si>
  <si>
    <t xml:space="preserve">   =</t>
  </si>
  <si>
    <t>FLUJO DE EFECTIVO</t>
  </si>
  <si>
    <t xml:space="preserve">  Arriendos por Pagar</t>
  </si>
  <si>
    <t xml:space="preserve">  Impuestos por Pagar</t>
  </si>
  <si>
    <t>mercado financiero con un incremento anual del</t>
  </si>
  <si>
    <t>Cálculo del VAN para la CPPC como tasa de descuento</t>
  </si>
  <si>
    <t>CPPC</t>
  </si>
  <si>
    <t>Período</t>
  </si>
  <si>
    <t>Flujo</t>
  </si>
  <si>
    <t>Flujo Descontado</t>
  </si>
  <si>
    <t>Cálculo de la relación Beneficio Costo en base a la CPPC como tasa de descuento</t>
  </si>
  <si>
    <t>B/C</t>
  </si>
  <si>
    <t>TMAR</t>
  </si>
  <si>
    <t>VAN PROYECTO</t>
  </si>
  <si>
    <t>TIR PROYECTO</t>
  </si>
  <si>
    <t>RELACIÓN B/C</t>
  </si>
  <si>
    <t xml:space="preserve">  Intereses Pagados</t>
  </si>
  <si>
    <t>TOTAL DE INGRESOS</t>
  </si>
  <si>
    <t xml:space="preserve">   Recuperación de cartera</t>
  </si>
  <si>
    <t>TOTAL DE EGRESOS</t>
  </si>
  <si>
    <t>Ut. / Pérdida del Ejercicio</t>
  </si>
  <si>
    <t>Ut. / Pérdida antes Inp. Renta</t>
  </si>
  <si>
    <t>UTILIDAD/PÉRDIDA NETA</t>
  </si>
  <si>
    <t>Amortizaciones</t>
  </si>
  <si>
    <t>Valor de Salvamento</t>
  </si>
  <si>
    <t>EDIFICIOS</t>
  </si>
  <si>
    <t xml:space="preserve">Período de Depreciación: </t>
  </si>
  <si>
    <t>Valor Residual:</t>
  </si>
  <si>
    <t>% Residual:</t>
  </si>
  <si>
    <t>Año 0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</si>
  <si>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</si>
  <si>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</si>
  <si>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</si>
  <si>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</si>
  <si>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</si>
  <si>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</si>
  <si>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</si>
  <si>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</si>
  <si>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</si>
  <si>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</si>
  <si>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Año 11</t>
  </si>
  <si>
    <t>Año 12</t>
  </si>
  <si>
    <t>Año 13</t>
  </si>
  <si>
    <t>Año 14</t>
  </si>
  <si>
    <t>Año 15</t>
  </si>
  <si>
    <t>Año 16</t>
  </si>
  <si>
    <t>Año 17</t>
  </si>
  <si>
    <t>Año 18</t>
  </si>
  <si>
    <t>Año 19</t>
  </si>
  <si>
    <t>Año 20</t>
  </si>
  <si>
    <t>Valor Depreciable</t>
  </si>
  <si>
    <t xml:space="preserve"> -</t>
  </si>
  <si>
    <t>Depreciación Anual</t>
  </si>
  <si>
    <t>Valor en Libros</t>
  </si>
  <si>
    <t>MUEBLES Y ENSERES</t>
  </si>
  <si>
    <t>EQUIPOS DE OFICINA</t>
  </si>
  <si>
    <t>EQUIPOS DE COMUNICACIÓN</t>
  </si>
  <si>
    <t>VEHÍCULOS</t>
  </si>
  <si>
    <t>EQUIPOS DE COMPUTACIÓN</t>
  </si>
  <si>
    <t>TOTAL DE DEPRECIACIONES</t>
  </si>
  <si>
    <t>Depreciaciones anuales</t>
  </si>
  <si>
    <t>Valor en libros total al 5to año</t>
  </si>
  <si>
    <t>año1</t>
  </si>
  <si>
    <t>año2</t>
  </si>
  <si>
    <t>año3</t>
  </si>
  <si>
    <t>año4</t>
  </si>
  <si>
    <t>año5</t>
  </si>
  <si>
    <t>Constitución de la Compañía</t>
  </si>
  <si>
    <t>Valor Amortizar</t>
  </si>
  <si>
    <t>Amortización  Anual</t>
  </si>
  <si>
    <t>Método de Línea Recta (DEPRECIACIONES)</t>
  </si>
  <si>
    <t>AMORTIZACIONES</t>
  </si>
  <si>
    <t>TOTAL AMORTIZACIONES</t>
  </si>
  <si>
    <t>Anuales</t>
  </si>
  <si>
    <t>Para llevar a cabo este proyecto la empresa cuenta con el financiamiento inicial que proviene del aporte de los accionistas.</t>
  </si>
  <si>
    <t xml:space="preserve">         sidad del  credito  otorgado, catigandose  al cliente con un  6%  por  gastos de</t>
  </si>
  <si>
    <t>Depreciaciones</t>
  </si>
  <si>
    <t>1.- Terrenos</t>
  </si>
  <si>
    <t>2.-  Edificios</t>
  </si>
  <si>
    <t>4.- Vehiculos</t>
  </si>
  <si>
    <t>computación, equipos de comunicación y equipos varios</t>
  </si>
  <si>
    <t xml:space="preserve">3.- Muebles y enseres, Eq. de oficina y </t>
  </si>
  <si>
    <t xml:space="preserve">  Terreno</t>
  </si>
  <si>
    <t xml:space="preserve">  Servicios Básicos</t>
  </si>
  <si>
    <t xml:space="preserve">  Provisión de Cuentas Incobrables</t>
  </si>
  <si>
    <t xml:space="preserve">  Gastos varios</t>
  </si>
  <si>
    <t>BALANCE GENERAL  CREDIFIN S.A.</t>
  </si>
  <si>
    <t>Punto de Equilibrio (cálculo y gráfico)</t>
  </si>
  <si>
    <t>Costos Fijos</t>
  </si>
  <si>
    <t>año 1</t>
  </si>
  <si>
    <t>año 2</t>
  </si>
  <si>
    <t>año 3</t>
  </si>
  <si>
    <t>año 4</t>
  </si>
  <si>
    <t>año 5</t>
  </si>
  <si>
    <t>Ingresos</t>
  </si>
  <si>
    <r>
      <t xml:space="preserve">    1     -  Co</t>
    </r>
    <r>
      <rPr>
        <u val="single"/>
        <sz val="10"/>
        <rFont val="Arial"/>
        <family val="2"/>
      </rPr>
      <t>stos Variables</t>
    </r>
  </si>
  <si>
    <t>Ingresos  -  Costos Variables</t>
  </si>
  <si>
    <t xml:space="preserve">       =     </t>
  </si>
  <si>
    <t xml:space="preserve">        =</t>
  </si>
  <si>
    <t xml:space="preserve">     =</t>
  </si>
  <si>
    <t xml:space="preserve">      1     -</t>
  </si>
  <si>
    <t>dólares</t>
  </si>
  <si>
    <t>%</t>
  </si>
  <si>
    <t>CF</t>
  </si>
  <si>
    <t>CV</t>
  </si>
  <si>
    <t>CT</t>
  </si>
  <si>
    <t>PE</t>
  </si>
  <si>
    <t>ANALISIS DE SENSIBILIDAD UNIDIMENSIONAL</t>
  </si>
  <si>
    <t>% CAMBIO</t>
  </si>
  <si>
    <t>VAN VS. PRECIO</t>
  </si>
  <si>
    <t>TIR VS. PRECIO</t>
  </si>
  <si>
    <t>TIR VS. DEMANDA DE CRÉDITOS</t>
  </si>
  <si>
    <t>VAN VS. DEMANDA DE CRÉDITOS</t>
  </si>
  <si>
    <t>VAN VS. TASA MOROSIDAD</t>
  </si>
  <si>
    <t xml:space="preserve"> - 2 PUNTOS</t>
  </si>
  <si>
    <t xml:space="preserve"> - 5 PUNTOS</t>
  </si>
  <si>
    <t xml:space="preserve"> + 2 PUNTOS</t>
  </si>
  <si>
    <t xml:space="preserve"> + 5 PUNTOS</t>
  </si>
  <si>
    <t>TIR VS. TASA DE MOROSIDAD</t>
  </si>
  <si>
    <t>FUENTE BANCO CENTRAL</t>
  </si>
  <si>
    <r>
      <t xml:space="preserve">Inversión Inicial
</t>
    </r>
    <r>
      <rPr>
        <sz val="10"/>
        <rFont val="Arial"/>
        <family val="2"/>
      </rPr>
      <t>(capital de trabajo)</t>
    </r>
  </si>
  <si>
    <t>PROYECCIÓN COLOCACIÓN DE CRÉDITOS</t>
  </si>
  <si>
    <t>392,702.50 - 119,985.00</t>
  </si>
  <si>
    <t>AVERIGUAR CONCEPTO PE</t>
  </si>
  <si>
    <t xml:space="preserve"> + 1 PUNTO</t>
  </si>
  <si>
    <t xml:space="preserve"> - 1 PUNTO</t>
  </si>
  <si>
    <t>TIR y VAN negativo no viabilidad del proyecto</t>
  </si>
  <si>
    <t>desmuetsran ser sensibles al cambio</t>
  </si>
  <si>
    <t xml:space="preserve">  Caja / Banco</t>
  </si>
  <si>
    <t>morosidad 6,78%</t>
  </si>
  <si>
    <t>morosidad 9,78%</t>
  </si>
  <si>
    <t>morosidad 13,78%</t>
  </si>
  <si>
    <t>morosidad 16,78%</t>
  </si>
  <si>
    <t>Tasa de crecimiento</t>
  </si>
  <si>
    <t>disminución en 1 punto</t>
  </si>
  <si>
    <t>aumento en 1 punto</t>
  </si>
  <si>
    <t>disminución en 2 punto</t>
  </si>
  <si>
    <t>aumento en 2 punto</t>
  </si>
</sst>
</file>

<file path=xl/styles.xml><?xml version="1.0" encoding="utf-8"?>
<styleSheet xmlns="http://schemas.openxmlformats.org/spreadsheetml/2006/main">
  <numFmts count="6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409]dddd\,\ mmmm\ dd\,\ yyyy"/>
    <numFmt numFmtId="187" formatCode="[$-409]h:mm:ss\ AM/PM"/>
    <numFmt numFmtId="188" formatCode="0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#,##0.00;[Red]#,##0.00"/>
    <numFmt numFmtId="194" formatCode="&quot;$&quot;\ #,##0.00;[Red]&quot;$&quot;\ #,##0.00"/>
    <numFmt numFmtId="195" formatCode="#,##0.000"/>
    <numFmt numFmtId="196" formatCode="_ * #,##0.000_ ;_ * \-#,##0.000_ ;_ * &quot;-&quot;???_ ;_ @_ "/>
    <numFmt numFmtId="197" formatCode="_-* #,##0\ &quot;Pts&quot;_-;\-* #,##0\ &quot;Pts&quot;_-;_-* &quot;-&quot;\ &quot;Pts&quot;_-;_-@_-"/>
    <numFmt numFmtId="198" formatCode="_-* #,##0\ _P_t_s_-;\-* #,##0\ _P_t_s_-;_-* &quot;-&quot;\ _P_t_s_-;_-@_-"/>
    <numFmt numFmtId="199" formatCode="_-* #,##0.00\ &quot;Pts&quot;_-;\-* #,##0.00\ &quot;Pts&quot;_-;_-* &quot;-&quot;??\ &quot;Pts&quot;_-;_-@_-"/>
    <numFmt numFmtId="200" formatCode="_-* #,##0.00\ _P_t_s_-;\-* #,##0.00\ _P_t_s_-;_-* &quot;-&quot;??\ _P_t_s_-;_-@_-"/>
    <numFmt numFmtId="201" formatCode="0.0000"/>
    <numFmt numFmtId="202" formatCode="0.000"/>
    <numFmt numFmtId="203" formatCode="0.0"/>
    <numFmt numFmtId="204" formatCode="0.00_ ;[Red]\-0.00\ "/>
    <numFmt numFmtId="205" formatCode="0.000000000"/>
    <numFmt numFmtId="206" formatCode="0.0000000000"/>
    <numFmt numFmtId="207" formatCode="0.00000000"/>
    <numFmt numFmtId="208" formatCode="0.0000000"/>
    <numFmt numFmtId="209" formatCode="0.000000"/>
    <numFmt numFmtId="210" formatCode="0.00000"/>
    <numFmt numFmtId="211" formatCode="0.0%"/>
    <numFmt numFmtId="212" formatCode="_(* #,##0.000_);_(* \(#,##0.000\);_(* &quot;-&quot;??_);_(@_)"/>
    <numFmt numFmtId="213" formatCode="_(* #,##0.0000_);_(* \(#,##0.0000\);_(* &quot;-&quot;??_);_(@_)"/>
    <numFmt numFmtId="214" formatCode="_(* #,##0.00000_);_(* \(#,##0.00000\);_(* &quot;-&quot;??_);_(@_)"/>
    <numFmt numFmtId="215" formatCode="0.000%"/>
  </numFmts>
  <fonts count="72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1"/>
      <color indexed="52"/>
      <name val="Calibri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color indexed="12"/>
      <name val="Arial"/>
      <family val="2"/>
    </font>
    <font>
      <sz val="10"/>
      <name val="Courier New"/>
      <family val="3"/>
    </font>
    <font>
      <b/>
      <sz val="10"/>
      <color indexed="17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6"/>
      <color indexed="10"/>
      <name val="Verdana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2"/>
      <color indexed="30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7"/>
      <color indexed="8"/>
      <name val="Georgia"/>
      <family val="1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"/>
      <family val="2"/>
    </font>
    <font>
      <b/>
      <sz val="16"/>
      <color rgb="FFFF0000"/>
      <name val="Verdana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0070C0"/>
      <name val="Arial"/>
      <family val="2"/>
    </font>
    <font>
      <b/>
      <sz val="8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7CEEF4"/>
        <bgColor indexed="64"/>
      </patternFill>
    </fill>
    <fill>
      <patternFill patternType="solid">
        <fgColor rgb="FFFEBEFF"/>
        <bgColor indexed="64"/>
      </patternFill>
    </fill>
    <fill>
      <patternFill patternType="solid">
        <fgColor rgb="FFBCF0A2"/>
        <bgColor indexed="64"/>
      </patternFill>
    </fill>
    <fill>
      <patternFill patternType="solid">
        <fgColor rgb="FF84D4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DC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12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33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54" fillId="0" borderId="9" applyNumberFormat="0" applyFill="0" applyAlignment="0" applyProtection="0"/>
    <xf numFmtId="0" fontId="64" fillId="0" borderId="10" applyNumberFormat="0" applyFill="0" applyAlignment="0" applyProtection="0"/>
  </cellStyleXfs>
  <cellXfs count="338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0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2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/>
    </xf>
    <xf numFmtId="4" fontId="6" fillId="0" borderId="21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2" fontId="0" fillId="0" borderId="25" xfId="0" applyNumberFormat="1" applyBorder="1" applyAlignment="1">
      <alignment horizontal="center"/>
    </xf>
    <xf numFmtId="0" fontId="2" fillId="0" borderId="15" xfId="0" applyFont="1" applyBorder="1" applyAlignment="1">
      <alignment/>
    </xf>
    <xf numFmtId="10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6" xfId="0" applyFont="1" applyBorder="1" applyAlignment="1">
      <alignment/>
    </xf>
    <xf numFmtId="10" fontId="0" fillId="0" borderId="21" xfId="0" applyNumberFormat="1" applyBorder="1" applyAlignment="1">
      <alignment horizontal="center"/>
    </xf>
    <xf numFmtId="4" fontId="0" fillId="0" borderId="27" xfId="0" applyNumberFormat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4" fontId="9" fillId="0" borderId="27" xfId="0" applyNumberFormat="1" applyFont="1" applyBorder="1" applyAlignment="1">
      <alignment horizontal="center"/>
    </xf>
    <xf numFmtId="4" fontId="9" fillId="0" borderId="27" xfId="0" applyNumberFormat="1" applyFont="1" applyBorder="1" applyAlignment="1">
      <alignment/>
    </xf>
    <xf numFmtId="0" fontId="9" fillId="0" borderId="0" xfId="0" applyFont="1" applyAlignment="1">
      <alignment/>
    </xf>
    <xf numFmtId="1" fontId="9" fillId="0" borderId="27" xfId="0" applyNumberFormat="1" applyFont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9" fontId="6" fillId="34" borderId="30" xfId="0" applyNumberFormat="1" applyFont="1" applyFill="1" applyBorder="1" applyAlignment="1">
      <alignment horizontal="center"/>
    </xf>
    <xf numFmtId="0" fontId="6" fillId="34" borderId="31" xfId="0" applyFont="1" applyFill="1" applyBorder="1" applyAlignment="1">
      <alignment/>
    </xf>
    <xf numFmtId="0" fontId="6" fillId="34" borderId="32" xfId="0" applyFont="1" applyFill="1" applyBorder="1" applyAlignment="1">
      <alignment horizontal="center"/>
    </xf>
    <xf numFmtId="0" fontId="6" fillId="34" borderId="33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36" xfId="0" applyFont="1" applyFill="1" applyBorder="1" applyAlignment="1">
      <alignment horizontal="center"/>
    </xf>
    <xf numFmtId="0" fontId="10" fillId="34" borderId="37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1" fontId="9" fillId="34" borderId="13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6" fillId="0" borderId="27" xfId="0" applyFont="1" applyBorder="1" applyAlignment="1">
      <alignment/>
    </xf>
    <xf numFmtId="0" fontId="6" fillId="35" borderId="27" xfId="0" applyFont="1" applyFill="1" applyBorder="1" applyAlignment="1">
      <alignment horizontal="center"/>
    </xf>
    <xf numFmtId="0" fontId="10" fillId="35" borderId="27" xfId="0" applyFont="1" applyFill="1" applyBorder="1" applyAlignment="1">
      <alignment horizontal="left"/>
    </xf>
    <xf numFmtId="4" fontId="10" fillId="35" borderId="27" xfId="0" applyNumberFormat="1" applyFont="1" applyFill="1" applyBorder="1" applyAlignment="1">
      <alignment horizontal="center"/>
    </xf>
    <xf numFmtId="0" fontId="10" fillId="35" borderId="27" xfId="0" applyFont="1" applyFill="1" applyBorder="1" applyAlignment="1">
      <alignment/>
    </xf>
    <xf numFmtId="4" fontId="6" fillId="0" borderId="27" xfId="0" applyNumberFormat="1" applyFont="1" applyBorder="1" applyAlignment="1">
      <alignment/>
    </xf>
    <xf numFmtId="0" fontId="0" fillId="0" borderId="27" xfId="0" applyFont="1" applyBorder="1" applyAlignment="1">
      <alignment/>
    </xf>
    <xf numFmtId="4" fontId="6" fillId="36" borderId="27" xfId="0" applyNumberFormat="1" applyFont="1" applyFill="1" applyBorder="1" applyAlignment="1">
      <alignment/>
    </xf>
    <xf numFmtId="0" fontId="0" fillId="36" borderId="27" xfId="0" applyFill="1" applyBorder="1" applyAlignment="1">
      <alignment/>
    </xf>
    <xf numFmtId="0" fontId="6" fillId="34" borderId="27" xfId="0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193" fontId="11" fillId="0" borderId="0" xfId="0" applyNumberFormat="1" applyFont="1" applyAlignment="1">
      <alignment/>
    </xf>
    <xf numFmtId="4" fontId="10" fillId="34" borderId="27" xfId="0" applyNumberFormat="1" applyFont="1" applyFill="1" applyBorder="1" applyAlignment="1">
      <alignment/>
    </xf>
    <xf numFmtId="0" fontId="6" fillId="21" borderId="0" xfId="0" applyFont="1" applyFill="1" applyAlignment="1">
      <alignment/>
    </xf>
    <xf numFmtId="0" fontId="0" fillId="21" borderId="0" xfId="0" applyFill="1" applyAlignment="1">
      <alignment/>
    </xf>
    <xf numFmtId="4" fontId="6" fillId="21" borderId="0" xfId="0" applyNumberFormat="1" applyFont="1" applyFill="1" applyAlignment="1">
      <alignment/>
    </xf>
    <xf numFmtId="4" fontId="0" fillId="21" borderId="0" xfId="0" applyNumberFormat="1" applyFill="1" applyAlignment="1">
      <alignment/>
    </xf>
    <xf numFmtId="0" fontId="6" fillId="0" borderId="26" xfId="0" applyFont="1" applyBorder="1" applyAlignment="1">
      <alignment/>
    </xf>
    <xf numFmtId="0" fontId="6" fillId="0" borderId="38" xfId="0" applyFont="1" applyBorder="1" applyAlignment="1">
      <alignment/>
    </xf>
    <xf numFmtId="4" fontId="0" fillId="0" borderId="11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1" xfId="0" applyFill="1" applyBorder="1" applyAlignment="1">
      <alignment/>
    </xf>
    <xf numFmtId="4" fontId="0" fillId="0" borderId="0" xfId="0" applyNumberFormat="1" applyBorder="1" applyAlignment="1">
      <alignment horizontal="center"/>
    </xf>
    <xf numFmtId="0" fontId="6" fillId="0" borderId="43" xfId="0" applyFont="1" applyBorder="1" applyAlignment="1">
      <alignment/>
    </xf>
    <xf numFmtId="4" fontId="6" fillId="0" borderId="11" xfId="0" applyNumberFormat="1" applyFont="1" applyBorder="1" applyAlignment="1">
      <alignment/>
    </xf>
    <xf numFmtId="0" fontId="0" fillId="0" borderId="44" xfId="0" applyBorder="1" applyAlignment="1">
      <alignment/>
    </xf>
    <xf numFmtId="4" fontId="6" fillId="0" borderId="0" xfId="0" applyNumberFormat="1" applyFont="1" applyFill="1" applyBorder="1" applyAlignment="1">
      <alignment/>
    </xf>
    <xf numFmtId="0" fontId="0" fillId="0" borderId="45" xfId="0" applyBorder="1" applyAlignment="1">
      <alignment/>
    </xf>
    <xf numFmtId="4" fontId="0" fillId="0" borderId="46" xfId="0" applyNumberFormat="1" applyBorder="1" applyAlignment="1">
      <alignment/>
    </xf>
    <xf numFmtId="0" fontId="6" fillId="0" borderId="45" xfId="0" applyFont="1" applyBorder="1" applyAlignment="1">
      <alignment/>
    </xf>
    <xf numFmtId="4" fontId="6" fillId="0" borderId="46" xfId="0" applyNumberFormat="1" applyFont="1" applyBorder="1" applyAlignment="1">
      <alignment/>
    </xf>
    <xf numFmtId="0" fontId="6" fillId="36" borderId="47" xfId="0" applyFont="1" applyFill="1" applyBorder="1" applyAlignment="1">
      <alignment/>
    </xf>
    <xf numFmtId="10" fontId="6" fillId="0" borderId="48" xfId="0" applyNumberFormat="1" applyFont="1" applyBorder="1" applyAlignment="1">
      <alignment/>
    </xf>
    <xf numFmtId="0" fontId="6" fillId="37" borderId="45" xfId="0" applyFont="1" applyFill="1" applyBorder="1" applyAlignment="1">
      <alignment/>
    </xf>
    <xf numFmtId="175" fontId="6" fillId="0" borderId="46" xfId="0" applyNumberFormat="1" applyFont="1" applyBorder="1" applyAlignment="1">
      <alignment/>
    </xf>
    <xf numFmtId="0" fontId="6" fillId="38" borderId="45" xfId="0" applyFont="1" applyFill="1" applyBorder="1" applyAlignment="1">
      <alignment/>
    </xf>
    <xf numFmtId="0" fontId="6" fillId="39" borderId="49" xfId="0" applyFont="1" applyFill="1" applyBorder="1" applyAlignment="1">
      <alignment/>
    </xf>
    <xf numFmtId="4" fontId="6" fillId="0" borderId="50" xfId="0" applyNumberFormat="1" applyFont="1" applyBorder="1" applyAlignment="1">
      <alignment/>
    </xf>
    <xf numFmtId="0" fontId="6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46" xfId="0" applyFont="1" applyFill="1" applyBorder="1" applyAlignment="1">
      <alignment horizontal="center"/>
    </xf>
    <xf numFmtId="0" fontId="5" fillId="36" borderId="45" xfId="0" applyFont="1" applyFill="1" applyBorder="1" applyAlignment="1">
      <alignment/>
    </xf>
    <xf numFmtId="0" fontId="0" fillId="36" borderId="46" xfId="0" applyFill="1" applyBorder="1" applyAlignment="1">
      <alignment/>
    </xf>
    <xf numFmtId="0" fontId="0" fillId="0" borderId="45" xfId="0" applyFill="1" applyBorder="1" applyAlignment="1">
      <alignment/>
    </xf>
    <xf numFmtId="4" fontId="6" fillId="36" borderId="46" xfId="0" applyNumberFormat="1" applyFont="1" applyFill="1" applyBorder="1" applyAlignment="1">
      <alignment/>
    </xf>
    <xf numFmtId="0" fontId="0" fillId="0" borderId="45" xfId="0" applyFont="1" applyBorder="1" applyAlignment="1">
      <alignment/>
    </xf>
    <xf numFmtId="0" fontId="6" fillId="34" borderId="49" xfId="0" applyFont="1" applyFill="1" applyBorder="1" applyAlignment="1">
      <alignment/>
    </xf>
    <xf numFmtId="10" fontId="6" fillId="34" borderId="51" xfId="0" applyNumberFormat="1" applyFont="1" applyFill="1" applyBorder="1" applyAlignment="1">
      <alignment/>
    </xf>
    <xf numFmtId="10" fontId="6" fillId="34" borderId="5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27" xfId="55" applyFont="1" applyBorder="1">
      <alignment/>
      <protection/>
    </xf>
    <xf numFmtId="0" fontId="0" fillId="0" borderId="27" xfId="55" applyFont="1" applyFill="1" applyBorder="1">
      <alignment/>
      <protection/>
    </xf>
    <xf numFmtId="0" fontId="10" fillId="0" borderId="0" xfId="55" applyFont="1">
      <alignment/>
      <protection/>
    </xf>
    <xf numFmtId="0" fontId="9" fillId="0" borderId="0" xfId="55" applyFont="1" applyBorder="1" applyAlignment="1">
      <alignment horizontal="center"/>
      <protection/>
    </xf>
    <xf numFmtId="0" fontId="9" fillId="0" borderId="0" xfId="55" applyFont="1">
      <alignment/>
      <protection/>
    </xf>
    <xf numFmtId="0" fontId="9" fillId="0" borderId="27" xfId="55" applyFont="1" applyBorder="1" applyAlignment="1">
      <alignment horizontal="center"/>
      <protection/>
    </xf>
    <xf numFmtId="0" fontId="9" fillId="0" borderId="27" xfId="55" applyFont="1" applyBorder="1">
      <alignment/>
      <protection/>
    </xf>
    <xf numFmtId="0" fontId="14" fillId="0" borderId="0" xfId="55" applyFont="1">
      <alignment/>
      <protection/>
    </xf>
    <xf numFmtId="4" fontId="0" fillId="0" borderId="27" xfId="55" applyNumberFormat="1" applyFont="1" applyBorder="1">
      <alignment/>
      <protection/>
    </xf>
    <xf numFmtId="203" fontId="0" fillId="0" borderId="27" xfId="55" applyNumberFormat="1" applyFont="1" applyBorder="1">
      <alignment/>
      <protection/>
    </xf>
    <xf numFmtId="0" fontId="9" fillId="0" borderId="0" xfId="0" applyFont="1" applyAlignment="1">
      <alignment/>
    </xf>
    <xf numFmtId="0" fontId="10" fillId="13" borderId="52" xfId="55" applyFont="1" applyFill="1" applyBorder="1" applyAlignment="1">
      <alignment horizontal="center"/>
      <protection/>
    </xf>
    <xf numFmtId="0" fontId="10" fillId="13" borderId="27" xfId="55" applyFont="1" applyFill="1" applyBorder="1" applyAlignment="1">
      <alignment horizontal="center"/>
      <protection/>
    </xf>
    <xf numFmtId="0" fontId="9" fillId="0" borderId="28" xfId="55" applyFont="1" applyBorder="1">
      <alignment/>
      <protection/>
    </xf>
    <xf numFmtId="4" fontId="9" fillId="0" borderId="27" xfId="55" applyNumberFormat="1" applyFont="1" applyBorder="1" applyAlignment="1">
      <alignment horizontal="center"/>
      <protection/>
    </xf>
    <xf numFmtId="4" fontId="9" fillId="0" borderId="27" xfId="55" applyNumberFormat="1" applyFont="1" applyBorder="1">
      <alignment/>
      <protection/>
    </xf>
    <xf numFmtId="203" fontId="9" fillId="0" borderId="0" xfId="55" applyNumberFormat="1" applyFont="1">
      <alignment/>
      <protection/>
    </xf>
    <xf numFmtId="0" fontId="9" fillId="0" borderId="0" xfId="55" applyFont="1" applyBorder="1" applyAlignment="1">
      <alignment horizontal="left" vertical="center"/>
      <protection/>
    </xf>
    <xf numFmtId="0" fontId="9" fillId="0" borderId="0" xfId="55" applyFont="1" applyBorder="1">
      <alignment/>
      <protection/>
    </xf>
    <xf numFmtId="203" fontId="9" fillId="0" borderId="27" xfId="55" applyNumberFormat="1" applyFont="1" applyBorder="1">
      <alignment/>
      <protection/>
    </xf>
    <xf numFmtId="4" fontId="10" fillId="0" borderId="0" xfId="55" applyNumberFormat="1" applyFont="1">
      <alignment/>
      <protection/>
    </xf>
    <xf numFmtId="0" fontId="10" fillId="0" borderId="0" xfId="55" applyFont="1" applyAlignment="1">
      <alignment horizontal="left"/>
      <protection/>
    </xf>
    <xf numFmtId="0" fontId="9" fillId="0" borderId="0" xfId="55" applyFont="1" applyAlignment="1">
      <alignment horizontal="right"/>
      <protection/>
    </xf>
    <xf numFmtId="0" fontId="9" fillId="0" borderId="0" xfId="0" applyFont="1" applyBorder="1" applyAlignment="1">
      <alignment/>
    </xf>
    <xf numFmtId="2" fontId="9" fillId="0" borderId="0" xfId="55" applyNumberFormat="1" applyFont="1" applyBorder="1">
      <alignment/>
      <protection/>
    </xf>
    <xf numFmtId="4" fontId="9" fillId="0" borderId="0" xfId="55" applyNumberFormat="1" applyFont="1" applyBorder="1">
      <alignment/>
      <protection/>
    </xf>
    <xf numFmtId="4" fontId="10" fillId="0" borderId="32" xfId="55" applyNumberFormat="1" applyFont="1" applyBorder="1">
      <alignment/>
      <protection/>
    </xf>
    <xf numFmtId="0" fontId="6" fillId="40" borderId="27" xfId="55" applyFont="1" applyFill="1" applyBorder="1">
      <alignment/>
      <protection/>
    </xf>
    <xf numFmtId="0" fontId="6" fillId="40" borderId="27" xfId="55" applyFont="1" applyFill="1" applyBorder="1" applyAlignment="1">
      <alignment horizontal="center"/>
      <protection/>
    </xf>
    <xf numFmtId="0" fontId="0" fillId="0" borderId="0" xfId="56">
      <alignment/>
      <protection/>
    </xf>
    <xf numFmtId="0" fontId="0" fillId="0" borderId="27" xfId="56" applyBorder="1">
      <alignment/>
      <protection/>
    </xf>
    <xf numFmtId="0" fontId="0" fillId="0" borderId="28" xfId="56" applyBorder="1">
      <alignment/>
      <protection/>
    </xf>
    <xf numFmtId="0" fontId="0" fillId="0" borderId="36" xfId="56" applyBorder="1" applyAlignment="1">
      <alignment horizontal="center"/>
      <protection/>
    </xf>
    <xf numFmtId="0" fontId="0" fillId="0" borderId="27" xfId="56" applyBorder="1" applyAlignment="1">
      <alignment horizontal="center"/>
      <protection/>
    </xf>
    <xf numFmtId="0" fontId="0" fillId="0" borderId="52" xfId="56" applyBorder="1">
      <alignment/>
      <protection/>
    </xf>
    <xf numFmtId="0" fontId="0" fillId="0" borderId="36" xfId="56" applyBorder="1">
      <alignment/>
      <protection/>
    </xf>
    <xf numFmtId="0" fontId="0" fillId="0" borderId="28" xfId="56" applyBorder="1" applyAlignment="1">
      <alignment horizontal="center"/>
      <protection/>
    </xf>
    <xf numFmtId="0" fontId="14" fillId="0" borderId="0" xfId="0" applyFont="1" applyAlignment="1">
      <alignment/>
    </xf>
    <xf numFmtId="0" fontId="6" fillId="0" borderId="0" xfId="56" applyFont="1" applyBorder="1" applyAlignment="1">
      <alignment vertical="center" wrapText="1"/>
      <protection/>
    </xf>
    <xf numFmtId="0" fontId="6" fillId="16" borderId="27" xfId="56" applyFont="1" applyFill="1" applyBorder="1" applyAlignment="1">
      <alignment horizontal="center"/>
      <protection/>
    </xf>
    <xf numFmtId="0" fontId="6" fillId="16" borderId="52" xfId="56" applyFont="1" applyFill="1" applyBorder="1" applyAlignment="1">
      <alignment horizontal="center"/>
      <protection/>
    </xf>
    <xf numFmtId="4" fontId="6" fillId="0" borderId="27" xfId="55" applyNumberFormat="1" applyFont="1" applyBorder="1">
      <alignment/>
      <protection/>
    </xf>
    <xf numFmtId="0" fontId="6" fillId="0" borderId="0" xfId="0" applyFont="1" applyFill="1" applyBorder="1" applyAlignment="1">
      <alignment/>
    </xf>
    <xf numFmtId="2" fontId="0" fillId="0" borderId="27" xfId="0" applyNumberFormat="1" applyBorder="1" applyAlignment="1">
      <alignment/>
    </xf>
    <xf numFmtId="10" fontId="0" fillId="0" borderId="27" xfId="0" applyNumberFormat="1" applyBorder="1" applyAlignment="1">
      <alignment/>
    </xf>
    <xf numFmtId="0" fontId="6" fillId="19" borderId="27" xfId="0" applyFont="1" applyFill="1" applyBorder="1" applyAlignment="1">
      <alignment/>
    </xf>
    <xf numFmtId="4" fontId="6" fillId="19" borderId="27" xfId="0" applyNumberFormat="1" applyFont="1" applyFill="1" applyBorder="1" applyAlignment="1">
      <alignment/>
    </xf>
    <xf numFmtId="0" fontId="6" fillId="41" borderId="27" xfId="0" applyFont="1" applyFill="1" applyBorder="1" applyAlignment="1">
      <alignment/>
    </xf>
    <xf numFmtId="4" fontId="0" fillId="41" borderId="27" xfId="0" applyNumberFormat="1" applyFill="1" applyBorder="1" applyAlignment="1">
      <alignment/>
    </xf>
    <xf numFmtId="4" fontId="6" fillId="41" borderId="27" xfId="0" applyNumberFormat="1" applyFont="1" applyFill="1" applyBorder="1" applyAlignment="1">
      <alignment/>
    </xf>
    <xf numFmtId="0" fontId="6" fillId="42" borderId="27" xfId="0" applyFont="1" applyFill="1" applyBorder="1" applyAlignment="1">
      <alignment horizontal="center"/>
    </xf>
    <xf numFmtId="2" fontId="6" fillId="19" borderId="27" xfId="0" applyNumberFormat="1" applyFont="1" applyFill="1" applyBorder="1" applyAlignment="1">
      <alignment/>
    </xf>
    <xf numFmtId="0" fontId="6" fillId="43" borderId="0" xfId="0" applyFont="1" applyFill="1" applyAlignment="1">
      <alignment/>
    </xf>
    <xf numFmtId="4" fontId="6" fillId="43" borderId="0" xfId="0" applyNumberFormat="1" applyFont="1" applyFill="1" applyAlignment="1">
      <alignment/>
    </xf>
    <xf numFmtId="0" fontId="65" fillId="0" borderId="0" xfId="0" applyFont="1" applyAlignment="1">
      <alignment/>
    </xf>
    <xf numFmtId="10" fontId="6" fillId="0" borderId="0" xfId="0" applyNumberFormat="1" applyFont="1" applyFill="1" applyBorder="1" applyAlignment="1">
      <alignment/>
    </xf>
    <xf numFmtId="175" fontId="6" fillId="0" borderId="0" xfId="0" applyNumberFormat="1" applyFont="1" applyFill="1" applyBorder="1" applyAlignment="1">
      <alignment/>
    </xf>
    <xf numFmtId="9" fontId="6" fillId="0" borderId="0" xfId="0" applyNumberFormat="1" applyFont="1" applyFill="1" applyBorder="1" applyAlignment="1">
      <alignment/>
    </xf>
    <xf numFmtId="0" fontId="66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53" xfId="0" applyFont="1" applyBorder="1" applyAlignment="1">
      <alignment wrapText="1"/>
    </xf>
    <xf numFmtId="4" fontId="6" fillId="0" borderId="54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12" xfId="0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Fill="1" applyAlignment="1">
      <alignment horizontal="left"/>
    </xf>
    <xf numFmtId="4" fontId="67" fillId="0" borderId="42" xfId="0" applyNumberFormat="1" applyFont="1" applyBorder="1" applyAlignment="1">
      <alignment horizontal="left"/>
    </xf>
    <xf numFmtId="0" fontId="0" fillId="0" borderId="55" xfId="0" applyBorder="1" applyAlignment="1">
      <alignment/>
    </xf>
    <xf numFmtId="0" fontId="0" fillId="0" borderId="0" xfId="0" applyFont="1" applyBorder="1" applyAlignment="1">
      <alignment/>
    </xf>
    <xf numFmtId="0" fontId="6" fillId="19" borderId="41" xfId="0" applyFont="1" applyFill="1" applyBorder="1" applyAlignment="1">
      <alignment/>
    </xf>
    <xf numFmtId="0" fontId="0" fillId="19" borderId="0" xfId="0" applyFont="1" applyFill="1" applyBorder="1" applyAlignment="1">
      <alignment/>
    </xf>
    <xf numFmtId="4" fontId="6" fillId="19" borderId="0" xfId="0" applyNumberFormat="1" applyFont="1" applyFill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41" xfId="0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6" fillId="40" borderId="27" xfId="0" applyFont="1" applyFill="1" applyBorder="1" applyAlignment="1">
      <alignment horizontal="center"/>
    </xf>
    <xf numFmtId="0" fontId="9" fillId="44" borderId="28" xfId="0" applyFont="1" applyFill="1" applyBorder="1" applyAlignment="1">
      <alignment horizontal="center"/>
    </xf>
    <xf numFmtId="1" fontId="9" fillId="44" borderId="27" xfId="0" applyNumberFormat="1" applyFont="1" applyFill="1" applyBorder="1" applyAlignment="1">
      <alignment horizontal="center"/>
    </xf>
    <xf numFmtId="4" fontId="9" fillId="44" borderId="27" xfId="0" applyNumberFormat="1" applyFont="1" applyFill="1" applyBorder="1" applyAlignment="1">
      <alignment/>
    </xf>
    <xf numFmtId="4" fontId="9" fillId="45" borderId="27" xfId="55" applyNumberFormat="1" applyFont="1" applyFill="1" applyBorder="1" applyAlignment="1">
      <alignment horizontal="center"/>
      <protection/>
    </xf>
    <xf numFmtId="4" fontId="9" fillId="45" borderId="27" xfId="55" applyNumberFormat="1" applyFont="1" applyFill="1" applyBorder="1">
      <alignment/>
      <protection/>
    </xf>
    <xf numFmtId="4" fontId="10" fillId="45" borderId="27" xfId="55" applyNumberFormat="1" applyFont="1" applyFill="1" applyBorder="1">
      <alignment/>
      <protection/>
    </xf>
    <xf numFmtId="0" fontId="9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" fillId="0" borderId="27" xfId="0" applyFont="1" applyBorder="1" applyAlignment="1">
      <alignment wrapText="1"/>
    </xf>
    <xf numFmtId="0" fontId="6" fillId="29" borderId="56" xfId="0" applyFont="1" applyFill="1" applyBorder="1" applyAlignment="1">
      <alignment horizontal="center"/>
    </xf>
    <xf numFmtId="4" fontId="6" fillId="0" borderId="46" xfId="0" applyNumberFormat="1" applyFont="1" applyFill="1" applyBorder="1" applyAlignment="1">
      <alignment/>
    </xf>
    <xf numFmtId="4" fontId="0" fillId="0" borderId="50" xfId="0" applyNumberFormat="1" applyBorder="1" applyAlignment="1">
      <alignment/>
    </xf>
    <xf numFmtId="4" fontId="0" fillId="0" borderId="46" xfId="0" applyNumberFormat="1" applyFont="1" applyFill="1" applyBorder="1" applyAlignment="1">
      <alignment/>
    </xf>
    <xf numFmtId="0" fontId="6" fillId="46" borderId="56" xfId="0" applyFont="1" applyFill="1" applyBorder="1" applyAlignment="1">
      <alignment horizontal="center"/>
    </xf>
    <xf numFmtId="0" fontId="6" fillId="46" borderId="57" xfId="0" applyFont="1" applyFill="1" applyBorder="1" applyAlignment="1">
      <alignment horizontal="center"/>
    </xf>
    <xf numFmtId="0" fontId="6" fillId="47" borderId="56" xfId="0" applyFont="1" applyFill="1" applyBorder="1" applyAlignment="1">
      <alignment horizontal="center"/>
    </xf>
    <xf numFmtId="0" fontId="6" fillId="47" borderId="57" xfId="0" applyFont="1" applyFill="1" applyBorder="1" applyAlignment="1">
      <alignment horizontal="center"/>
    </xf>
    <xf numFmtId="0" fontId="6" fillId="48" borderId="56" xfId="0" applyFont="1" applyFill="1" applyBorder="1" applyAlignment="1">
      <alignment horizontal="center"/>
    </xf>
    <xf numFmtId="10" fontId="69" fillId="0" borderId="0" xfId="0" applyNumberFormat="1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4" fontId="69" fillId="0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49" borderId="0" xfId="0" applyFont="1" applyFill="1" applyAlignment="1">
      <alignment/>
    </xf>
    <xf numFmtId="4" fontId="5" fillId="0" borderId="0" xfId="0" applyNumberFormat="1" applyFont="1" applyAlignment="1">
      <alignment/>
    </xf>
    <xf numFmtId="4" fontId="0" fillId="0" borderId="32" xfId="0" applyNumberFormat="1" applyFill="1" applyBorder="1" applyAlignment="1">
      <alignment/>
    </xf>
    <xf numFmtId="0" fontId="0" fillId="0" borderId="27" xfId="0" applyFont="1" applyBorder="1" applyAlignment="1">
      <alignment/>
    </xf>
    <xf numFmtId="9" fontId="0" fillId="0" borderId="45" xfId="0" applyNumberFormat="1" applyFont="1" applyBorder="1" applyAlignment="1">
      <alignment horizontal="center"/>
    </xf>
    <xf numFmtId="9" fontId="0" fillId="0" borderId="49" xfId="0" applyNumberFormat="1" applyFont="1" applyBorder="1" applyAlignment="1">
      <alignment horizontal="center"/>
    </xf>
    <xf numFmtId="0" fontId="6" fillId="8" borderId="56" xfId="0" applyFont="1" applyFill="1" applyBorder="1" applyAlignment="1">
      <alignment horizontal="center"/>
    </xf>
    <xf numFmtId="4" fontId="0" fillId="0" borderId="27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29" borderId="57" xfId="0" applyFont="1" applyFill="1" applyBorder="1" applyAlignment="1">
      <alignment horizontal="center"/>
    </xf>
    <xf numFmtId="0" fontId="6" fillId="8" borderId="57" xfId="0" applyFont="1" applyFill="1" applyBorder="1" applyAlignment="1">
      <alignment horizontal="center"/>
    </xf>
    <xf numFmtId="0" fontId="0" fillId="0" borderId="45" xfId="0" applyFont="1" applyBorder="1" applyAlignment="1">
      <alignment/>
    </xf>
    <xf numFmtId="4" fontId="0" fillId="0" borderId="46" xfId="0" applyNumberFormat="1" applyFont="1" applyBorder="1" applyAlignment="1">
      <alignment/>
    </xf>
    <xf numFmtId="44" fontId="10" fillId="0" borderId="0" xfId="55" applyNumberFormat="1" applyFont="1">
      <alignment/>
      <protection/>
    </xf>
    <xf numFmtId="4" fontId="0" fillId="0" borderId="32" xfId="0" applyNumberFormat="1" applyFont="1" applyFill="1" applyBorder="1" applyAlignment="1">
      <alignment/>
    </xf>
    <xf numFmtId="4" fontId="10" fillId="45" borderId="27" xfId="55" applyNumberFormat="1" applyFont="1" applyFill="1" applyBorder="1">
      <alignment/>
      <protection/>
    </xf>
    <xf numFmtId="4" fontId="0" fillId="0" borderId="27" xfId="0" applyNumberForma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67" fillId="0" borderId="42" xfId="0" applyNumberFormat="1" applyFont="1" applyBorder="1" applyAlignment="1">
      <alignment horizontal="center"/>
    </xf>
    <xf numFmtId="0" fontId="0" fillId="40" borderId="0" xfId="0" applyFill="1" applyAlignment="1">
      <alignment/>
    </xf>
    <xf numFmtId="0" fontId="21" fillId="40" borderId="0" xfId="0" applyFont="1" applyFill="1" applyAlignment="1">
      <alignment/>
    </xf>
    <xf numFmtId="4" fontId="67" fillId="0" borderId="0" xfId="0" applyNumberFormat="1" applyFont="1" applyBorder="1" applyAlignment="1">
      <alignment horizontal="left"/>
    </xf>
    <xf numFmtId="4" fontId="67" fillId="0" borderId="0" xfId="0" applyNumberFormat="1" applyFont="1" applyBorder="1" applyAlignment="1">
      <alignment horizontal="center"/>
    </xf>
    <xf numFmtId="10" fontId="0" fillId="44" borderId="16" xfId="0" applyNumberForma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48" borderId="57" xfId="0" applyFont="1" applyFill="1" applyBorder="1" applyAlignment="1">
      <alignment horizontal="center"/>
    </xf>
    <xf numFmtId="10" fontId="0" fillId="0" borderId="16" xfId="0" applyNumberFormat="1" applyFill="1" applyBorder="1" applyAlignment="1">
      <alignment horizontal="center"/>
    </xf>
    <xf numFmtId="4" fontId="0" fillId="0" borderId="46" xfId="0" applyNumberFormat="1" applyBorder="1" applyAlignment="1">
      <alignment horizontal="right"/>
    </xf>
    <xf numFmtId="4" fontId="0" fillId="49" borderId="46" xfId="0" applyNumberFormat="1" applyFont="1" applyFill="1" applyBorder="1" applyAlignment="1">
      <alignment horizontal="right"/>
    </xf>
    <xf numFmtId="4" fontId="6" fillId="0" borderId="42" xfId="0" applyNumberFormat="1" applyFont="1" applyFill="1" applyBorder="1" applyAlignment="1">
      <alignment horizontal="right"/>
    </xf>
    <xf numFmtId="4" fontId="0" fillId="0" borderId="50" xfId="0" applyNumberFormat="1" applyBorder="1" applyAlignment="1">
      <alignment horizontal="right"/>
    </xf>
    <xf numFmtId="0" fontId="6" fillId="50" borderId="56" xfId="0" applyFont="1" applyFill="1" applyBorder="1" applyAlignment="1">
      <alignment horizontal="center"/>
    </xf>
    <xf numFmtId="0" fontId="6" fillId="50" borderId="57" xfId="0" applyFont="1" applyFill="1" applyBorder="1" applyAlignment="1">
      <alignment horizontal="center"/>
    </xf>
    <xf numFmtId="1" fontId="6" fillId="0" borderId="45" xfId="0" applyNumberFormat="1" applyFont="1" applyBorder="1" applyAlignment="1">
      <alignment horizontal="center"/>
    </xf>
    <xf numFmtId="0" fontId="6" fillId="16" borderId="30" xfId="56" applyFont="1" applyFill="1" applyBorder="1" applyAlignment="1">
      <alignment horizontal="center" vertical="center" wrapText="1"/>
      <protection/>
    </xf>
    <xf numFmtId="0" fontId="6" fillId="16" borderId="28" xfId="56" applyFont="1" applyFill="1" applyBorder="1" applyAlignment="1">
      <alignment horizontal="center" vertical="center" wrapText="1"/>
      <protection/>
    </xf>
    <xf numFmtId="0" fontId="6" fillId="16" borderId="27" xfId="56" applyFont="1" applyFill="1" applyBorder="1" applyAlignment="1">
      <alignment horizontal="center" vertical="center" wrapText="1"/>
      <protection/>
    </xf>
    <xf numFmtId="0" fontId="10" fillId="13" borderId="27" xfId="55" applyFont="1" applyFill="1" applyBorder="1" applyAlignment="1">
      <alignment horizontal="center" vertical="center" wrapText="1"/>
      <protection/>
    </xf>
    <xf numFmtId="0" fontId="10" fillId="13" borderId="30" xfId="55" applyFont="1" applyFill="1" applyBorder="1" applyAlignment="1">
      <alignment horizontal="center" vertical="center" wrapText="1"/>
      <protection/>
    </xf>
    <xf numFmtId="0" fontId="10" fillId="13" borderId="28" xfId="55" applyFont="1" applyFill="1" applyBorder="1" applyAlignment="1">
      <alignment horizontal="center" vertical="center" wrapText="1"/>
      <protection/>
    </xf>
    <xf numFmtId="0" fontId="10" fillId="13" borderId="30" xfId="55" applyFont="1" applyFill="1" applyBorder="1" applyAlignment="1">
      <alignment horizontal="center" vertical="center"/>
      <protection/>
    </xf>
    <xf numFmtId="0" fontId="10" fillId="13" borderId="28" xfId="55" applyFont="1" applyFill="1" applyBorder="1" applyAlignment="1">
      <alignment horizontal="center" vertical="center"/>
      <protection/>
    </xf>
    <xf numFmtId="0" fontId="6" fillId="34" borderId="41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42" xfId="0" applyFont="1" applyFill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8" fillId="51" borderId="23" xfId="0" applyFont="1" applyFill="1" applyBorder="1" applyAlignment="1">
      <alignment horizontal="center"/>
    </xf>
    <xf numFmtId="0" fontId="8" fillId="51" borderId="24" xfId="0" applyFont="1" applyFill="1" applyBorder="1" applyAlignment="1">
      <alignment horizontal="center"/>
    </xf>
    <xf numFmtId="0" fontId="8" fillId="51" borderId="25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34" borderId="30" xfId="0" applyFont="1" applyFill="1" applyBorder="1" applyAlignment="1">
      <alignment horizontal="center" wrapText="1"/>
    </xf>
    <xf numFmtId="0" fontId="6" fillId="34" borderId="33" xfId="0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15" fillId="34" borderId="55" xfId="0" applyFont="1" applyFill="1" applyBorder="1" applyAlignment="1">
      <alignment horizontal="center"/>
    </xf>
    <xf numFmtId="0" fontId="15" fillId="34" borderId="39" xfId="0" applyFont="1" applyFill="1" applyBorder="1" applyAlignment="1">
      <alignment horizontal="center"/>
    </xf>
    <xf numFmtId="0" fontId="15" fillId="34" borderId="40" xfId="0" applyFont="1" applyFill="1" applyBorder="1" applyAlignment="1">
      <alignment horizontal="center"/>
    </xf>
    <xf numFmtId="0" fontId="15" fillId="13" borderId="27" xfId="0" applyFont="1" applyFill="1" applyBorder="1" applyAlignment="1">
      <alignment horizontal="center"/>
    </xf>
    <xf numFmtId="0" fontId="6" fillId="37" borderId="55" xfId="0" applyFont="1" applyFill="1" applyBorder="1" applyAlignment="1">
      <alignment horizontal="center"/>
    </xf>
    <xf numFmtId="0" fontId="6" fillId="37" borderId="39" xfId="0" applyFont="1" applyFill="1" applyBorder="1" applyAlignment="1">
      <alignment horizontal="center"/>
    </xf>
    <xf numFmtId="0" fontId="6" fillId="37" borderId="4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10" fontId="0" fillId="49" borderId="0" xfId="0" applyNumberFormat="1" applyFill="1" applyAlignment="1">
      <alignment horizontal="center"/>
    </xf>
    <xf numFmtId="10" fontId="6" fillId="49" borderId="0" xfId="0" applyNumberFormat="1" applyFont="1" applyFill="1" applyBorder="1" applyAlignment="1">
      <alignment horizontal="center"/>
    </xf>
    <xf numFmtId="10" fontId="0" fillId="49" borderId="0" xfId="58" applyNumberFormat="1" applyFont="1" applyFill="1" applyBorder="1" applyAlignment="1">
      <alignment horizontal="center"/>
    </xf>
    <xf numFmtId="10" fontId="0" fillId="49" borderId="0" xfId="58" applyNumberFormat="1" applyFont="1" applyFill="1" applyAlignment="1">
      <alignment horizontal="center"/>
    </xf>
    <xf numFmtId="43" fontId="0" fillId="0" borderId="0" xfId="48" applyFont="1" applyAlignment="1">
      <alignment/>
    </xf>
    <xf numFmtId="214" fontId="0" fillId="0" borderId="0" xfId="48" applyNumberFormat="1" applyFont="1" applyAlignment="1">
      <alignment/>
    </xf>
    <xf numFmtId="10" fontId="0" fillId="0" borderId="0" xfId="58" applyNumberFormat="1" applyFont="1" applyAlignment="1">
      <alignment/>
    </xf>
    <xf numFmtId="10" fontId="0" fillId="0" borderId="46" xfId="58" applyNumberFormat="1" applyFont="1" applyBorder="1" applyAlignment="1">
      <alignment horizontal="right"/>
    </xf>
    <xf numFmtId="10" fontId="6" fillId="0" borderId="42" xfId="58" applyNumberFormat="1" applyFont="1" applyFill="1" applyBorder="1" applyAlignment="1">
      <alignment horizontal="right"/>
    </xf>
    <xf numFmtId="10" fontId="0" fillId="0" borderId="50" xfId="58" applyNumberFormat="1" applyFont="1" applyBorder="1" applyAlignment="1">
      <alignment horizontal="right"/>
    </xf>
    <xf numFmtId="215" fontId="0" fillId="0" borderId="0" xfId="58" applyNumberFormat="1" applyFont="1" applyAlignment="1">
      <alignment/>
    </xf>
    <xf numFmtId="0" fontId="0" fillId="52" borderId="0" xfId="0" applyFill="1" applyAlignment="1">
      <alignment/>
    </xf>
    <xf numFmtId="10" fontId="0" fillId="52" borderId="0" xfId="58" applyNumberFormat="1" applyFont="1" applyFill="1" applyAlignment="1">
      <alignment/>
    </xf>
    <xf numFmtId="43" fontId="0" fillId="52" borderId="0" xfId="48" applyFont="1" applyFill="1" applyAlignment="1">
      <alignment/>
    </xf>
    <xf numFmtId="10" fontId="0" fillId="52" borderId="39" xfId="58" applyNumberFormat="1" applyFont="1" applyFill="1" applyBorder="1" applyAlignment="1">
      <alignment/>
    </xf>
    <xf numFmtId="0" fontId="0" fillId="52" borderId="40" xfId="0" applyFill="1" applyBorder="1" applyAlignment="1">
      <alignment/>
    </xf>
    <xf numFmtId="43" fontId="0" fillId="52" borderId="41" xfId="48" applyFont="1" applyFill="1" applyBorder="1" applyAlignment="1">
      <alignment/>
    </xf>
    <xf numFmtId="10" fontId="0" fillId="52" borderId="0" xfId="58" applyNumberFormat="1" applyFont="1" applyFill="1" applyBorder="1" applyAlignment="1">
      <alignment/>
    </xf>
    <xf numFmtId="0" fontId="0" fillId="52" borderId="42" xfId="0" applyFill="1" applyBorder="1" applyAlignment="1">
      <alignment/>
    </xf>
    <xf numFmtId="0" fontId="0" fillId="52" borderId="41" xfId="0" applyFill="1" applyBorder="1" applyAlignment="1">
      <alignment/>
    </xf>
    <xf numFmtId="0" fontId="0" fillId="52" borderId="0" xfId="0" applyFill="1" applyBorder="1" applyAlignment="1">
      <alignment/>
    </xf>
    <xf numFmtId="43" fontId="0" fillId="52" borderId="43" xfId="48" applyFont="1" applyFill="1" applyBorder="1" applyAlignment="1">
      <alignment/>
    </xf>
    <xf numFmtId="10" fontId="0" fillId="52" borderId="11" xfId="58" applyNumberFormat="1" applyFont="1" applyFill="1" applyBorder="1" applyAlignment="1">
      <alignment/>
    </xf>
    <xf numFmtId="0" fontId="0" fillId="52" borderId="44" xfId="0" applyFill="1" applyBorder="1" applyAlignment="1">
      <alignment/>
    </xf>
    <xf numFmtId="43" fontId="0" fillId="52" borderId="55" xfId="48" applyFont="1" applyFill="1" applyBorder="1" applyAlignment="1">
      <alignment/>
    </xf>
    <xf numFmtId="43" fontId="2" fillId="0" borderId="0" xfId="48" applyFont="1" applyAlignment="1">
      <alignment/>
    </xf>
    <xf numFmtId="10" fontId="9" fillId="0" borderId="27" xfId="58" applyNumberFormat="1" applyFont="1" applyBorder="1" applyAlignment="1">
      <alignment horizontal="center"/>
    </xf>
    <xf numFmtId="43" fontId="2" fillId="52" borderId="0" xfId="48" applyFont="1" applyFill="1" applyAlignment="1">
      <alignment/>
    </xf>
    <xf numFmtId="0" fontId="6" fillId="52" borderId="58" xfId="0" applyFont="1" applyFill="1" applyBorder="1" applyAlignment="1">
      <alignment/>
    </xf>
    <xf numFmtId="212" fontId="0" fillId="52" borderId="0" xfId="48" applyNumberFormat="1" applyFont="1" applyFill="1" applyAlignment="1">
      <alignment/>
    </xf>
    <xf numFmtId="0" fontId="0" fillId="53" borderId="0" xfId="0" applyFill="1" applyAlignment="1">
      <alignment/>
    </xf>
    <xf numFmtId="10" fontId="0" fillId="53" borderId="0" xfId="58" applyNumberFormat="1" applyFont="1" applyFill="1" applyBorder="1" applyAlignment="1">
      <alignment/>
    </xf>
    <xf numFmtId="10" fontId="0" fillId="0" borderId="46" xfId="58" applyNumberFormat="1" applyFont="1" applyFill="1" applyBorder="1" applyAlignment="1">
      <alignment/>
    </xf>
    <xf numFmtId="10" fontId="0" fillId="0" borderId="46" xfId="58" applyNumberFormat="1" applyFont="1" applyBorder="1" applyAlignment="1">
      <alignment/>
    </xf>
    <xf numFmtId="10" fontId="0" fillId="0" borderId="42" xfId="58" applyNumberFormat="1" applyFont="1" applyFill="1" applyBorder="1" applyAlignment="1">
      <alignment/>
    </xf>
    <xf numFmtId="10" fontId="0" fillId="0" borderId="50" xfId="58" applyNumberFormat="1" applyFont="1" applyBorder="1" applyAlignment="1">
      <alignment/>
    </xf>
    <xf numFmtId="10" fontId="6" fillId="0" borderId="46" xfId="58" applyNumberFormat="1" applyFont="1" applyBorder="1" applyAlignment="1">
      <alignment/>
    </xf>
    <xf numFmtId="10" fontId="6" fillId="43" borderId="0" xfId="58" applyNumberFormat="1" applyFont="1" applyFill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Porcentual 2" xfId="59"/>
    <cellStyle name="Porcentual 3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Punto de Equilibrio CREDIFIN S.A.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95625"/>
          <c:h val="0.66425"/>
        </c:manualLayout>
      </c:layout>
      <c:lineChart>
        <c:grouping val="standard"/>
        <c:varyColors val="0"/>
        <c:ser>
          <c:idx val="0"/>
          <c:order val="0"/>
          <c:tx>
            <c:strRef>
              <c:f>'P. E'!$H$36</c:f>
              <c:strCache>
                <c:ptCount val="1"/>
                <c:pt idx="0">
                  <c:v>CT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'P. E'!$I$33:$N$33</c:f>
              <c:strCache/>
            </c:strRef>
          </c:cat>
          <c:val>
            <c:numRef>
              <c:f>'P. E'!$I$36:$N$36</c:f>
              <c:numCache/>
            </c:numRef>
          </c:val>
          <c:smooth val="0"/>
        </c:ser>
        <c:ser>
          <c:idx val="1"/>
          <c:order val="1"/>
          <c:tx>
            <c:strRef>
              <c:f>'P. E'!$H$37</c:f>
              <c:strCache>
                <c:ptCount val="1"/>
                <c:pt idx="0">
                  <c:v>Ingresos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'P. E'!$I$33:$N$33</c:f>
              <c:strCache/>
            </c:strRef>
          </c:cat>
          <c:val>
            <c:numRef>
              <c:f>'P. E'!$I$37:$N$37</c:f>
              <c:numCache/>
            </c:numRef>
          </c:val>
          <c:smooth val="0"/>
        </c:ser>
        <c:marker val="1"/>
        <c:axId val="37213667"/>
        <c:axId val="66487548"/>
      </c:lineChart>
      <c:catAx>
        <c:axId val="372136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487548"/>
        <c:crosses val="autoZero"/>
        <c:auto val="1"/>
        <c:lblOffset val="100"/>
        <c:tickLblSkip val="1"/>
        <c:noMultiLvlLbl val="0"/>
      </c:catAx>
      <c:valAx>
        <c:axId val="664875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2136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175"/>
          <c:y val="0.896"/>
          <c:w val="0.312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VAN vs. DEMANDA DE CRÉDITOS</a:t>
            </a:r>
          </a:p>
        </c:rich>
      </c:tx>
      <c:layout>
        <c:manualLayout>
          <c:xMode val="factor"/>
          <c:yMode val="factor"/>
          <c:x val="0.03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20375"/>
          <c:w val="0.915"/>
          <c:h val="0.7375"/>
        </c:manualLayout>
      </c:layout>
      <c:lineChart>
        <c:grouping val="standard"/>
        <c:varyColors val="0"/>
        <c:ser>
          <c:idx val="0"/>
          <c:order val="0"/>
          <c:tx>
            <c:strRef>
              <c:f>'ANALISIS DE SENSIBILIDAD'!$B$7</c:f>
              <c:strCache>
                <c:ptCount val="1"/>
                <c:pt idx="0">
                  <c:v>VAN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'ANALISIS DE SENSIBILIDAD'!$A$8:$A$12</c:f>
              <c:strCache/>
            </c:strRef>
          </c:cat>
          <c:val>
            <c:numRef>
              <c:f>'ANALISIS DE SENSIBILIDAD'!$B$8:$B$12</c:f>
              <c:numCache/>
            </c:numRef>
          </c:val>
          <c:smooth val="0"/>
        </c:ser>
        <c:marker val="1"/>
        <c:axId val="61517021"/>
        <c:axId val="16782278"/>
      </c:lineChart>
      <c:catAx>
        <c:axId val="6151702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782278"/>
        <c:crosses val="autoZero"/>
        <c:auto val="1"/>
        <c:lblOffset val="100"/>
        <c:tickLblSkip val="1"/>
        <c:noMultiLvlLbl val="0"/>
      </c:catAx>
      <c:valAx>
        <c:axId val="167822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170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1375"/>
          <c:y val="0.9335"/>
          <c:w val="0.348"/>
          <c:h val="0.05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AC09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TIR vs. DEMANDA DE CRÉDITOS</a:t>
            </a:r>
          </a:p>
        </c:rich>
      </c:tx>
      <c:layout>
        <c:manualLayout>
          <c:xMode val="factor"/>
          <c:yMode val="factor"/>
          <c:x val="-0.002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75"/>
          <c:y val="0.1885"/>
          <c:w val="0.8495"/>
          <c:h val="0.75075"/>
        </c:manualLayout>
      </c:layout>
      <c:lineChart>
        <c:grouping val="standard"/>
        <c:varyColors val="0"/>
        <c:ser>
          <c:idx val="1"/>
          <c:order val="0"/>
          <c:tx>
            <c:strRef>
              <c:f>'ANALISIS DE SENSIBILIDAD'!$B$16</c:f>
              <c:strCache>
                <c:ptCount val="1"/>
                <c:pt idx="0">
                  <c:v>TIR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'ANALISIS DE SENSIBILIDAD'!$A$17:$A$21</c:f>
              <c:strCache/>
            </c:strRef>
          </c:cat>
          <c:val>
            <c:numRef>
              <c:f>'ANALISIS DE SENSIBILIDAD'!$B$17:$B$21</c:f>
              <c:numCache/>
            </c:numRef>
          </c:val>
          <c:smooth val="0"/>
        </c:ser>
        <c:marker val="1"/>
        <c:axId val="16822775"/>
        <c:axId val="17187248"/>
      </c:lineChart>
      <c:catAx>
        <c:axId val="168227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7187248"/>
        <c:crosses val="autoZero"/>
        <c:auto val="1"/>
        <c:lblOffset val="100"/>
        <c:tickLblSkip val="1"/>
        <c:noMultiLvlLbl val="0"/>
      </c:catAx>
      <c:valAx>
        <c:axId val="171872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68227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plotArea>
    <c:legend>
      <c:legendPos val="b"/>
      <c:layout>
        <c:manualLayout>
          <c:xMode val="edge"/>
          <c:yMode val="edge"/>
          <c:x val="0.43975"/>
          <c:y val="0.91625"/>
          <c:w val="0.1345"/>
          <c:h val="0.08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84D4F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VAN vs. PRECIO DEL CRÉDITO</a:t>
            </a:r>
          </a:p>
        </c:rich>
      </c:tx>
      <c:layout>
        <c:manualLayout>
          <c:xMode val="factor"/>
          <c:yMode val="factor"/>
          <c:x val="0.081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173"/>
          <c:w val="0.95225"/>
          <c:h val="0.836"/>
        </c:manualLayout>
      </c:layout>
      <c:lineChart>
        <c:grouping val="standard"/>
        <c:varyColors val="0"/>
        <c:ser>
          <c:idx val="0"/>
          <c:order val="0"/>
          <c:tx>
            <c:strRef>
              <c:f>'ANALISIS DE SENSIBILIDAD'!$B$25</c:f>
              <c:strCache>
                <c:ptCount val="1"/>
                <c:pt idx="0">
                  <c:v>VAN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'ANALISIS DE SENSIBILIDAD'!$A$26:$A$30</c:f>
              <c:strCache/>
            </c:strRef>
          </c:cat>
          <c:val>
            <c:numRef>
              <c:f>'ANALISIS DE SENSIBILIDAD'!$B$26:$B$30</c:f>
              <c:numCache/>
            </c:numRef>
          </c:val>
          <c:smooth val="0"/>
        </c:ser>
        <c:marker val="1"/>
        <c:axId val="20467505"/>
        <c:axId val="49989818"/>
      </c:lineChart>
      <c:catAx>
        <c:axId val="20467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89818"/>
        <c:crosses val="autoZero"/>
        <c:auto val="1"/>
        <c:lblOffset val="100"/>
        <c:tickLblSkip val="1"/>
        <c:noMultiLvlLbl val="0"/>
      </c:catAx>
      <c:valAx>
        <c:axId val="499898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675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375"/>
          <c:y val="0.91925"/>
          <c:w val="0.2565"/>
          <c:h val="0.08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BCF0A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TIR vs. PRECIO DEL CRÉDITO</a:t>
            </a:r>
          </a:p>
        </c:rich>
      </c:tx>
      <c:layout>
        <c:manualLayout>
          <c:xMode val="factor"/>
          <c:yMode val="factor"/>
          <c:x val="0.01525"/>
          <c:y val="-0.03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6825"/>
          <c:w val="0.99625"/>
          <c:h val="0.84325"/>
        </c:manualLayout>
      </c:layout>
      <c:lineChart>
        <c:grouping val="standard"/>
        <c:varyColors val="0"/>
        <c:ser>
          <c:idx val="0"/>
          <c:order val="0"/>
          <c:tx>
            <c:strRef>
              <c:f>'ANALISIS DE SENSIBILIDAD'!$B$34</c:f>
              <c:strCache>
                <c:ptCount val="1"/>
                <c:pt idx="0">
                  <c:v>TIR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'ANALISIS DE SENSIBILIDAD'!$A$35:$A$39</c:f>
              <c:strCache/>
            </c:strRef>
          </c:cat>
          <c:val>
            <c:numRef>
              <c:f>'ANALISIS DE SENSIBILIDAD'!$B$35:$B$39</c:f>
              <c:numCache/>
            </c:numRef>
          </c:val>
          <c:smooth val="0"/>
        </c:ser>
        <c:marker val="1"/>
        <c:axId val="47255179"/>
        <c:axId val="22643428"/>
      </c:lineChart>
      <c:catAx>
        <c:axId val="4725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43428"/>
        <c:crosses val="autoZero"/>
        <c:auto val="1"/>
        <c:lblOffset val="100"/>
        <c:tickLblSkip val="1"/>
        <c:noMultiLvlLbl val="0"/>
      </c:catAx>
      <c:valAx>
        <c:axId val="226434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551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6"/>
          <c:y val="0.919"/>
          <c:w val="0.293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EBE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VAN  vs. MOROSIDAD</a:t>
            </a:r>
          </a:p>
        </c:rich>
      </c:tx>
      <c:layout>
        <c:manualLayout>
          <c:xMode val="factor"/>
          <c:yMode val="factor"/>
          <c:x val="-0.00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605"/>
          <c:w val="0.9485"/>
          <c:h val="0.742"/>
        </c:manualLayout>
      </c:layout>
      <c:lineChart>
        <c:grouping val="standard"/>
        <c:varyColors val="0"/>
        <c:ser>
          <c:idx val="0"/>
          <c:order val="0"/>
          <c:tx>
            <c:strRef>
              <c:f>'ANALISIS DE SENSIBILIDAD'!$B$44</c:f>
              <c:strCache>
                <c:ptCount val="1"/>
                <c:pt idx="0">
                  <c:v>VAN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'ANALISIS DE SENSIBILIDAD'!$A$45:$A$49</c:f>
              <c:strCache/>
            </c:strRef>
          </c:cat>
          <c:val>
            <c:numRef>
              <c:f>'ANALISIS DE SENSIBILIDAD'!$B$45:$B$49</c:f>
              <c:numCache/>
            </c:numRef>
          </c:val>
          <c:smooth val="0"/>
        </c:ser>
        <c:marker val="1"/>
        <c:axId val="2464261"/>
        <c:axId val="22178350"/>
      </c:lineChart>
      <c:catAx>
        <c:axId val="2464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2178350"/>
        <c:crosses val="autoZero"/>
        <c:auto val="1"/>
        <c:lblOffset val="100"/>
        <c:tickLblSkip val="1"/>
        <c:noMultiLvlLbl val="0"/>
      </c:catAx>
      <c:valAx>
        <c:axId val="221783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42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375"/>
          <c:y val="0.8965"/>
          <c:w val="0.151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3FDC3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TIR vs. MOROSIDAD</a:t>
            </a:r>
          </a:p>
        </c:rich>
      </c:tx>
      <c:layout>
        <c:manualLayout>
          <c:xMode val="factor"/>
          <c:yMode val="factor"/>
          <c:x val="-0.00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6075"/>
          <c:w val="0.9595"/>
          <c:h val="0.7225"/>
        </c:manualLayout>
      </c:layout>
      <c:lineChart>
        <c:grouping val="standard"/>
        <c:varyColors val="0"/>
        <c:ser>
          <c:idx val="0"/>
          <c:order val="0"/>
          <c:tx>
            <c:strRef>
              <c:f>'ANALISIS DE SENSIBILIDAD'!$B$53</c:f>
              <c:strCache>
                <c:ptCount val="1"/>
                <c:pt idx="0">
                  <c:v>TIR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'ANALISIS DE SENSIBILIDAD'!$A$54:$A$58</c:f>
              <c:strCache/>
            </c:strRef>
          </c:cat>
          <c:val>
            <c:numRef>
              <c:f>'ANALISIS DE SENSIBILIDAD'!$B$54:$B$58</c:f>
              <c:numCache/>
            </c:numRef>
          </c:val>
          <c:smooth val="0"/>
        </c:ser>
        <c:marker val="1"/>
        <c:axId val="65387423"/>
        <c:axId val="51615896"/>
      </c:lineChart>
      <c:catAx>
        <c:axId val="65387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1615896"/>
        <c:crosses val="autoZero"/>
        <c:auto val="1"/>
        <c:lblOffset val="100"/>
        <c:tickLblSkip val="1"/>
        <c:noMultiLvlLbl val="0"/>
      </c:catAx>
      <c:valAx>
        <c:axId val="516158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3874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375"/>
          <c:y val="0.89975"/>
          <c:w val="0.13725"/>
          <c:h val="0.07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C4D8EA"/>
    </a:solidFill>
    <a:ln w="3175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43</xdr:row>
      <xdr:rowOff>85725</xdr:rowOff>
    </xdr:from>
    <xdr:to>
      <xdr:col>4</xdr:col>
      <xdr:colOff>400050</xdr:colOff>
      <xdr:row>43</xdr:row>
      <xdr:rowOff>85725</xdr:rowOff>
    </xdr:to>
    <xdr:sp>
      <xdr:nvSpPr>
        <xdr:cNvPr id="1" name="2 Conector recto de flecha"/>
        <xdr:cNvSpPr>
          <a:spLocks/>
        </xdr:cNvSpPr>
      </xdr:nvSpPr>
      <xdr:spPr>
        <a:xfrm>
          <a:off x="3019425" y="7572375"/>
          <a:ext cx="23526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43</xdr:row>
      <xdr:rowOff>85725</xdr:rowOff>
    </xdr:from>
    <xdr:to>
      <xdr:col>4</xdr:col>
      <xdr:colOff>400050</xdr:colOff>
      <xdr:row>43</xdr:row>
      <xdr:rowOff>85725</xdr:rowOff>
    </xdr:to>
    <xdr:sp>
      <xdr:nvSpPr>
        <xdr:cNvPr id="1" name="1 Conector recto de flecha"/>
        <xdr:cNvSpPr>
          <a:spLocks/>
        </xdr:cNvSpPr>
      </xdr:nvSpPr>
      <xdr:spPr>
        <a:xfrm>
          <a:off x="3019425" y="7572375"/>
          <a:ext cx="23526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19</xdr:row>
      <xdr:rowOff>9525</xdr:rowOff>
    </xdr:from>
    <xdr:to>
      <xdr:col>6</xdr:col>
      <xdr:colOff>114300</xdr:colOff>
      <xdr:row>20</xdr:row>
      <xdr:rowOff>152400</xdr:rowOff>
    </xdr:to>
    <xdr:sp>
      <xdr:nvSpPr>
        <xdr:cNvPr id="2" name="2 Conector recto de flecha"/>
        <xdr:cNvSpPr>
          <a:spLocks/>
        </xdr:cNvSpPr>
      </xdr:nvSpPr>
      <xdr:spPr>
        <a:xfrm rot="5400000" flipH="1" flipV="1">
          <a:off x="6848475" y="3381375"/>
          <a:ext cx="19050" cy="32385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942975</xdr:colOff>
      <xdr:row>43</xdr:row>
      <xdr:rowOff>85725</xdr:rowOff>
    </xdr:from>
    <xdr:to>
      <xdr:col>4</xdr:col>
      <xdr:colOff>400050</xdr:colOff>
      <xdr:row>43</xdr:row>
      <xdr:rowOff>85725</xdr:rowOff>
    </xdr:to>
    <xdr:sp>
      <xdr:nvSpPr>
        <xdr:cNvPr id="3" name="3 Conector recto de flecha"/>
        <xdr:cNvSpPr>
          <a:spLocks/>
        </xdr:cNvSpPr>
      </xdr:nvSpPr>
      <xdr:spPr>
        <a:xfrm>
          <a:off x="3019425" y="7572375"/>
          <a:ext cx="23526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26</xdr:row>
      <xdr:rowOff>28575</xdr:rowOff>
    </xdr:from>
    <xdr:to>
      <xdr:col>1</xdr:col>
      <xdr:colOff>895350</xdr:colOff>
      <xdr:row>30</xdr:row>
      <xdr:rowOff>104775</xdr:rowOff>
    </xdr:to>
    <xdr:sp>
      <xdr:nvSpPr>
        <xdr:cNvPr id="4" name="4 Conector recto de flecha"/>
        <xdr:cNvSpPr>
          <a:spLocks/>
        </xdr:cNvSpPr>
      </xdr:nvSpPr>
      <xdr:spPr>
        <a:xfrm rot="5400000">
          <a:off x="2971800" y="4610100"/>
          <a:ext cx="0" cy="6858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43</xdr:row>
      <xdr:rowOff>85725</xdr:rowOff>
    </xdr:from>
    <xdr:to>
      <xdr:col>4</xdr:col>
      <xdr:colOff>400050</xdr:colOff>
      <xdr:row>43</xdr:row>
      <xdr:rowOff>85725</xdr:rowOff>
    </xdr:to>
    <xdr:sp>
      <xdr:nvSpPr>
        <xdr:cNvPr id="1" name="1 Conector recto de flecha"/>
        <xdr:cNvSpPr>
          <a:spLocks/>
        </xdr:cNvSpPr>
      </xdr:nvSpPr>
      <xdr:spPr>
        <a:xfrm>
          <a:off x="3019425" y="7572375"/>
          <a:ext cx="23526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19</xdr:row>
      <xdr:rowOff>9525</xdr:rowOff>
    </xdr:from>
    <xdr:to>
      <xdr:col>6</xdr:col>
      <xdr:colOff>114300</xdr:colOff>
      <xdr:row>20</xdr:row>
      <xdr:rowOff>152400</xdr:rowOff>
    </xdr:to>
    <xdr:sp>
      <xdr:nvSpPr>
        <xdr:cNvPr id="2" name="2 Conector recto de flecha"/>
        <xdr:cNvSpPr>
          <a:spLocks/>
        </xdr:cNvSpPr>
      </xdr:nvSpPr>
      <xdr:spPr>
        <a:xfrm rot="5400000" flipH="1" flipV="1">
          <a:off x="6848475" y="3381375"/>
          <a:ext cx="19050" cy="32385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942975</xdr:colOff>
      <xdr:row>43</xdr:row>
      <xdr:rowOff>85725</xdr:rowOff>
    </xdr:from>
    <xdr:to>
      <xdr:col>4</xdr:col>
      <xdr:colOff>400050</xdr:colOff>
      <xdr:row>43</xdr:row>
      <xdr:rowOff>85725</xdr:rowOff>
    </xdr:to>
    <xdr:sp>
      <xdr:nvSpPr>
        <xdr:cNvPr id="3" name="3 Conector recto de flecha"/>
        <xdr:cNvSpPr>
          <a:spLocks/>
        </xdr:cNvSpPr>
      </xdr:nvSpPr>
      <xdr:spPr>
        <a:xfrm>
          <a:off x="3019425" y="7572375"/>
          <a:ext cx="23526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26</xdr:row>
      <xdr:rowOff>28575</xdr:rowOff>
    </xdr:from>
    <xdr:to>
      <xdr:col>1</xdr:col>
      <xdr:colOff>895350</xdr:colOff>
      <xdr:row>30</xdr:row>
      <xdr:rowOff>104775</xdr:rowOff>
    </xdr:to>
    <xdr:sp>
      <xdr:nvSpPr>
        <xdr:cNvPr id="4" name="4 Conector recto de flecha"/>
        <xdr:cNvSpPr>
          <a:spLocks/>
        </xdr:cNvSpPr>
      </xdr:nvSpPr>
      <xdr:spPr>
        <a:xfrm rot="5400000">
          <a:off x="2971800" y="4610100"/>
          <a:ext cx="0" cy="6858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40</xdr:row>
      <xdr:rowOff>104775</xdr:rowOff>
    </xdr:from>
    <xdr:to>
      <xdr:col>12</xdr:col>
      <xdr:colOff>685800</xdr:colOff>
      <xdr:row>54</xdr:row>
      <xdr:rowOff>76200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7724775"/>
          <a:ext cx="3790950" cy="2362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190500</xdr:rowOff>
    </xdr:from>
    <xdr:to>
      <xdr:col>3</xdr:col>
      <xdr:colOff>685800</xdr:colOff>
      <xdr:row>7</xdr:row>
      <xdr:rowOff>142875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666750"/>
          <a:ext cx="3314700" cy="12382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17</xdr:row>
      <xdr:rowOff>38100</xdr:rowOff>
    </xdr:from>
    <xdr:to>
      <xdr:col>5</xdr:col>
      <xdr:colOff>9525</xdr:colOff>
      <xdr:row>22</xdr:row>
      <xdr:rowOff>152400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3886200"/>
          <a:ext cx="4295775" cy="9239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590550</xdr:colOff>
      <xdr:row>32</xdr:row>
      <xdr:rowOff>0</xdr:rowOff>
    </xdr:from>
    <xdr:to>
      <xdr:col>5</xdr:col>
      <xdr:colOff>876300</xdr:colOff>
      <xdr:row>48</xdr:row>
      <xdr:rowOff>57150</xdr:rowOff>
    </xdr:to>
    <xdr:graphicFrame>
      <xdr:nvGraphicFramePr>
        <xdr:cNvPr id="4" name="10 Gráfico"/>
        <xdr:cNvGraphicFramePr/>
      </xdr:nvGraphicFramePr>
      <xdr:xfrm>
        <a:off x="838200" y="630555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8</xdr:col>
      <xdr:colOff>152400</xdr:colOff>
      <xdr:row>18</xdr:row>
      <xdr:rowOff>114300</xdr:rowOff>
    </xdr:to>
    <xdr:graphicFrame>
      <xdr:nvGraphicFramePr>
        <xdr:cNvPr id="1" name="7 Gráfico"/>
        <xdr:cNvGraphicFramePr/>
      </xdr:nvGraphicFramePr>
      <xdr:xfrm>
        <a:off x="3219450" y="523875"/>
        <a:ext cx="40005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323850</xdr:colOff>
      <xdr:row>2</xdr:row>
      <xdr:rowOff>133350</xdr:rowOff>
    </xdr:from>
    <xdr:to>
      <xdr:col>14</xdr:col>
      <xdr:colOff>19050</xdr:colOff>
      <xdr:row>18</xdr:row>
      <xdr:rowOff>123825</xdr:rowOff>
    </xdr:to>
    <xdr:graphicFrame>
      <xdr:nvGraphicFramePr>
        <xdr:cNvPr id="2" name="9 Gráfico"/>
        <xdr:cNvGraphicFramePr/>
      </xdr:nvGraphicFramePr>
      <xdr:xfrm>
        <a:off x="7391400" y="495300"/>
        <a:ext cx="426720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22</xdr:row>
      <xdr:rowOff>0</xdr:rowOff>
    </xdr:from>
    <xdr:to>
      <xdr:col>8</xdr:col>
      <xdr:colOff>209550</xdr:colOff>
      <xdr:row>38</xdr:row>
      <xdr:rowOff>161925</xdr:rowOff>
    </xdr:to>
    <xdr:graphicFrame>
      <xdr:nvGraphicFramePr>
        <xdr:cNvPr id="3" name="10 Gráfico"/>
        <xdr:cNvGraphicFramePr/>
      </xdr:nvGraphicFramePr>
      <xdr:xfrm>
        <a:off x="3219450" y="3733800"/>
        <a:ext cx="405765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304800</xdr:colOff>
      <xdr:row>21</xdr:row>
      <xdr:rowOff>95250</xdr:rowOff>
    </xdr:from>
    <xdr:to>
      <xdr:col>13</xdr:col>
      <xdr:colOff>352425</xdr:colOff>
      <xdr:row>38</xdr:row>
      <xdr:rowOff>85725</xdr:rowOff>
    </xdr:to>
    <xdr:graphicFrame>
      <xdr:nvGraphicFramePr>
        <xdr:cNvPr id="4" name="11 Gráfico"/>
        <xdr:cNvGraphicFramePr/>
      </xdr:nvGraphicFramePr>
      <xdr:xfrm>
        <a:off x="7372350" y="3667125"/>
        <a:ext cx="3857625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66675</xdr:colOff>
      <xdr:row>41</xdr:row>
      <xdr:rowOff>76200</xdr:rowOff>
    </xdr:from>
    <xdr:to>
      <xdr:col>8</xdr:col>
      <xdr:colOff>276225</xdr:colOff>
      <xdr:row>58</xdr:row>
      <xdr:rowOff>114300</xdr:rowOff>
    </xdr:to>
    <xdr:graphicFrame>
      <xdr:nvGraphicFramePr>
        <xdr:cNvPr id="5" name="6 Gráfico"/>
        <xdr:cNvGraphicFramePr/>
      </xdr:nvGraphicFramePr>
      <xdr:xfrm>
        <a:off x="3286125" y="6943725"/>
        <a:ext cx="4057650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285750</xdr:colOff>
      <xdr:row>41</xdr:row>
      <xdr:rowOff>76200</xdr:rowOff>
    </xdr:from>
    <xdr:to>
      <xdr:col>13</xdr:col>
      <xdr:colOff>381000</xdr:colOff>
      <xdr:row>58</xdr:row>
      <xdr:rowOff>104775</xdr:rowOff>
    </xdr:to>
    <xdr:graphicFrame>
      <xdr:nvGraphicFramePr>
        <xdr:cNvPr id="6" name="7 Gráfico"/>
        <xdr:cNvGraphicFramePr/>
      </xdr:nvGraphicFramePr>
      <xdr:xfrm>
        <a:off x="7353300" y="6943725"/>
        <a:ext cx="3905250" cy="2838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43</xdr:row>
      <xdr:rowOff>85725</xdr:rowOff>
    </xdr:from>
    <xdr:to>
      <xdr:col>4</xdr:col>
      <xdr:colOff>400050</xdr:colOff>
      <xdr:row>43</xdr:row>
      <xdr:rowOff>85725</xdr:rowOff>
    </xdr:to>
    <xdr:sp>
      <xdr:nvSpPr>
        <xdr:cNvPr id="1" name="1 Conector recto de flecha"/>
        <xdr:cNvSpPr>
          <a:spLocks/>
        </xdr:cNvSpPr>
      </xdr:nvSpPr>
      <xdr:spPr>
        <a:xfrm>
          <a:off x="3019425" y="7572375"/>
          <a:ext cx="23526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26</xdr:row>
      <xdr:rowOff>0</xdr:rowOff>
    </xdr:from>
    <xdr:to>
      <xdr:col>9</xdr:col>
      <xdr:colOff>133350</xdr:colOff>
      <xdr:row>31</xdr:row>
      <xdr:rowOff>85725</xdr:rowOff>
    </xdr:to>
    <xdr:sp>
      <xdr:nvSpPr>
        <xdr:cNvPr id="2" name="2 Conector recto de flecha"/>
        <xdr:cNvSpPr>
          <a:spLocks/>
        </xdr:cNvSpPr>
      </xdr:nvSpPr>
      <xdr:spPr>
        <a:xfrm rot="5400000">
          <a:off x="9420225" y="4581525"/>
          <a:ext cx="0" cy="8477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942975</xdr:colOff>
      <xdr:row>43</xdr:row>
      <xdr:rowOff>85725</xdr:rowOff>
    </xdr:from>
    <xdr:to>
      <xdr:col>4</xdr:col>
      <xdr:colOff>400050</xdr:colOff>
      <xdr:row>43</xdr:row>
      <xdr:rowOff>85725</xdr:rowOff>
    </xdr:to>
    <xdr:sp>
      <xdr:nvSpPr>
        <xdr:cNvPr id="3" name="4 Conector recto de flecha"/>
        <xdr:cNvSpPr>
          <a:spLocks/>
        </xdr:cNvSpPr>
      </xdr:nvSpPr>
      <xdr:spPr>
        <a:xfrm>
          <a:off x="3019425" y="7572375"/>
          <a:ext cx="23526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942975</xdr:colOff>
      <xdr:row>43</xdr:row>
      <xdr:rowOff>85725</xdr:rowOff>
    </xdr:from>
    <xdr:to>
      <xdr:col>4</xdr:col>
      <xdr:colOff>400050</xdr:colOff>
      <xdr:row>43</xdr:row>
      <xdr:rowOff>85725</xdr:rowOff>
    </xdr:to>
    <xdr:sp>
      <xdr:nvSpPr>
        <xdr:cNvPr id="4" name="6 Conector recto de flecha"/>
        <xdr:cNvSpPr>
          <a:spLocks/>
        </xdr:cNvSpPr>
      </xdr:nvSpPr>
      <xdr:spPr>
        <a:xfrm>
          <a:off x="3019425" y="7572375"/>
          <a:ext cx="23526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942975</xdr:colOff>
      <xdr:row>43</xdr:row>
      <xdr:rowOff>85725</xdr:rowOff>
    </xdr:from>
    <xdr:to>
      <xdr:col>4</xdr:col>
      <xdr:colOff>400050</xdr:colOff>
      <xdr:row>43</xdr:row>
      <xdr:rowOff>85725</xdr:rowOff>
    </xdr:to>
    <xdr:sp>
      <xdr:nvSpPr>
        <xdr:cNvPr id="5" name="7 Conector recto de flecha"/>
        <xdr:cNvSpPr>
          <a:spLocks/>
        </xdr:cNvSpPr>
      </xdr:nvSpPr>
      <xdr:spPr>
        <a:xfrm>
          <a:off x="3019425" y="7572375"/>
          <a:ext cx="23526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43</xdr:row>
      <xdr:rowOff>85725</xdr:rowOff>
    </xdr:from>
    <xdr:to>
      <xdr:col>4</xdr:col>
      <xdr:colOff>400050</xdr:colOff>
      <xdr:row>43</xdr:row>
      <xdr:rowOff>85725</xdr:rowOff>
    </xdr:to>
    <xdr:sp>
      <xdr:nvSpPr>
        <xdr:cNvPr id="1" name="1 Conector recto de flecha"/>
        <xdr:cNvSpPr>
          <a:spLocks/>
        </xdr:cNvSpPr>
      </xdr:nvSpPr>
      <xdr:spPr>
        <a:xfrm>
          <a:off x="3019425" y="7572375"/>
          <a:ext cx="23526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25</xdr:row>
      <xdr:rowOff>66675</xdr:rowOff>
    </xdr:from>
    <xdr:to>
      <xdr:col>9</xdr:col>
      <xdr:colOff>133350</xdr:colOff>
      <xdr:row>31</xdr:row>
      <xdr:rowOff>95250</xdr:rowOff>
    </xdr:to>
    <xdr:sp>
      <xdr:nvSpPr>
        <xdr:cNvPr id="2" name="2 Conector recto de flecha"/>
        <xdr:cNvSpPr>
          <a:spLocks/>
        </xdr:cNvSpPr>
      </xdr:nvSpPr>
      <xdr:spPr>
        <a:xfrm rot="16200000" flipV="1">
          <a:off x="9401175" y="4486275"/>
          <a:ext cx="19050" cy="9525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942975</xdr:colOff>
      <xdr:row>43</xdr:row>
      <xdr:rowOff>85725</xdr:rowOff>
    </xdr:from>
    <xdr:to>
      <xdr:col>4</xdr:col>
      <xdr:colOff>400050</xdr:colOff>
      <xdr:row>43</xdr:row>
      <xdr:rowOff>85725</xdr:rowOff>
    </xdr:to>
    <xdr:sp>
      <xdr:nvSpPr>
        <xdr:cNvPr id="3" name="4 Conector recto de flecha"/>
        <xdr:cNvSpPr>
          <a:spLocks/>
        </xdr:cNvSpPr>
      </xdr:nvSpPr>
      <xdr:spPr>
        <a:xfrm>
          <a:off x="3019425" y="7572375"/>
          <a:ext cx="23526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942975</xdr:colOff>
      <xdr:row>43</xdr:row>
      <xdr:rowOff>85725</xdr:rowOff>
    </xdr:from>
    <xdr:to>
      <xdr:col>4</xdr:col>
      <xdr:colOff>400050</xdr:colOff>
      <xdr:row>43</xdr:row>
      <xdr:rowOff>85725</xdr:rowOff>
    </xdr:to>
    <xdr:sp>
      <xdr:nvSpPr>
        <xdr:cNvPr id="4" name="6 Conector recto de flecha"/>
        <xdr:cNvSpPr>
          <a:spLocks/>
        </xdr:cNvSpPr>
      </xdr:nvSpPr>
      <xdr:spPr>
        <a:xfrm>
          <a:off x="3019425" y="7572375"/>
          <a:ext cx="23526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942975</xdr:colOff>
      <xdr:row>43</xdr:row>
      <xdr:rowOff>85725</xdr:rowOff>
    </xdr:from>
    <xdr:to>
      <xdr:col>4</xdr:col>
      <xdr:colOff>400050</xdr:colOff>
      <xdr:row>43</xdr:row>
      <xdr:rowOff>85725</xdr:rowOff>
    </xdr:to>
    <xdr:sp>
      <xdr:nvSpPr>
        <xdr:cNvPr id="5" name="7 Conector recto de flecha"/>
        <xdr:cNvSpPr>
          <a:spLocks/>
        </xdr:cNvSpPr>
      </xdr:nvSpPr>
      <xdr:spPr>
        <a:xfrm>
          <a:off x="3019425" y="7572375"/>
          <a:ext cx="23526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942975</xdr:colOff>
      <xdr:row>43</xdr:row>
      <xdr:rowOff>85725</xdr:rowOff>
    </xdr:from>
    <xdr:to>
      <xdr:col>4</xdr:col>
      <xdr:colOff>400050</xdr:colOff>
      <xdr:row>43</xdr:row>
      <xdr:rowOff>85725</xdr:rowOff>
    </xdr:to>
    <xdr:sp>
      <xdr:nvSpPr>
        <xdr:cNvPr id="6" name="8 Conector recto de flecha"/>
        <xdr:cNvSpPr>
          <a:spLocks/>
        </xdr:cNvSpPr>
      </xdr:nvSpPr>
      <xdr:spPr>
        <a:xfrm>
          <a:off x="3019425" y="7572375"/>
          <a:ext cx="23526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43</xdr:row>
      <xdr:rowOff>85725</xdr:rowOff>
    </xdr:from>
    <xdr:to>
      <xdr:col>4</xdr:col>
      <xdr:colOff>400050</xdr:colOff>
      <xdr:row>43</xdr:row>
      <xdr:rowOff>85725</xdr:rowOff>
    </xdr:to>
    <xdr:sp>
      <xdr:nvSpPr>
        <xdr:cNvPr id="1" name="1 Conector recto de flecha"/>
        <xdr:cNvSpPr>
          <a:spLocks/>
        </xdr:cNvSpPr>
      </xdr:nvSpPr>
      <xdr:spPr>
        <a:xfrm>
          <a:off x="3019425" y="7572375"/>
          <a:ext cx="23526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24</xdr:row>
      <xdr:rowOff>123825</xdr:rowOff>
    </xdr:from>
    <xdr:to>
      <xdr:col>6</xdr:col>
      <xdr:colOff>95250</xdr:colOff>
      <xdr:row>30</xdr:row>
      <xdr:rowOff>38100</xdr:rowOff>
    </xdr:to>
    <xdr:sp>
      <xdr:nvSpPr>
        <xdr:cNvPr id="2" name="2 Conector recto de flecha"/>
        <xdr:cNvSpPr>
          <a:spLocks/>
        </xdr:cNvSpPr>
      </xdr:nvSpPr>
      <xdr:spPr>
        <a:xfrm rot="5400000">
          <a:off x="6848475" y="4381500"/>
          <a:ext cx="0" cy="8477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942975</xdr:colOff>
      <xdr:row>43</xdr:row>
      <xdr:rowOff>85725</xdr:rowOff>
    </xdr:from>
    <xdr:to>
      <xdr:col>4</xdr:col>
      <xdr:colOff>400050</xdr:colOff>
      <xdr:row>43</xdr:row>
      <xdr:rowOff>85725</xdr:rowOff>
    </xdr:to>
    <xdr:sp>
      <xdr:nvSpPr>
        <xdr:cNvPr id="3" name="4 Conector recto de flecha"/>
        <xdr:cNvSpPr>
          <a:spLocks/>
        </xdr:cNvSpPr>
      </xdr:nvSpPr>
      <xdr:spPr>
        <a:xfrm>
          <a:off x="3019425" y="7572375"/>
          <a:ext cx="23526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942975</xdr:colOff>
      <xdr:row>43</xdr:row>
      <xdr:rowOff>85725</xdr:rowOff>
    </xdr:from>
    <xdr:to>
      <xdr:col>4</xdr:col>
      <xdr:colOff>400050</xdr:colOff>
      <xdr:row>43</xdr:row>
      <xdr:rowOff>85725</xdr:rowOff>
    </xdr:to>
    <xdr:sp>
      <xdr:nvSpPr>
        <xdr:cNvPr id="4" name="6 Conector recto de flecha"/>
        <xdr:cNvSpPr>
          <a:spLocks/>
        </xdr:cNvSpPr>
      </xdr:nvSpPr>
      <xdr:spPr>
        <a:xfrm>
          <a:off x="3019425" y="7572375"/>
          <a:ext cx="23526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43</xdr:row>
      <xdr:rowOff>85725</xdr:rowOff>
    </xdr:from>
    <xdr:to>
      <xdr:col>4</xdr:col>
      <xdr:colOff>400050</xdr:colOff>
      <xdr:row>43</xdr:row>
      <xdr:rowOff>85725</xdr:rowOff>
    </xdr:to>
    <xdr:sp>
      <xdr:nvSpPr>
        <xdr:cNvPr id="1" name="1 Conector recto de flecha"/>
        <xdr:cNvSpPr>
          <a:spLocks/>
        </xdr:cNvSpPr>
      </xdr:nvSpPr>
      <xdr:spPr>
        <a:xfrm>
          <a:off x="3019425" y="7572375"/>
          <a:ext cx="23526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25</xdr:row>
      <xdr:rowOff>104775</xdr:rowOff>
    </xdr:from>
    <xdr:to>
      <xdr:col>6</xdr:col>
      <xdr:colOff>95250</xdr:colOff>
      <xdr:row>30</xdr:row>
      <xdr:rowOff>133350</xdr:rowOff>
    </xdr:to>
    <xdr:sp>
      <xdr:nvSpPr>
        <xdr:cNvPr id="2" name="2 Conector recto de flecha"/>
        <xdr:cNvSpPr>
          <a:spLocks/>
        </xdr:cNvSpPr>
      </xdr:nvSpPr>
      <xdr:spPr>
        <a:xfrm rot="16200000" flipV="1">
          <a:off x="6838950" y="4524375"/>
          <a:ext cx="9525" cy="8001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942975</xdr:colOff>
      <xdr:row>43</xdr:row>
      <xdr:rowOff>85725</xdr:rowOff>
    </xdr:from>
    <xdr:to>
      <xdr:col>4</xdr:col>
      <xdr:colOff>400050</xdr:colOff>
      <xdr:row>43</xdr:row>
      <xdr:rowOff>85725</xdr:rowOff>
    </xdr:to>
    <xdr:sp>
      <xdr:nvSpPr>
        <xdr:cNvPr id="3" name="4 Conector recto de flecha"/>
        <xdr:cNvSpPr>
          <a:spLocks/>
        </xdr:cNvSpPr>
      </xdr:nvSpPr>
      <xdr:spPr>
        <a:xfrm>
          <a:off x="3019425" y="7572375"/>
          <a:ext cx="23526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942975</xdr:colOff>
      <xdr:row>43</xdr:row>
      <xdr:rowOff>85725</xdr:rowOff>
    </xdr:from>
    <xdr:to>
      <xdr:col>4</xdr:col>
      <xdr:colOff>400050</xdr:colOff>
      <xdr:row>43</xdr:row>
      <xdr:rowOff>85725</xdr:rowOff>
    </xdr:to>
    <xdr:sp>
      <xdr:nvSpPr>
        <xdr:cNvPr id="4" name="6 Conector recto de flecha"/>
        <xdr:cNvSpPr>
          <a:spLocks/>
        </xdr:cNvSpPr>
      </xdr:nvSpPr>
      <xdr:spPr>
        <a:xfrm>
          <a:off x="3019425" y="7572375"/>
          <a:ext cx="23526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942975</xdr:colOff>
      <xdr:row>43</xdr:row>
      <xdr:rowOff>85725</xdr:rowOff>
    </xdr:from>
    <xdr:to>
      <xdr:col>4</xdr:col>
      <xdr:colOff>400050</xdr:colOff>
      <xdr:row>43</xdr:row>
      <xdr:rowOff>85725</xdr:rowOff>
    </xdr:to>
    <xdr:sp>
      <xdr:nvSpPr>
        <xdr:cNvPr id="5" name="7 Conector recto de flecha"/>
        <xdr:cNvSpPr>
          <a:spLocks/>
        </xdr:cNvSpPr>
      </xdr:nvSpPr>
      <xdr:spPr>
        <a:xfrm>
          <a:off x="3019425" y="7572375"/>
          <a:ext cx="23526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43</xdr:row>
      <xdr:rowOff>85725</xdr:rowOff>
    </xdr:from>
    <xdr:to>
      <xdr:col>4</xdr:col>
      <xdr:colOff>400050</xdr:colOff>
      <xdr:row>43</xdr:row>
      <xdr:rowOff>85725</xdr:rowOff>
    </xdr:to>
    <xdr:sp>
      <xdr:nvSpPr>
        <xdr:cNvPr id="1" name="1 Conector recto de flecha"/>
        <xdr:cNvSpPr>
          <a:spLocks/>
        </xdr:cNvSpPr>
      </xdr:nvSpPr>
      <xdr:spPr>
        <a:xfrm>
          <a:off x="3019425" y="7572375"/>
          <a:ext cx="23526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19</xdr:row>
      <xdr:rowOff>76200</xdr:rowOff>
    </xdr:from>
    <xdr:to>
      <xdr:col>6</xdr:col>
      <xdr:colOff>133350</xdr:colOff>
      <xdr:row>21</xdr:row>
      <xdr:rowOff>9525</xdr:rowOff>
    </xdr:to>
    <xdr:sp>
      <xdr:nvSpPr>
        <xdr:cNvPr id="2" name="3 Conector recto de flecha"/>
        <xdr:cNvSpPr>
          <a:spLocks/>
        </xdr:cNvSpPr>
      </xdr:nvSpPr>
      <xdr:spPr>
        <a:xfrm rot="5400000">
          <a:off x="6886575" y="3448050"/>
          <a:ext cx="0" cy="29527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942975</xdr:colOff>
      <xdr:row>43</xdr:row>
      <xdr:rowOff>85725</xdr:rowOff>
    </xdr:from>
    <xdr:to>
      <xdr:col>4</xdr:col>
      <xdr:colOff>400050</xdr:colOff>
      <xdr:row>43</xdr:row>
      <xdr:rowOff>85725</xdr:rowOff>
    </xdr:to>
    <xdr:sp>
      <xdr:nvSpPr>
        <xdr:cNvPr id="3" name="5 Conector recto de flecha"/>
        <xdr:cNvSpPr>
          <a:spLocks/>
        </xdr:cNvSpPr>
      </xdr:nvSpPr>
      <xdr:spPr>
        <a:xfrm>
          <a:off x="3019425" y="7572375"/>
          <a:ext cx="23526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26</xdr:row>
      <xdr:rowOff>28575</xdr:rowOff>
    </xdr:from>
    <xdr:to>
      <xdr:col>1</xdr:col>
      <xdr:colOff>895350</xdr:colOff>
      <xdr:row>30</xdr:row>
      <xdr:rowOff>104775</xdr:rowOff>
    </xdr:to>
    <xdr:sp>
      <xdr:nvSpPr>
        <xdr:cNvPr id="4" name="6 Conector recto de flecha"/>
        <xdr:cNvSpPr>
          <a:spLocks/>
        </xdr:cNvSpPr>
      </xdr:nvSpPr>
      <xdr:spPr>
        <a:xfrm rot="5400000">
          <a:off x="2971800" y="4610100"/>
          <a:ext cx="0" cy="6858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43</xdr:row>
      <xdr:rowOff>85725</xdr:rowOff>
    </xdr:from>
    <xdr:to>
      <xdr:col>4</xdr:col>
      <xdr:colOff>400050</xdr:colOff>
      <xdr:row>43</xdr:row>
      <xdr:rowOff>85725</xdr:rowOff>
    </xdr:to>
    <xdr:sp>
      <xdr:nvSpPr>
        <xdr:cNvPr id="1" name="1 Conector recto de flecha"/>
        <xdr:cNvSpPr>
          <a:spLocks/>
        </xdr:cNvSpPr>
      </xdr:nvSpPr>
      <xdr:spPr>
        <a:xfrm>
          <a:off x="3019425" y="7591425"/>
          <a:ext cx="23526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19</xdr:row>
      <xdr:rowOff>76200</xdr:rowOff>
    </xdr:from>
    <xdr:to>
      <xdr:col>6</xdr:col>
      <xdr:colOff>133350</xdr:colOff>
      <xdr:row>21</xdr:row>
      <xdr:rowOff>9525</xdr:rowOff>
    </xdr:to>
    <xdr:sp>
      <xdr:nvSpPr>
        <xdr:cNvPr id="2" name="2 Conector recto de flecha"/>
        <xdr:cNvSpPr>
          <a:spLocks/>
        </xdr:cNvSpPr>
      </xdr:nvSpPr>
      <xdr:spPr>
        <a:xfrm rot="5400000">
          <a:off x="6886575" y="3467100"/>
          <a:ext cx="0" cy="29527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942975</xdr:colOff>
      <xdr:row>43</xdr:row>
      <xdr:rowOff>85725</xdr:rowOff>
    </xdr:from>
    <xdr:to>
      <xdr:col>4</xdr:col>
      <xdr:colOff>400050</xdr:colOff>
      <xdr:row>43</xdr:row>
      <xdr:rowOff>85725</xdr:rowOff>
    </xdr:to>
    <xdr:sp>
      <xdr:nvSpPr>
        <xdr:cNvPr id="3" name="3 Conector recto de flecha"/>
        <xdr:cNvSpPr>
          <a:spLocks/>
        </xdr:cNvSpPr>
      </xdr:nvSpPr>
      <xdr:spPr>
        <a:xfrm>
          <a:off x="3019425" y="7591425"/>
          <a:ext cx="23526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26</xdr:row>
      <xdr:rowOff>28575</xdr:rowOff>
    </xdr:from>
    <xdr:to>
      <xdr:col>1</xdr:col>
      <xdr:colOff>895350</xdr:colOff>
      <xdr:row>30</xdr:row>
      <xdr:rowOff>104775</xdr:rowOff>
    </xdr:to>
    <xdr:sp>
      <xdr:nvSpPr>
        <xdr:cNvPr id="4" name="4 Conector recto de flecha"/>
        <xdr:cNvSpPr>
          <a:spLocks/>
        </xdr:cNvSpPr>
      </xdr:nvSpPr>
      <xdr:spPr>
        <a:xfrm rot="5400000">
          <a:off x="2971800" y="4629150"/>
          <a:ext cx="0" cy="6858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SIS%20(FINAL)\capitulos\COSTOS%20TECNICOS%20fin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ARIOS"/>
      <sheetName val="act diferidos"/>
      <sheetName val="Gtos generales"/>
      <sheetName val="inversiones"/>
      <sheetName val="vehiculo"/>
      <sheetName val="MUEBLES"/>
      <sheetName val="equipo de oficina"/>
      <sheetName val="eq. computacion"/>
      <sheetName val="eq comunicacion"/>
      <sheetName val=" equipos "/>
      <sheetName val="Hoja1"/>
    </sheetNames>
    <sheetDataSet>
      <sheetData sheetId="0">
        <row r="15">
          <cell r="I15">
            <v>19323.86</v>
          </cell>
        </row>
        <row r="29">
          <cell r="F29">
            <v>138963.36000000002</v>
          </cell>
        </row>
      </sheetData>
      <sheetData sheetId="3">
        <row r="7">
          <cell r="C7">
            <v>22000</v>
          </cell>
        </row>
        <row r="18">
          <cell r="C18">
            <v>121641.136</v>
          </cell>
        </row>
      </sheetData>
      <sheetData sheetId="5">
        <row r="29">
          <cell r="E29">
            <v>23355.136</v>
          </cell>
        </row>
      </sheetData>
      <sheetData sheetId="6">
        <row r="9">
          <cell r="E9">
            <v>2810</v>
          </cell>
        </row>
      </sheetData>
      <sheetData sheetId="7">
        <row r="8">
          <cell r="F8">
            <v>4936</v>
          </cell>
        </row>
        <row r="10">
          <cell r="F10">
            <v>24936</v>
          </cell>
        </row>
      </sheetData>
      <sheetData sheetId="8">
        <row r="7">
          <cell r="E7">
            <v>900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5"/>
  <sheetViews>
    <sheetView zoomScalePageLayoutView="0" workbookViewId="0" topLeftCell="A28">
      <selection activeCell="J65" sqref="J65"/>
    </sheetView>
  </sheetViews>
  <sheetFormatPr defaultColWidth="11.421875" defaultRowHeight="12.75"/>
  <cols>
    <col min="1" max="1" width="27.57421875" style="136" customWidth="1"/>
    <col min="2" max="16384" width="11.421875" style="136" customWidth="1"/>
  </cols>
  <sheetData>
    <row r="1" spans="1:22" ht="12">
      <c r="A1" s="128"/>
      <c r="B1" s="128"/>
      <c r="C1" s="128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22" ht="15.75">
      <c r="A2" s="133" t="s">
        <v>179</v>
      </c>
      <c r="B2" s="128"/>
      <c r="C2" s="128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</row>
    <row r="3" ht="12"/>
    <row r="4" spans="1:22" ht="12">
      <c r="A4" s="271" t="s">
        <v>134</v>
      </c>
      <c r="B4" s="128" t="s">
        <v>135</v>
      </c>
      <c r="C4" s="130"/>
      <c r="D4" s="130"/>
      <c r="E4" s="147">
        <v>20</v>
      </c>
      <c r="F4" s="130"/>
      <c r="G4" s="128" t="s">
        <v>136</v>
      </c>
      <c r="H4" s="130"/>
      <c r="I4" s="130">
        <v>0</v>
      </c>
      <c r="J4" s="128" t="s">
        <v>137</v>
      </c>
      <c r="K4" s="130"/>
      <c r="L4" s="130">
        <v>0</v>
      </c>
      <c r="M4" s="130"/>
      <c r="N4" s="130"/>
      <c r="O4" s="130"/>
      <c r="P4" s="130"/>
      <c r="Q4" s="130"/>
      <c r="R4" s="130"/>
      <c r="S4" s="130"/>
      <c r="T4" s="130"/>
      <c r="U4" s="130"/>
      <c r="V4" s="130"/>
    </row>
    <row r="5" spans="1:22" ht="12">
      <c r="A5" s="271"/>
      <c r="B5" s="137" t="s">
        <v>138</v>
      </c>
      <c r="C5" s="138" t="s">
        <v>139</v>
      </c>
      <c r="D5" s="138" t="s">
        <v>140</v>
      </c>
      <c r="E5" s="138" t="s">
        <v>141</v>
      </c>
      <c r="F5" s="138" t="s">
        <v>142</v>
      </c>
      <c r="G5" s="138" t="s">
        <v>143</v>
      </c>
      <c r="H5" s="138" t="s">
        <v>144</v>
      </c>
      <c r="I5" s="138" t="s">
        <v>145</v>
      </c>
      <c r="J5" s="138" t="s">
        <v>146</v>
      </c>
      <c r="K5" s="138" t="s">
        <v>147</v>
      </c>
      <c r="L5" s="138" t="s">
        <v>148</v>
      </c>
      <c r="M5" s="138" t="s">
        <v>149</v>
      </c>
      <c r="N5" s="138" t="s">
        <v>150</v>
      </c>
      <c r="O5" s="138" t="s">
        <v>151</v>
      </c>
      <c r="P5" s="138" t="s">
        <v>152</v>
      </c>
      <c r="Q5" s="138" t="s">
        <v>153</v>
      </c>
      <c r="R5" s="138" t="s">
        <v>154</v>
      </c>
      <c r="S5" s="138" t="s">
        <v>155</v>
      </c>
      <c r="T5" s="138" t="s">
        <v>156</v>
      </c>
      <c r="U5" s="138" t="s">
        <v>157</v>
      </c>
      <c r="V5" s="138" t="s">
        <v>158</v>
      </c>
    </row>
    <row r="6" spans="1:22" ht="12">
      <c r="A6" s="139" t="s">
        <v>159</v>
      </c>
      <c r="B6" s="146">
        <v>22000</v>
      </c>
      <c r="C6" s="140" t="s">
        <v>160</v>
      </c>
      <c r="D6" s="140" t="s">
        <v>160</v>
      </c>
      <c r="E6" s="140" t="s">
        <v>160</v>
      </c>
      <c r="F6" s="140" t="s">
        <v>160</v>
      </c>
      <c r="G6" s="213" t="s">
        <v>160</v>
      </c>
      <c r="H6" s="140" t="s">
        <v>160</v>
      </c>
      <c r="I6" s="140" t="s">
        <v>160</v>
      </c>
      <c r="J6" s="140" t="s">
        <v>160</v>
      </c>
      <c r="K6" s="140" t="s">
        <v>160</v>
      </c>
      <c r="L6" s="140" t="s">
        <v>160</v>
      </c>
      <c r="M6" s="140" t="s">
        <v>160</v>
      </c>
      <c r="N6" s="140" t="s">
        <v>160</v>
      </c>
      <c r="O6" s="140" t="s">
        <v>160</v>
      </c>
      <c r="P6" s="140" t="s">
        <v>160</v>
      </c>
      <c r="Q6" s="140" t="s">
        <v>160</v>
      </c>
      <c r="R6" s="140" t="s">
        <v>160</v>
      </c>
      <c r="S6" s="140" t="s">
        <v>160</v>
      </c>
      <c r="T6" s="140" t="s">
        <v>160</v>
      </c>
      <c r="U6" s="140" t="s">
        <v>160</v>
      </c>
      <c r="V6" s="140" t="s">
        <v>160</v>
      </c>
    </row>
    <row r="7" spans="1:22" ht="12">
      <c r="A7" s="132" t="s">
        <v>161</v>
      </c>
      <c r="B7" s="141"/>
      <c r="C7" s="141">
        <f>B6/E4</f>
        <v>1100</v>
      </c>
      <c r="D7" s="141">
        <f>C7</f>
        <v>1100</v>
      </c>
      <c r="E7" s="141">
        <f aca="true" t="shared" si="0" ref="E7:K7">D7</f>
        <v>1100</v>
      </c>
      <c r="F7" s="141">
        <f t="shared" si="0"/>
        <v>1100</v>
      </c>
      <c r="G7" s="214">
        <f t="shared" si="0"/>
        <v>1100</v>
      </c>
      <c r="H7" s="141">
        <f t="shared" si="0"/>
        <v>1100</v>
      </c>
      <c r="I7" s="141">
        <f t="shared" si="0"/>
        <v>1100</v>
      </c>
      <c r="J7" s="141">
        <f t="shared" si="0"/>
        <v>1100</v>
      </c>
      <c r="K7" s="141">
        <f t="shared" si="0"/>
        <v>1100</v>
      </c>
      <c r="L7" s="141">
        <v>1100</v>
      </c>
      <c r="M7" s="141">
        <v>1100</v>
      </c>
      <c r="N7" s="141">
        <v>1100</v>
      </c>
      <c r="O7" s="141">
        <v>1100</v>
      </c>
      <c r="P7" s="141">
        <v>1100</v>
      </c>
      <c r="Q7" s="141">
        <v>1100</v>
      </c>
      <c r="R7" s="141">
        <v>1100</v>
      </c>
      <c r="S7" s="141">
        <v>1100</v>
      </c>
      <c r="T7" s="141">
        <v>1100</v>
      </c>
      <c r="U7" s="141">
        <v>1100</v>
      </c>
      <c r="V7" s="141">
        <v>1100</v>
      </c>
    </row>
    <row r="8" spans="1:22" ht="12">
      <c r="A8" s="132" t="s">
        <v>45</v>
      </c>
      <c r="B8" s="141"/>
      <c r="C8" s="141">
        <f>C7</f>
        <v>1100</v>
      </c>
      <c r="D8" s="141">
        <f aca="true" t="shared" si="1" ref="D8:V8">C8+D7</f>
        <v>2200</v>
      </c>
      <c r="E8" s="141">
        <f t="shared" si="1"/>
        <v>3300</v>
      </c>
      <c r="F8" s="141">
        <f t="shared" si="1"/>
        <v>4400</v>
      </c>
      <c r="G8" s="214">
        <f t="shared" si="1"/>
        <v>5500</v>
      </c>
      <c r="H8" s="141">
        <f t="shared" si="1"/>
        <v>6600</v>
      </c>
      <c r="I8" s="141">
        <f t="shared" si="1"/>
        <v>7700</v>
      </c>
      <c r="J8" s="141">
        <f t="shared" si="1"/>
        <v>8800</v>
      </c>
      <c r="K8" s="141">
        <f t="shared" si="1"/>
        <v>9900</v>
      </c>
      <c r="L8" s="141">
        <f t="shared" si="1"/>
        <v>11000</v>
      </c>
      <c r="M8" s="141">
        <f t="shared" si="1"/>
        <v>12100</v>
      </c>
      <c r="N8" s="141">
        <f t="shared" si="1"/>
        <v>13200</v>
      </c>
      <c r="O8" s="141">
        <f t="shared" si="1"/>
        <v>14300</v>
      </c>
      <c r="P8" s="141">
        <f t="shared" si="1"/>
        <v>15400</v>
      </c>
      <c r="Q8" s="141">
        <f t="shared" si="1"/>
        <v>16500</v>
      </c>
      <c r="R8" s="141">
        <f t="shared" si="1"/>
        <v>17600</v>
      </c>
      <c r="S8" s="141">
        <f t="shared" si="1"/>
        <v>18700</v>
      </c>
      <c r="T8" s="141">
        <f t="shared" si="1"/>
        <v>19800</v>
      </c>
      <c r="U8" s="141">
        <f t="shared" si="1"/>
        <v>20900</v>
      </c>
      <c r="V8" s="141">
        <f t="shared" si="1"/>
        <v>22000</v>
      </c>
    </row>
    <row r="9" spans="1:22" ht="12">
      <c r="A9" s="132" t="s">
        <v>162</v>
      </c>
      <c r="B9" s="141"/>
      <c r="C9" s="141">
        <f>B6-C7+I4</f>
        <v>20900</v>
      </c>
      <c r="D9" s="141">
        <f>C9-D7</f>
        <v>19800</v>
      </c>
      <c r="E9" s="141">
        <f aca="true" t="shared" si="2" ref="E9:V9">D9-E7</f>
        <v>18700</v>
      </c>
      <c r="F9" s="141">
        <f t="shared" si="2"/>
        <v>17600</v>
      </c>
      <c r="G9" s="215">
        <f t="shared" si="2"/>
        <v>16500</v>
      </c>
      <c r="H9" s="141">
        <f t="shared" si="2"/>
        <v>15400</v>
      </c>
      <c r="I9" s="141">
        <f t="shared" si="2"/>
        <v>14300</v>
      </c>
      <c r="J9" s="141">
        <f t="shared" si="2"/>
        <v>13200</v>
      </c>
      <c r="K9" s="141">
        <f t="shared" si="2"/>
        <v>12100</v>
      </c>
      <c r="L9" s="141">
        <f t="shared" si="2"/>
        <v>11000</v>
      </c>
      <c r="M9" s="141">
        <f t="shared" si="2"/>
        <v>9900</v>
      </c>
      <c r="N9" s="141">
        <f t="shared" si="2"/>
        <v>8800</v>
      </c>
      <c r="O9" s="141">
        <f t="shared" si="2"/>
        <v>7700</v>
      </c>
      <c r="P9" s="141">
        <f t="shared" si="2"/>
        <v>6600</v>
      </c>
      <c r="Q9" s="141">
        <f t="shared" si="2"/>
        <v>5500</v>
      </c>
      <c r="R9" s="141">
        <f t="shared" si="2"/>
        <v>4400</v>
      </c>
      <c r="S9" s="141">
        <f t="shared" si="2"/>
        <v>3300</v>
      </c>
      <c r="T9" s="141">
        <f t="shared" si="2"/>
        <v>2200</v>
      </c>
      <c r="U9" s="141">
        <f t="shared" si="2"/>
        <v>1100</v>
      </c>
      <c r="V9" s="141">
        <f t="shared" si="2"/>
        <v>0</v>
      </c>
    </row>
    <row r="10" spans="1:22" ht="12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</row>
    <row r="11" spans="1:22" ht="12">
      <c r="A11" s="130"/>
      <c r="B11" s="130"/>
      <c r="C11" s="142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</row>
    <row r="12" spans="1:22" ht="12">
      <c r="A12" s="143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30"/>
      <c r="O12" s="130"/>
      <c r="P12" s="130"/>
      <c r="Q12" s="130"/>
      <c r="R12" s="130"/>
      <c r="S12" s="130"/>
      <c r="T12" s="130"/>
      <c r="U12" s="130"/>
      <c r="V12" s="130"/>
    </row>
    <row r="13" spans="1:22" ht="12">
      <c r="A13" s="272" t="s">
        <v>163</v>
      </c>
      <c r="B13" s="128" t="s">
        <v>135</v>
      </c>
      <c r="C13" s="130"/>
      <c r="D13" s="130"/>
      <c r="E13" s="147">
        <v>10</v>
      </c>
      <c r="F13" s="130"/>
      <c r="G13" s="128" t="s">
        <v>136</v>
      </c>
      <c r="H13" s="130"/>
      <c r="I13" s="148">
        <v>0</v>
      </c>
      <c r="J13" s="128" t="s">
        <v>137</v>
      </c>
      <c r="K13" s="130"/>
      <c r="L13" s="130">
        <v>0</v>
      </c>
      <c r="M13" s="144"/>
      <c r="N13" s="144"/>
      <c r="O13" s="144"/>
      <c r="P13" s="144"/>
      <c r="Q13" s="144"/>
      <c r="R13" s="144"/>
      <c r="S13" s="144"/>
      <c r="T13" s="144"/>
      <c r="U13" s="144"/>
      <c r="V13" s="144"/>
    </row>
    <row r="14" spans="1:22" ht="12">
      <c r="A14" s="273"/>
      <c r="B14" s="138" t="s">
        <v>138</v>
      </c>
      <c r="C14" s="138" t="s">
        <v>139</v>
      </c>
      <c r="D14" s="138" t="s">
        <v>140</v>
      </c>
      <c r="E14" s="138" t="s">
        <v>141</v>
      </c>
      <c r="F14" s="138" t="s">
        <v>142</v>
      </c>
      <c r="G14" s="138" t="s">
        <v>143</v>
      </c>
      <c r="H14" s="138" t="s">
        <v>144</v>
      </c>
      <c r="I14" s="138" t="s">
        <v>145</v>
      </c>
      <c r="J14" s="138" t="s">
        <v>146</v>
      </c>
      <c r="K14" s="138" t="s">
        <v>147</v>
      </c>
      <c r="L14" s="138" t="s">
        <v>148</v>
      </c>
      <c r="M14" s="129"/>
      <c r="N14" s="129"/>
      <c r="O14" s="129"/>
      <c r="P14" s="129"/>
      <c r="Q14" s="129"/>
      <c r="R14" s="129"/>
      <c r="S14" s="129"/>
      <c r="T14" s="129"/>
      <c r="U14" s="129"/>
      <c r="V14" s="129"/>
    </row>
    <row r="15" spans="1:22" ht="12">
      <c r="A15" s="132" t="s">
        <v>159</v>
      </c>
      <c r="B15" s="146">
        <f>'[1]MUEBLES'!$E$29</f>
        <v>23355.136</v>
      </c>
      <c r="C15" s="140" t="s">
        <v>160</v>
      </c>
      <c r="D15" s="140" t="s">
        <v>160</v>
      </c>
      <c r="E15" s="140" t="s">
        <v>160</v>
      </c>
      <c r="F15" s="140" t="s">
        <v>160</v>
      </c>
      <c r="G15" s="213" t="s">
        <v>160</v>
      </c>
      <c r="H15" s="140" t="s">
        <v>160</v>
      </c>
      <c r="I15" s="140" t="s">
        <v>160</v>
      </c>
      <c r="J15" s="140" t="s">
        <v>160</v>
      </c>
      <c r="K15" s="140" t="s">
        <v>160</v>
      </c>
      <c r="L15" s="140" t="s">
        <v>160</v>
      </c>
      <c r="M15" s="144"/>
      <c r="N15" s="144"/>
      <c r="O15" s="144"/>
      <c r="P15" s="144"/>
      <c r="Q15" s="144"/>
      <c r="R15" s="144"/>
      <c r="S15" s="144"/>
      <c r="T15" s="144"/>
      <c r="U15" s="144"/>
      <c r="V15" s="144"/>
    </row>
    <row r="16" spans="1:22" ht="12">
      <c r="A16" s="132" t="s">
        <v>161</v>
      </c>
      <c r="B16" s="141"/>
      <c r="C16" s="141">
        <f>B15/E13</f>
        <v>2335.5135999999998</v>
      </c>
      <c r="D16" s="141">
        <f aca="true" t="shared" si="3" ref="D16:I16">C16</f>
        <v>2335.5135999999998</v>
      </c>
      <c r="E16" s="141">
        <f t="shared" si="3"/>
        <v>2335.5135999999998</v>
      </c>
      <c r="F16" s="141">
        <f t="shared" si="3"/>
        <v>2335.5135999999998</v>
      </c>
      <c r="G16" s="214">
        <f t="shared" si="3"/>
        <v>2335.5135999999998</v>
      </c>
      <c r="H16" s="141">
        <f t="shared" si="3"/>
        <v>2335.5135999999998</v>
      </c>
      <c r="I16" s="141">
        <f t="shared" si="3"/>
        <v>2335.5135999999998</v>
      </c>
      <c r="J16" s="141">
        <v>1274.022</v>
      </c>
      <c r="K16" s="141">
        <v>1274.022</v>
      </c>
      <c r="L16" s="141">
        <v>1274.022</v>
      </c>
      <c r="M16" s="144"/>
      <c r="N16" s="144"/>
      <c r="O16" s="144"/>
      <c r="P16" s="144"/>
      <c r="Q16" s="144"/>
      <c r="R16" s="144"/>
      <c r="S16" s="144"/>
      <c r="T16" s="144"/>
      <c r="U16" s="144"/>
      <c r="V16" s="144"/>
    </row>
    <row r="17" spans="1:22" ht="12">
      <c r="A17" s="132" t="s">
        <v>45</v>
      </c>
      <c r="B17" s="141"/>
      <c r="C17" s="141">
        <f>C16</f>
        <v>2335.5135999999998</v>
      </c>
      <c r="D17" s="141">
        <f>C17+D16</f>
        <v>4671.0271999999995</v>
      </c>
      <c r="E17" s="141">
        <f aca="true" t="shared" si="4" ref="E17:L17">D17+E16</f>
        <v>7006.540799999999</v>
      </c>
      <c r="F17" s="141">
        <f t="shared" si="4"/>
        <v>9342.054399999999</v>
      </c>
      <c r="G17" s="214">
        <f t="shared" si="4"/>
        <v>11677.568</v>
      </c>
      <c r="H17" s="141">
        <f t="shared" si="4"/>
        <v>14013.0816</v>
      </c>
      <c r="I17" s="141">
        <f t="shared" si="4"/>
        <v>16348.5952</v>
      </c>
      <c r="J17" s="141">
        <f t="shared" si="4"/>
        <v>17622.6172</v>
      </c>
      <c r="K17" s="141">
        <f t="shared" si="4"/>
        <v>18896.6392</v>
      </c>
      <c r="L17" s="141">
        <f t="shared" si="4"/>
        <v>20170.661200000002</v>
      </c>
      <c r="M17" s="144"/>
      <c r="N17" s="144"/>
      <c r="O17" s="144"/>
      <c r="P17" s="144"/>
      <c r="Q17" s="144"/>
      <c r="R17" s="144"/>
      <c r="S17" s="144"/>
      <c r="T17" s="144"/>
      <c r="U17" s="144"/>
      <c r="V17" s="144"/>
    </row>
    <row r="18" spans="1:22" ht="12">
      <c r="A18" s="132" t="s">
        <v>162</v>
      </c>
      <c r="B18" s="141"/>
      <c r="C18" s="141">
        <f>B15-C16+I13</f>
        <v>21019.6224</v>
      </c>
      <c r="D18" s="141">
        <f>C18-D16</f>
        <v>18684.1088</v>
      </c>
      <c r="E18" s="141">
        <f aca="true" t="shared" si="5" ref="E18:L18">D18-E16</f>
        <v>16348.595200000002</v>
      </c>
      <c r="F18" s="141">
        <f t="shared" si="5"/>
        <v>14013.081600000001</v>
      </c>
      <c r="G18" s="249">
        <f t="shared" si="5"/>
        <v>11677.568000000001</v>
      </c>
      <c r="H18" s="141">
        <f t="shared" si="5"/>
        <v>9342.0544</v>
      </c>
      <c r="I18" s="141">
        <f t="shared" si="5"/>
        <v>7006.540800000001</v>
      </c>
      <c r="J18" s="141">
        <f t="shared" si="5"/>
        <v>5732.518800000001</v>
      </c>
      <c r="K18" s="141">
        <f t="shared" si="5"/>
        <v>4458.496800000001</v>
      </c>
      <c r="L18" s="141">
        <f t="shared" si="5"/>
        <v>3184.474800000001</v>
      </c>
      <c r="M18" s="130"/>
      <c r="N18" s="130"/>
      <c r="O18" s="130"/>
      <c r="P18" s="130"/>
      <c r="Q18" s="130"/>
      <c r="R18" s="130"/>
      <c r="S18" s="130"/>
      <c r="T18" s="130"/>
      <c r="U18" s="130"/>
      <c r="V18" s="130"/>
    </row>
    <row r="19" spans="1:22" ht="12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</row>
    <row r="20" spans="1:22" ht="12">
      <c r="A20" s="130"/>
      <c r="B20" s="130"/>
      <c r="C20" s="142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</row>
    <row r="21" spans="1:22" ht="12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</row>
    <row r="22" spans="1:22" ht="12">
      <c r="A22" s="272" t="s">
        <v>164</v>
      </c>
      <c r="B22" s="128" t="s">
        <v>135</v>
      </c>
      <c r="C22" s="130"/>
      <c r="D22" s="130"/>
      <c r="E22" s="147">
        <v>3</v>
      </c>
      <c r="F22" s="130"/>
      <c r="G22" s="130" t="s">
        <v>136</v>
      </c>
      <c r="H22" s="130"/>
      <c r="I22" s="130">
        <v>0</v>
      </c>
      <c r="M22" s="130"/>
      <c r="N22" s="130"/>
      <c r="O22" s="130"/>
      <c r="P22" s="130"/>
      <c r="Q22" s="130"/>
      <c r="R22" s="130"/>
      <c r="S22" s="130"/>
      <c r="T22" s="130"/>
      <c r="U22" s="130"/>
      <c r="V22" s="130"/>
    </row>
    <row r="23" spans="1:22" ht="12">
      <c r="A23" s="273"/>
      <c r="B23" s="138" t="s">
        <v>138</v>
      </c>
      <c r="C23" s="138" t="s">
        <v>139</v>
      </c>
      <c r="D23" s="138" t="s">
        <v>140</v>
      </c>
      <c r="E23" s="138" t="s">
        <v>141</v>
      </c>
      <c r="F23" s="129"/>
      <c r="G23" s="130" t="s">
        <v>137</v>
      </c>
      <c r="H23" s="130"/>
      <c r="I23" s="130">
        <v>0</v>
      </c>
      <c r="J23" s="129"/>
      <c r="K23" s="129"/>
      <c r="L23" s="129"/>
      <c r="M23" s="130"/>
      <c r="N23" s="130"/>
      <c r="O23" s="130"/>
      <c r="P23" s="130"/>
      <c r="Q23" s="130"/>
      <c r="R23" s="130"/>
      <c r="S23" s="130"/>
      <c r="T23" s="130"/>
      <c r="U23" s="130"/>
      <c r="V23" s="130"/>
    </row>
    <row r="24" spans="1:22" ht="12">
      <c r="A24" s="132" t="s">
        <v>159</v>
      </c>
      <c r="B24" s="146">
        <f>'[1]equipo de oficina'!$E$9</f>
        <v>2810</v>
      </c>
      <c r="C24" s="140" t="s">
        <v>160</v>
      </c>
      <c r="D24" s="140" t="s">
        <v>160</v>
      </c>
      <c r="E24" s="140" t="s">
        <v>160</v>
      </c>
      <c r="F24" s="129"/>
      <c r="G24" s="129"/>
      <c r="H24" s="129"/>
      <c r="I24" s="129"/>
      <c r="J24" s="129"/>
      <c r="K24" s="129"/>
      <c r="L24" s="129"/>
      <c r="M24" s="130"/>
      <c r="N24" s="130"/>
      <c r="O24" s="130"/>
      <c r="P24" s="130"/>
      <c r="Q24" s="130"/>
      <c r="R24" s="130"/>
      <c r="S24" s="130"/>
      <c r="T24" s="130"/>
      <c r="U24" s="130"/>
      <c r="V24" s="130"/>
    </row>
    <row r="25" spans="1:22" ht="12">
      <c r="A25" s="132" t="s">
        <v>161</v>
      </c>
      <c r="B25" s="141"/>
      <c r="C25" s="141">
        <f>B24/E22</f>
        <v>936.6666666666666</v>
      </c>
      <c r="D25" s="141">
        <f>C25</f>
        <v>936.6666666666666</v>
      </c>
      <c r="E25" s="141">
        <f>D25</f>
        <v>936.6666666666666</v>
      </c>
      <c r="F25" s="144"/>
      <c r="G25" s="144"/>
      <c r="H25" s="144"/>
      <c r="I25" s="144"/>
      <c r="J25" s="144"/>
      <c r="K25" s="144"/>
      <c r="L25" s="144"/>
      <c r="M25" s="130"/>
      <c r="N25" s="130"/>
      <c r="O25" s="130"/>
      <c r="P25" s="130"/>
      <c r="Q25" s="130"/>
      <c r="R25" s="130"/>
      <c r="S25" s="130"/>
      <c r="T25" s="130"/>
      <c r="U25" s="130"/>
      <c r="V25" s="130"/>
    </row>
    <row r="26" spans="1:22" ht="12">
      <c r="A26" s="132" t="s">
        <v>45</v>
      </c>
      <c r="B26" s="141"/>
      <c r="C26" s="141">
        <f>C25</f>
        <v>936.6666666666666</v>
      </c>
      <c r="D26" s="141">
        <f>C26+D25</f>
        <v>1873.3333333333333</v>
      </c>
      <c r="E26" s="141">
        <f>D26+E25</f>
        <v>2810</v>
      </c>
      <c r="F26" s="144"/>
      <c r="G26" s="144"/>
      <c r="H26" s="144"/>
      <c r="I26" s="144"/>
      <c r="J26" s="144"/>
      <c r="K26" s="144"/>
      <c r="L26" s="144"/>
      <c r="M26" s="130"/>
      <c r="N26" s="130"/>
      <c r="O26" s="130"/>
      <c r="P26" s="130"/>
      <c r="Q26" s="130"/>
      <c r="R26" s="130"/>
      <c r="S26" s="130"/>
      <c r="T26" s="130"/>
      <c r="U26" s="130"/>
      <c r="V26" s="130"/>
    </row>
    <row r="27" spans="1:22" ht="12">
      <c r="A27" s="132" t="s">
        <v>162</v>
      </c>
      <c r="B27" s="141"/>
      <c r="C27" s="141">
        <f>B24-C25+I22</f>
        <v>1873.3333333333335</v>
      </c>
      <c r="D27" s="141">
        <f>C27-D25</f>
        <v>936.6666666666669</v>
      </c>
      <c r="E27" s="141">
        <f>D27-E25</f>
        <v>0</v>
      </c>
      <c r="F27" s="144"/>
      <c r="G27" s="144"/>
      <c r="H27" s="144"/>
      <c r="I27" s="144"/>
      <c r="J27" s="144"/>
      <c r="K27" s="144"/>
      <c r="L27" s="144"/>
      <c r="M27" s="130"/>
      <c r="N27" s="130"/>
      <c r="O27" s="130"/>
      <c r="P27" s="130"/>
      <c r="Q27" s="130"/>
      <c r="R27" s="130"/>
      <c r="S27" s="130"/>
      <c r="T27" s="130"/>
      <c r="U27" s="130"/>
      <c r="V27" s="130"/>
    </row>
    <row r="28" spans="1:22" ht="12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</row>
    <row r="29" spans="1:22" ht="12">
      <c r="A29" s="130"/>
      <c r="B29" s="130"/>
      <c r="C29" s="142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</row>
    <row r="30" spans="1:22" ht="12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</row>
    <row r="31" spans="1:22" ht="12">
      <c r="A31" s="274" t="s">
        <v>165</v>
      </c>
      <c r="B31" s="128" t="s">
        <v>135</v>
      </c>
      <c r="C31" s="130"/>
      <c r="D31" s="130"/>
      <c r="E31" s="147">
        <v>3</v>
      </c>
      <c r="F31" s="130"/>
      <c r="G31" s="130" t="s">
        <v>136</v>
      </c>
      <c r="H31" s="130"/>
      <c r="I31" s="130">
        <v>0</v>
      </c>
      <c r="M31" s="130"/>
      <c r="N31" s="130"/>
      <c r="O31" s="130"/>
      <c r="P31" s="130"/>
      <c r="Q31" s="130"/>
      <c r="R31" s="130"/>
      <c r="S31" s="130"/>
      <c r="T31" s="130"/>
      <c r="U31" s="130"/>
      <c r="V31" s="130"/>
    </row>
    <row r="32" spans="1:22" ht="12">
      <c r="A32" s="275"/>
      <c r="B32" s="138" t="s">
        <v>138</v>
      </c>
      <c r="C32" s="138" t="s">
        <v>139</v>
      </c>
      <c r="D32" s="138" t="s">
        <v>140</v>
      </c>
      <c r="E32" s="138" t="s">
        <v>141</v>
      </c>
      <c r="F32" s="129"/>
      <c r="G32" s="130" t="s">
        <v>137</v>
      </c>
      <c r="H32" s="130"/>
      <c r="I32" s="130">
        <v>0</v>
      </c>
      <c r="J32" s="129"/>
      <c r="K32" s="129"/>
      <c r="L32" s="129"/>
      <c r="M32" s="130"/>
      <c r="N32" s="130"/>
      <c r="O32" s="130"/>
      <c r="P32" s="130"/>
      <c r="Q32" s="130"/>
      <c r="R32" s="130"/>
      <c r="S32" s="130"/>
      <c r="T32" s="130"/>
      <c r="U32" s="130"/>
      <c r="V32" s="130"/>
    </row>
    <row r="33" spans="1:12" ht="12">
      <c r="A33" s="132" t="s">
        <v>159</v>
      </c>
      <c r="B33" s="247">
        <f>'[1]eq comunicacion'!$E$7</f>
        <v>900</v>
      </c>
      <c r="C33" s="131" t="s">
        <v>160</v>
      </c>
      <c r="D33" s="131" t="s">
        <v>160</v>
      </c>
      <c r="E33" s="131" t="s">
        <v>160</v>
      </c>
      <c r="F33" s="129"/>
      <c r="G33" s="129"/>
      <c r="H33" s="129"/>
      <c r="I33" s="129"/>
      <c r="J33" s="129"/>
      <c r="K33" s="129"/>
      <c r="L33" s="129"/>
    </row>
    <row r="34" spans="1:12" ht="12">
      <c r="A34" s="132" t="s">
        <v>161</v>
      </c>
      <c r="B34" s="132"/>
      <c r="C34" s="145">
        <f>B33/E31</f>
        <v>300</v>
      </c>
      <c r="D34" s="145">
        <f>C34</f>
        <v>300</v>
      </c>
      <c r="E34" s="145">
        <f>D34</f>
        <v>300</v>
      </c>
      <c r="F34" s="144"/>
      <c r="G34" s="144"/>
      <c r="H34" s="144"/>
      <c r="I34" s="144"/>
      <c r="J34" s="144"/>
      <c r="K34" s="144"/>
      <c r="L34" s="144"/>
    </row>
    <row r="35" spans="1:12" ht="12">
      <c r="A35" s="132" t="s">
        <v>45</v>
      </c>
      <c r="B35" s="132"/>
      <c r="C35" s="145">
        <f>C34</f>
        <v>300</v>
      </c>
      <c r="D35" s="145">
        <f>C35+D34</f>
        <v>600</v>
      </c>
      <c r="E35" s="145">
        <f>D35+E34</f>
        <v>900</v>
      </c>
      <c r="F35" s="144"/>
      <c r="G35" s="144"/>
      <c r="H35" s="144"/>
      <c r="I35" s="144"/>
      <c r="J35" s="144"/>
      <c r="K35" s="144"/>
      <c r="L35" s="144"/>
    </row>
    <row r="36" spans="1:12" ht="12">
      <c r="A36" s="132" t="s">
        <v>162</v>
      </c>
      <c r="B36" s="132"/>
      <c r="C36" s="145">
        <f>B33-C34+I31</f>
        <v>600</v>
      </c>
      <c r="D36" s="145">
        <f>C36-D34</f>
        <v>300</v>
      </c>
      <c r="E36" s="145">
        <f>D36-E34</f>
        <v>0</v>
      </c>
      <c r="F36" s="144"/>
      <c r="G36" s="144"/>
      <c r="H36" s="144"/>
      <c r="I36" s="144"/>
      <c r="J36" s="144"/>
      <c r="K36" s="144"/>
      <c r="L36" s="144"/>
    </row>
    <row r="37" spans="1:12" ht="12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</row>
    <row r="38" spans="1:12" ht="12">
      <c r="A38" s="130"/>
      <c r="B38" s="130"/>
      <c r="C38" s="142"/>
      <c r="D38" s="130"/>
      <c r="E38" s="130"/>
      <c r="F38" s="130"/>
      <c r="G38" s="130"/>
      <c r="H38" s="130"/>
      <c r="I38" s="130"/>
      <c r="J38" s="130"/>
      <c r="K38" s="130"/>
      <c r="L38" s="130"/>
    </row>
    <row r="39" spans="1:12" ht="12">
      <c r="A39" s="130"/>
      <c r="B39" s="130"/>
      <c r="C39" s="130"/>
      <c r="D39" s="130"/>
      <c r="E39" s="130"/>
      <c r="F39" s="130"/>
      <c r="G39" s="130" t="s">
        <v>136</v>
      </c>
      <c r="H39" s="130"/>
      <c r="I39" s="130">
        <v>0</v>
      </c>
      <c r="J39" s="130"/>
      <c r="K39" s="130"/>
      <c r="L39" s="130"/>
    </row>
    <row r="40" spans="1:9" ht="12">
      <c r="A40" s="272" t="s">
        <v>166</v>
      </c>
      <c r="B40" s="128" t="s">
        <v>135</v>
      </c>
      <c r="C40" s="130"/>
      <c r="D40" s="130"/>
      <c r="E40" s="147">
        <v>5</v>
      </c>
      <c r="F40" s="130"/>
      <c r="H40" s="130" t="s">
        <v>137</v>
      </c>
      <c r="I40" s="130">
        <v>0</v>
      </c>
    </row>
    <row r="41" spans="1:12" ht="12">
      <c r="A41" s="273"/>
      <c r="B41" s="138" t="s">
        <v>138</v>
      </c>
      <c r="C41" s="138" t="s">
        <v>139</v>
      </c>
      <c r="D41" s="138" t="s">
        <v>140</v>
      </c>
      <c r="E41" s="138" t="s">
        <v>141</v>
      </c>
      <c r="F41" s="138" t="s">
        <v>142</v>
      </c>
      <c r="G41" s="138" t="s">
        <v>143</v>
      </c>
      <c r="H41" s="130"/>
      <c r="I41" s="130"/>
      <c r="J41" s="130"/>
      <c r="K41" s="130"/>
      <c r="L41" s="130"/>
    </row>
    <row r="42" spans="1:12" ht="12">
      <c r="A42" s="132" t="s">
        <v>159</v>
      </c>
      <c r="B42" s="152">
        <v>36780</v>
      </c>
      <c r="C42" s="140" t="s">
        <v>160</v>
      </c>
      <c r="D42" s="140" t="s">
        <v>160</v>
      </c>
      <c r="E42" s="140" t="s">
        <v>160</v>
      </c>
      <c r="F42" s="140" t="s">
        <v>160</v>
      </c>
      <c r="G42" s="213" t="s">
        <v>160</v>
      </c>
      <c r="H42" s="130"/>
      <c r="I42" s="130"/>
      <c r="J42" s="130"/>
      <c r="K42" s="130"/>
      <c r="L42" s="130"/>
    </row>
    <row r="43" spans="1:12" ht="12">
      <c r="A43" s="132" t="s">
        <v>161</v>
      </c>
      <c r="B43" s="141"/>
      <c r="C43" s="141">
        <f>B42/E40</f>
        <v>7356</v>
      </c>
      <c r="D43" s="141">
        <f>C43</f>
        <v>7356</v>
      </c>
      <c r="E43" s="141">
        <f>D43</f>
        <v>7356</v>
      </c>
      <c r="F43" s="141">
        <f>E43</f>
        <v>7356</v>
      </c>
      <c r="G43" s="214">
        <f>F43</f>
        <v>7356</v>
      </c>
      <c r="H43" s="130"/>
      <c r="I43" s="130"/>
      <c r="J43" s="130"/>
      <c r="K43" s="130"/>
      <c r="L43" s="130"/>
    </row>
    <row r="44" spans="1:12" ht="12">
      <c r="A44" s="132" t="s">
        <v>45</v>
      </c>
      <c r="B44" s="141"/>
      <c r="C44" s="141">
        <f>C43</f>
        <v>7356</v>
      </c>
      <c r="D44" s="141">
        <f>C44+D43</f>
        <v>14712</v>
      </c>
      <c r="E44" s="141">
        <f>D44+E43</f>
        <v>22068</v>
      </c>
      <c r="F44" s="141">
        <f>E44+F43</f>
        <v>29424</v>
      </c>
      <c r="G44" s="214">
        <f>F44+G43</f>
        <v>36780</v>
      </c>
      <c r="H44" s="130"/>
      <c r="I44" s="130"/>
      <c r="J44" s="130"/>
      <c r="K44" s="130"/>
      <c r="L44" s="130"/>
    </row>
    <row r="45" spans="1:12" ht="12">
      <c r="A45" s="132" t="s">
        <v>162</v>
      </c>
      <c r="B45" s="141"/>
      <c r="C45" s="141">
        <f>B42-C43+I39</f>
        <v>29424</v>
      </c>
      <c r="D45" s="141">
        <f>C45-D43</f>
        <v>22068</v>
      </c>
      <c r="E45" s="141">
        <f>D45-E43</f>
        <v>14712</v>
      </c>
      <c r="F45" s="141">
        <f>E45-F43</f>
        <v>7356</v>
      </c>
      <c r="G45" s="214">
        <f>F45-G43</f>
        <v>0</v>
      </c>
      <c r="H45" s="130"/>
      <c r="I45" s="130"/>
      <c r="J45" s="130"/>
      <c r="K45" s="130"/>
      <c r="L45" s="130"/>
    </row>
    <row r="46" ht="12"/>
    <row r="47" spans="1:15" ht="12">
      <c r="A47" s="144"/>
      <c r="B47" s="144"/>
      <c r="C47" s="144"/>
      <c r="D47" s="144"/>
      <c r="E47" s="144"/>
      <c r="F47" s="144"/>
      <c r="G47" s="144"/>
      <c r="H47" s="130"/>
      <c r="I47" s="130"/>
      <c r="J47" s="130"/>
      <c r="K47" s="130"/>
      <c r="L47" s="130"/>
      <c r="M47" s="130"/>
      <c r="N47" s="130"/>
      <c r="O47" s="130"/>
    </row>
    <row r="48" spans="1:15" ht="12">
      <c r="A48" s="144"/>
      <c r="B48" s="144"/>
      <c r="C48" s="144"/>
      <c r="D48" s="144"/>
      <c r="E48" s="144"/>
      <c r="F48" s="144"/>
      <c r="G48" s="144"/>
      <c r="H48" s="130"/>
      <c r="I48" s="130"/>
      <c r="J48" s="130"/>
      <c r="K48" s="130"/>
      <c r="L48" s="130"/>
      <c r="M48" s="130"/>
      <c r="N48" s="130"/>
      <c r="O48" s="130"/>
    </row>
    <row r="49" spans="1:9" ht="12">
      <c r="A49" s="274" t="s">
        <v>167</v>
      </c>
      <c r="B49" s="128" t="s">
        <v>135</v>
      </c>
      <c r="C49" s="130"/>
      <c r="D49" s="130"/>
      <c r="E49" s="147">
        <v>3</v>
      </c>
      <c r="G49" s="130" t="s">
        <v>136</v>
      </c>
      <c r="H49" s="130"/>
      <c r="I49" s="130">
        <v>0</v>
      </c>
    </row>
    <row r="50" spans="1:9" ht="12">
      <c r="A50" s="275"/>
      <c r="B50" s="138" t="s">
        <v>138</v>
      </c>
      <c r="C50" s="138" t="s">
        <v>139</v>
      </c>
      <c r="D50" s="138" t="s">
        <v>140</v>
      </c>
      <c r="E50" s="138" t="s">
        <v>141</v>
      </c>
      <c r="G50" s="130" t="s">
        <v>137</v>
      </c>
      <c r="H50" s="130"/>
      <c r="I50" s="130">
        <v>0</v>
      </c>
    </row>
    <row r="51" spans="1:5" ht="12">
      <c r="A51" s="132" t="s">
        <v>159</v>
      </c>
      <c r="B51" s="146">
        <f>'[1]eq. computacion'!$F$8</f>
        <v>4936</v>
      </c>
      <c r="C51" s="140" t="s">
        <v>160</v>
      </c>
      <c r="D51" s="140" t="s">
        <v>160</v>
      </c>
      <c r="E51" s="140" t="s">
        <v>160</v>
      </c>
    </row>
    <row r="52" spans="1:5" ht="12">
      <c r="A52" s="132" t="s">
        <v>161</v>
      </c>
      <c r="B52" s="141"/>
      <c r="C52" s="141">
        <f>B51/E49</f>
        <v>1645.3333333333333</v>
      </c>
      <c r="D52" s="141">
        <f>C52</f>
        <v>1645.3333333333333</v>
      </c>
      <c r="E52" s="141">
        <f>D52</f>
        <v>1645.3333333333333</v>
      </c>
    </row>
    <row r="53" spans="1:5" ht="12">
      <c r="A53" s="132" t="s">
        <v>45</v>
      </c>
      <c r="B53" s="141"/>
      <c r="C53" s="141">
        <f>C52</f>
        <v>1645.3333333333333</v>
      </c>
      <c r="D53" s="141">
        <f>C53+D52</f>
        <v>3290.6666666666665</v>
      </c>
      <c r="E53" s="141">
        <f>D53+E52</f>
        <v>4936</v>
      </c>
    </row>
    <row r="54" spans="1:5" ht="12">
      <c r="A54" s="132" t="s">
        <v>162</v>
      </c>
      <c r="B54" s="141"/>
      <c r="C54" s="141">
        <f>B51-C52+I49</f>
        <v>3290.666666666667</v>
      </c>
      <c r="D54" s="141">
        <f>C54-D52</f>
        <v>1645.3333333333337</v>
      </c>
      <c r="E54" s="141">
        <f>D54-E52</f>
        <v>0</v>
      </c>
    </row>
    <row r="55" spans="1:6" ht="12">
      <c r="A55" s="130"/>
      <c r="B55" s="130"/>
      <c r="C55" s="130"/>
      <c r="D55" s="130"/>
      <c r="E55" s="130"/>
      <c r="F55" s="130"/>
    </row>
    <row r="56" spans="1:6" ht="12">
      <c r="A56" s="130"/>
      <c r="B56" s="130"/>
      <c r="C56" s="130"/>
      <c r="D56" s="130"/>
      <c r="E56" s="130"/>
      <c r="F56" s="130"/>
    </row>
    <row r="57" spans="1:6" ht="12">
      <c r="A57" s="130"/>
      <c r="B57" s="130"/>
      <c r="C57" s="130"/>
      <c r="D57" s="151"/>
      <c r="E57" s="130"/>
      <c r="F57" s="130"/>
    </row>
    <row r="58" spans="1:6" ht="12.75">
      <c r="A58" s="153" t="s">
        <v>168</v>
      </c>
      <c r="B58" s="154" t="s">
        <v>171</v>
      </c>
      <c r="C58" s="154" t="s">
        <v>172</v>
      </c>
      <c r="D58" s="154" t="s">
        <v>173</v>
      </c>
      <c r="E58" s="154" t="s">
        <v>174</v>
      </c>
      <c r="F58" s="154" t="s">
        <v>175</v>
      </c>
    </row>
    <row r="59" spans="1:6" ht="12.75">
      <c r="A59" s="126" t="s">
        <v>169</v>
      </c>
      <c r="B59" s="134">
        <f>C7+C16+C25+C34+C43+C52</f>
        <v>13673.5136</v>
      </c>
      <c r="C59" s="134">
        <f>D7+D16+D25+D34+D43+D52</f>
        <v>13673.5136</v>
      </c>
      <c r="D59" s="134">
        <f>E7+E16+E25+E34+E43+E52</f>
        <v>13673.5136</v>
      </c>
      <c r="E59" s="134">
        <f>F7+F16+F43</f>
        <v>10791.5136</v>
      </c>
      <c r="F59" s="134">
        <f>G7+G16+G43</f>
        <v>10791.5136</v>
      </c>
    </row>
    <row r="60" spans="1:15" ht="12.75">
      <c r="A60" s="127" t="s">
        <v>170</v>
      </c>
      <c r="B60" s="126"/>
      <c r="C60" s="135"/>
      <c r="D60" s="126"/>
      <c r="E60" s="126"/>
      <c r="F60" s="167">
        <f>G9+G18+G45+8000</f>
        <v>36177.568</v>
      </c>
      <c r="G60" s="144"/>
      <c r="H60" s="130"/>
      <c r="I60" s="130"/>
      <c r="J60" s="130"/>
      <c r="K60" s="130"/>
      <c r="L60" s="130"/>
      <c r="M60" s="130"/>
      <c r="N60" s="130"/>
      <c r="O60" s="130"/>
    </row>
    <row r="61" spans="1:7" ht="12">
      <c r="A61" s="149"/>
      <c r="B61" s="149"/>
      <c r="C61" s="150"/>
      <c r="D61" s="149"/>
      <c r="E61" s="149"/>
      <c r="F61" s="149"/>
      <c r="G61" s="149"/>
    </row>
    <row r="62" spans="1:7" ht="12">
      <c r="A62" s="149"/>
      <c r="B62" s="149"/>
      <c r="C62" s="150"/>
      <c r="D62" s="149"/>
      <c r="E62" s="149"/>
      <c r="F62" s="149"/>
      <c r="G62" s="149"/>
    </row>
    <row r="63" spans="1:7" ht="12">
      <c r="A63" s="149"/>
      <c r="B63" s="149"/>
      <c r="C63" s="149"/>
      <c r="D63" s="149"/>
      <c r="E63" s="149"/>
      <c r="F63" s="149"/>
      <c r="G63" s="149"/>
    </row>
    <row r="64" ht="15.75">
      <c r="A64" s="163" t="s">
        <v>180</v>
      </c>
    </row>
    <row r="65" ht="12"/>
    <row r="66" spans="1:12" ht="12.75" customHeight="1">
      <c r="A66" s="268" t="s">
        <v>176</v>
      </c>
      <c r="B66" s="164"/>
      <c r="C66" s="155"/>
      <c r="D66" s="155"/>
      <c r="E66" s="155"/>
      <c r="F66" s="155"/>
      <c r="G66" s="155"/>
      <c r="I66" s="216"/>
      <c r="J66" s="216"/>
      <c r="K66" s="216"/>
      <c r="L66" s="216"/>
    </row>
    <row r="67" spans="1:12" ht="12.75">
      <c r="A67" s="269"/>
      <c r="B67" s="166" t="s">
        <v>138</v>
      </c>
      <c r="C67" s="165" t="s">
        <v>139</v>
      </c>
      <c r="D67" s="165" t="s">
        <v>140</v>
      </c>
      <c r="E67" s="165" t="s">
        <v>141</v>
      </c>
      <c r="F67" s="165" t="s">
        <v>142</v>
      </c>
      <c r="G67" s="165" t="s">
        <v>143</v>
      </c>
      <c r="I67" s="216"/>
      <c r="J67" s="216"/>
      <c r="K67" s="216"/>
      <c r="L67" s="216"/>
    </row>
    <row r="68" spans="1:12" ht="12.75">
      <c r="A68" s="156" t="s">
        <v>177</v>
      </c>
      <c r="B68" s="155">
        <v>1440</v>
      </c>
      <c r="C68" s="159" t="s">
        <v>160</v>
      </c>
      <c r="D68" s="159" t="s">
        <v>160</v>
      </c>
      <c r="E68" s="159" t="s">
        <v>160</v>
      </c>
      <c r="F68" s="159" t="s">
        <v>160</v>
      </c>
      <c r="G68" s="159" t="s">
        <v>160</v>
      </c>
      <c r="I68" s="216"/>
      <c r="J68" s="216"/>
      <c r="K68" s="216"/>
      <c r="L68" s="216"/>
    </row>
    <row r="69" spans="1:12" ht="12.75">
      <c r="A69" s="156" t="s">
        <v>178</v>
      </c>
      <c r="B69" s="156"/>
      <c r="C69" s="156">
        <f>B68/5</f>
        <v>288</v>
      </c>
      <c r="D69" s="156">
        <f>C69</f>
        <v>288</v>
      </c>
      <c r="E69" s="156">
        <f>D69</f>
        <v>288</v>
      </c>
      <c r="F69" s="156">
        <f>E69</f>
        <v>288</v>
      </c>
      <c r="G69" s="156">
        <f>F69</f>
        <v>288</v>
      </c>
      <c r="I69" s="216"/>
      <c r="J69" s="216"/>
      <c r="K69" s="216"/>
      <c r="L69" s="216"/>
    </row>
    <row r="70" spans="1:12" ht="12.75">
      <c r="A70" s="156" t="s">
        <v>49</v>
      </c>
      <c r="B70" s="156"/>
      <c r="C70" s="156">
        <f>C69</f>
        <v>288</v>
      </c>
      <c r="D70" s="156">
        <f>C70+D69</f>
        <v>576</v>
      </c>
      <c r="E70" s="156">
        <f>D70+E69</f>
        <v>864</v>
      </c>
      <c r="F70" s="156">
        <f>E70+F69</f>
        <v>1152</v>
      </c>
      <c r="G70" s="156">
        <f>F70+G69</f>
        <v>1440</v>
      </c>
      <c r="I70" s="216"/>
      <c r="J70" s="216"/>
      <c r="K70" s="216"/>
      <c r="L70" s="216"/>
    </row>
    <row r="71" spans="1:12" ht="12.75">
      <c r="A71" s="156" t="s">
        <v>162</v>
      </c>
      <c r="B71" s="156"/>
      <c r="C71" s="156">
        <f>B68-C69</f>
        <v>1152</v>
      </c>
      <c r="D71" s="156">
        <f>C71-D69</f>
        <v>864</v>
      </c>
      <c r="E71" s="156">
        <f>D71-E69</f>
        <v>576</v>
      </c>
      <c r="F71" s="156">
        <f>E71-F69</f>
        <v>288</v>
      </c>
      <c r="G71" s="156">
        <f>F71-G69</f>
        <v>0</v>
      </c>
      <c r="I71" s="216"/>
      <c r="J71" s="216"/>
      <c r="K71" s="216"/>
      <c r="L71" s="216"/>
    </row>
    <row r="72" spans="9:12" ht="12">
      <c r="I72" s="216"/>
      <c r="J72" s="216"/>
      <c r="K72" s="216"/>
      <c r="L72" s="216"/>
    </row>
    <row r="73" spans="1:12" ht="12.75">
      <c r="A73" s="155"/>
      <c r="B73" s="155"/>
      <c r="C73" s="155"/>
      <c r="D73" s="155">
        <v>56</v>
      </c>
      <c r="E73" s="155"/>
      <c r="F73" s="155"/>
      <c r="G73" s="155"/>
      <c r="H73" s="155"/>
      <c r="I73" s="216"/>
      <c r="J73" s="216"/>
      <c r="K73" s="216"/>
      <c r="L73" s="216"/>
    </row>
    <row r="74" spans="9:12" ht="12.75">
      <c r="I74" s="217"/>
      <c r="J74" s="217"/>
      <c r="K74" s="217"/>
      <c r="L74" s="216"/>
    </row>
    <row r="75" spans="1:12" ht="12.75">
      <c r="A75" s="270" t="s">
        <v>19</v>
      </c>
      <c r="B75" s="164"/>
      <c r="C75" s="155"/>
      <c r="D75" s="155"/>
      <c r="E75" s="155"/>
      <c r="F75" s="155"/>
      <c r="G75" s="155"/>
      <c r="I75" s="216"/>
      <c r="J75" s="216"/>
      <c r="K75" s="216"/>
      <c r="L75" s="216"/>
    </row>
    <row r="76" spans="1:12" ht="12.75">
      <c r="A76" s="270"/>
      <c r="B76" s="166" t="s">
        <v>138</v>
      </c>
      <c r="C76" s="166" t="s">
        <v>139</v>
      </c>
      <c r="D76" s="166" t="s">
        <v>140</v>
      </c>
      <c r="E76" s="166" t="s">
        <v>141</v>
      </c>
      <c r="F76" s="166" t="s">
        <v>142</v>
      </c>
      <c r="G76" s="166" t="s">
        <v>143</v>
      </c>
      <c r="I76" s="216"/>
      <c r="J76" s="216"/>
      <c r="K76" s="216"/>
      <c r="L76" s="216"/>
    </row>
    <row r="77" spans="1:12" ht="12.75">
      <c r="A77" s="156" t="s">
        <v>177</v>
      </c>
      <c r="B77" s="155">
        <v>1420</v>
      </c>
      <c r="C77" s="162" t="s">
        <v>160</v>
      </c>
      <c r="D77" s="158" t="s">
        <v>160</v>
      </c>
      <c r="E77" s="158" t="s">
        <v>160</v>
      </c>
      <c r="F77" s="158" t="s">
        <v>160</v>
      </c>
      <c r="G77" s="158" t="s">
        <v>160</v>
      </c>
      <c r="I77" s="216"/>
      <c r="J77" s="216"/>
      <c r="K77" s="216"/>
      <c r="L77" s="216"/>
    </row>
    <row r="78" spans="1:12" ht="12.75">
      <c r="A78" s="156" t="s">
        <v>178</v>
      </c>
      <c r="B78" s="160"/>
      <c r="C78" s="156">
        <f>B77/5</f>
        <v>284</v>
      </c>
      <c r="D78" s="156">
        <f>C78</f>
        <v>284</v>
      </c>
      <c r="E78" s="156">
        <f>D78</f>
        <v>284</v>
      </c>
      <c r="F78" s="156">
        <f>E78</f>
        <v>284</v>
      </c>
      <c r="G78" s="156">
        <f>F78</f>
        <v>284</v>
      </c>
      <c r="I78" s="216"/>
      <c r="J78" s="216"/>
      <c r="K78" s="216"/>
      <c r="L78" s="216"/>
    </row>
    <row r="79" spans="1:12" ht="12.75">
      <c r="A79" s="156" t="s">
        <v>49</v>
      </c>
      <c r="B79" s="161"/>
      <c r="C79" s="156">
        <f>C78</f>
        <v>284</v>
      </c>
      <c r="D79" s="156">
        <f>C79+D78</f>
        <v>568</v>
      </c>
      <c r="E79" s="156">
        <f>D79+E78</f>
        <v>852</v>
      </c>
      <c r="F79" s="156">
        <f>E79+F78</f>
        <v>1136</v>
      </c>
      <c r="G79" s="156">
        <f>F79+G78</f>
        <v>1420</v>
      </c>
      <c r="I79" s="216"/>
      <c r="J79" s="216"/>
      <c r="K79" s="216"/>
      <c r="L79" s="216"/>
    </row>
    <row r="80" spans="1:12" ht="12.75">
      <c r="A80" s="157" t="s">
        <v>162</v>
      </c>
      <c r="B80" s="161"/>
      <c r="C80" s="156">
        <f>B77-C78</f>
        <v>1136</v>
      </c>
      <c r="D80" s="156">
        <f>C80-D78</f>
        <v>852</v>
      </c>
      <c r="E80" s="156">
        <f>D80-E78</f>
        <v>568</v>
      </c>
      <c r="F80" s="156">
        <f>E80-F78</f>
        <v>284</v>
      </c>
      <c r="G80" s="156">
        <f>F80-G78</f>
        <v>0</v>
      </c>
      <c r="I80" s="216"/>
      <c r="J80" s="216"/>
      <c r="K80" s="216"/>
      <c r="L80" s="216"/>
    </row>
    <row r="81" spans="9:12" ht="12">
      <c r="I81" s="216"/>
      <c r="J81" s="216"/>
      <c r="K81" s="216"/>
      <c r="L81" s="216"/>
    </row>
    <row r="82" spans="9:12" ht="12">
      <c r="I82" s="216"/>
      <c r="J82" s="216"/>
      <c r="K82" s="216"/>
      <c r="L82" s="216"/>
    </row>
    <row r="83" spans="1:6" ht="12.75">
      <c r="A83" s="153" t="s">
        <v>181</v>
      </c>
      <c r="B83" s="154" t="s">
        <v>171</v>
      </c>
      <c r="C83" s="154" t="s">
        <v>172</v>
      </c>
      <c r="D83" s="154" t="s">
        <v>173</v>
      </c>
      <c r="E83" s="154" t="s">
        <v>174</v>
      </c>
      <c r="F83" s="154" t="s">
        <v>175</v>
      </c>
    </row>
    <row r="84" spans="1:6" ht="12.75">
      <c r="A84" s="126" t="s">
        <v>182</v>
      </c>
      <c r="B84" s="134">
        <f>C69+C78</f>
        <v>572</v>
      </c>
      <c r="C84" s="134">
        <f>D69+D78</f>
        <v>572</v>
      </c>
      <c r="D84" s="134">
        <f>E69+E78</f>
        <v>572</v>
      </c>
      <c r="E84" s="134">
        <f>F69+F78</f>
        <v>572</v>
      </c>
      <c r="F84" s="134">
        <f>G69+G78</f>
        <v>572</v>
      </c>
    </row>
    <row r="85" spans="1:6" ht="12.75">
      <c r="A85" s="127" t="s">
        <v>170</v>
      </c>
      <c r="B85" s="126"/>
      <c r="C85" s="135"/>
      <c r="D85" s="126"/>
      <c r="E85" s="126"/>
      <c r="F85" s="167">
        <f>G71+G80</f>
        <v>0</v>
      </c>
    </row>
  </sheetData>
  <sheetProtection/>
  <mergeCells count="8">
    <mergeCell ref="A66:A67"/>
    <mergeCell ref="A75:A76"/>
    <mergeCell ref="A4:A5"/>
    <mergeCell ref="A13:A14"/>
    <mergeCell ref="A31:A32"/>
    <mergeCell ref="A22:A23"/>
    <mergeCell ref="A40:A41"/>
    <mergeCell ref="A49:A50"/>
  </mergeCells>
  <printOptions/>
  <pageMargins left="0.7" right="0.7" top="0.75" bottom="0.75" header="0.3" footer="0.3"/>
  <pageSetup horizontalDpi="200" verticalDpi="2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V141"/>
  <sheetViews>
    <sheetView zoomScalePageLayoutView="0" workbookViewId="0" topLeftCell="A56">
      <selection activeCell="G27" sqref="G27:G31"/>
    </sheetView>
  </sheetViews>
  <sheetFormatPr defaultColWidth="11.421875" defaultRowHeight="12.75"/>
  <cols>
    <col min="1" max="1" width="31.140625" style="0" customWidth="1"/>
    <col min="2" max="2" width="17.7109375" style="0" customWidth="1"/>
    <col min="3" max="3" width="12.57421875" style="0" customWidth="1"/>
    <col min="4" max="4" width="13.140625" style="0" customWidth="1"/>
    <col min="5" max="5" width="14.7109375" style="0" customWidth="1"/>
    <col min="6" max="6" width="12.00390625" style="0" customWidth="1"/>
    <col min="7" max="7" width="12.421875" style="0" customWidth="1"/>
    <col min="8" max="8" width="11.7109375" style="0" bestFit="1" customWidth="1"/>
    <col min="9" max="9" width="13.8515625" style="0" customWidth="1"/>
    <col min="10" max="10" width="15.57421875" style="0" customWidth="1"/>
    <col min="11" max="11" width="13.00390625" style="0" customWidth="1"/>
    <col min="12" max="12" width="12.140625" style="0" customWidth="1"/>
    <col min="13" max="13" width="11.7109375" style="0" bestFit="1" customWidth="1"/>
    <col min="14" max="14" width="11.7109375" style="0" customWidth="1"/>
    <col min="15" max="15" width="11.7109375" style="0" bestFit="1" customWidth="1"/>
  </cols>
  <sheetData>
    <row r="2" spans="1:7" ht="15" thickBot="1">
      <c r="A2" s="8" t="s">
        <v>3</v>
      </c>
      <c r="B2" s="8"/>
      <c r="C2" s="8"/>
      <c r="D2" s="26"/>
      <c r="E2" s="26"/>
      <c r="F2" s="26"/>
      <c r="G2" s="8"/>
    </row>
    <row r="3" spans="1:6" ht="12.75">
      <c r="A3" s="280" t="s">
        <v>65</v>
      </c>
      <c r="B3" s="281"/>
      <c r="C3" s="282"/>
      <c r="D3" s="27"/>
      <c r="E3" s="27"/>
      <c r="F3" s="27"/>
    </row>
    <row r="4" spans="1:6" s="185" customFormat="1" ht="14.25">
      <c r="A4" s="231" t="s">
        <v>186</v>
      </c>
      <c r="B4" s="193"/>
      <c r="C4" s="194">
        <v>8000</v>
      </c>
      <c r="D4" s="27"/>
      <c r="E4" s="27"/>
      <c r="F4" s="27"/>
    </row>
    <row r="5" spans="1:3" ht="12.75" customHeight="1">
      <c r="A5" s="28" t="s">
        <v>187</v>
      </c>
      <c r="B5" s="24"/>
      <c r="C5" s="29">
        <v>22000</v>
      </c>
    </row>
    <row r="6" spans="1:3" ht="13.5" customHeight="1">
      <c r="A6" s="186" t="s">
        <v>190</v>
      </c>
      <c r="B6" s="25"/>
      <c r="C6" s="30">
        <v>36671.22</v>
      </c>
    </row>
    <row r="7" spans="1:3" ht="14.25">
      <c r="A7" s="31" t="s">
        <v>189</v>
      </c>
      <c r="B7" s="22"/>
      <c r="C7" s="32"/>
    </row>
    <row r="8" spans="1:3" ht="14.25">
      <c r="A8" s="28" t="s">
        <v>188</v>
      </c>
      <c r="B8" s="24"/>
      <c r="C8" s="29">
        <v>36780</v>
      </c>
    </row>
    <row r="9" spans="1:3" ht="13.5" thickBot="1">
      <c r="A9" s="33" t="s">
        <v>15</v>
      </c>
      <c r="B9" s="88"/>
      <c r="C9" s="34">
        <f>C5+C6+C8</f>
        <v>95451.22</v>
      </c>
    </row>
    <row r="10" spans="1:2" ht="12.75">
      <c r="A10" s="20"/>
      <c r="B10" s="20"/>
    </row>
    <row r="11" spans="1:22" ht="14.25">
      <c r="A11" s="8" t="s">
        <v>183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5" thickBo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5" ht="13.5" thickBot="1">
      <c r="A13" s="35" t="s">
        <v>66</v>
      </c>
      <c r="B13" s="89"/>
      <c r="C13" s="187">
        <v>1500000</v>
      </c>
      <c r="E13" s="5"/>
    </row>
    <row r="14" spans="1:5" ht="12.75">
      <c r="A14" s="20"/>
      <c r="B14" s="20"/>
      <c r="C14" s="17"/>
      <c r="D14" s="23"/>
      <c r="E14" s="5"/>
    </row>
    <row r="15" spans="1:5" ht="12.75">
      <c r="A15" s="20"/>
      <c r="B15" s="20"/>
      <c r="E15" s="5"/>
    </row>
    <row r="16" spans="1:4" ht="18">
      <c r="A16" s="180" t="s">
        <v>230</v>
      </c>
      <c r="B16" s="10"/>
      <c r="C16" s="10"/>
      <c r="D16" s="10"/>
    </row>
    <row r="17" spans="1:3" ht="15.75" thickBot="1">
      <c r="A17" s="9"/>
      <c r="B17" s="9"/>
      <c r="C17" s="10"/>
    </row>
    <row r="18" spans="1:6" ht="13.5" thickBot="1">
      <c r="A18" s="283" t="s">
        <v>68</v>
      </c>
      <c r="B18" s="284"/>
      <c r="C18" s="284"/>
      <c r="D18" s="284"/>
      <c r="E18" s="284"/>
      <c r="F18" s="285"/>
    </row>
    <row r="19" spans="1:7" ht="14.25">
      <c r="A19" s="37" t="s">
        <v>0</v>
      </c>
      <c r="B19" s="38"/>
      <c r="C19" s="38"/>
      <c r="D19" s="38"/>
      <c r="E19" s="38"/>
      <c r="F19" s="39">
        <v>450</v>
      </c>
      <c r="G19" s="1" t="s">
        <v>3</v>
      </c>
    </row>
    <row r="20" spans="1:7" ht="14.25">
      <c r="A20" s="40" t="s">
        <v>4</v>
      </c>
      <c r="B20" s="36"/>
      <c r="C20" s="36"/>
      <c r="D20" s="36"/>
      <c r="E20" s="36"/>
      <c r="F20" s="260">
        <v>0.026</v>
      </c>
      <c r="G20" s="2" t="s">
        <v>3</v>
      </c>
    </row>
    <row r="21" spans="1:7" ht="14.25">
      <c r="A21" s="40" t="s">
        <v>1</v>
      </c>
      <c r="B21" s="36"/>
      <c r="C21" s="36"/>
      <c r="D21" s="36"/>
      <c r="E21" s="36"/>
      <c r="F21" s="42" t="s">
        <v>2</v>
      </c>
      <c r="G21" s="3" t="s">
        <v>3</v>
      </c>
    </row>
    <row r="22" spans="1:7" ht="15.75" thickBot="1">
      <c r="A22" s="43" t="s">
        <v>67</v>
      </c>
      <c r="B22" s="44"/>
      <c r="C22" s="44"/>
      <c r="D22" s="44"/>
      <c r="E22" s="44"/>
      <c r="F22" s="45">
        <v>0.026</v>
      </c>
      <c r="G22" s="2" t="s">
        <v>3</v>
      </c>
    </row>
    <row r="23" ht="12.75">
      <c r="G23" s="2" t="s">
        <v>3</v>
      </c>
    </row>
    <row r="24" spans="1:9" ht="12.75">
      <c r="A24" s="53"/>
      <c r="B24" s="286" t="s">
        <v>92</v>
      </c>
      <c r="C24" s="286" t="s">
        <v>91</v>
      </c>
      <c r="D24" s="54" t="s">
        <v>93</v>
      </c>
      <c r="E24" s="55" t="s">
        <v>94</v>
      </c>
      <c r="F24" s="54" t="s">
        <v>8</v>
      </c>
      <c r="G24" s="56"/>
      <c r="H24" s="57">
        <v>0.02</v>
      </c>
      <c r="I24" s="58"/>
    </row>
    <row r="25" spans="1:9" ht="12.75">
      <c r="A25" s="59" t="s">
        <v>3</v>
      </c>
      <c r="B25" s="287"/>
      <c r="C25" s="287"/>
      <c r="D25" s="60" t="s">
        <v>17</v>
      </c>
      <c r="E25" s="61" t="s">
        <v>95</v>
      </c>
      <c r="F25" s="60" t="s">
        <v>9</v>
      </c>
      <c r="G25" s="61" t="s">
        <v>13</v>
      </c>
      <c r="H25" s="60" t="s">
        <v>56</v>
      </c>
      <c r="I25" s="62" t="s">
        <v>61</v>
      </c>
    </row>
    <row r="26" spans="1:9" ht="12.75">
      <c r="A26" s="63" t="s">
        <v>5</v>
      </c>
      <c r="B26" s="288"/>
      <c r="C26" s="288"/>
      <c r="D26" s="64" t="s">
        <v>6</v>
      </c>
      <c r="E26" s="65" t="s">
        <v>7</v>
      </c>
      <c r="F26" s="64" t="s">
        <v>10</v>
      </c>
      <c r="G26" s="65" t="s">
        <v>17</v>
      </c>
      <c r="H26" s="64" t="s">
        <v>57</v>
      </c>
      <c r="I26" s="66" t="s">
        <v>62</v>
      </c>
    </row>
    <row r="27" spans="1:9" s="51" customFormat="1" ht="12">
      <c r="A27" s="47">
        <v>2009</v>
      </c>
      <c r="B27" s="48">
        <v>933</v>
      </c>
      <c r="C27" s="47">
        <v>5</v>
      </c>
      <c r="D27" s="49">
        <v>450</v>
      </c>
      <c r="E27" s="49">
        <f>D27*C27</f>
        <v>2250</v>
      </c>
      <c r="F27" s="49">
        <f>B27*E27</f>
        <v>2099250</v>
      </c>
      <c r="G27" s="212">
        <f>F27*23/100</f>
        <v>482827.5</v>
      </c>
      <c r="H27" s="50">
        <f>F27*2/100</f>
        <v>41985</v>
      </c>
      <c r="I27" s="50">
        <f>F27*11.78/100*6/100</f>
        <v>14837.499</v>
      </c>
    </row>
    <row r="28" spans="1:9" s="51" customFormat="1" ht="12">
      <c r="A28" s="47">
        <v>2010</v>
      </c>
      <c r="B28" s="52">
        <f>B27*2.6/100+B27</f>
        <v>957.258</v>
      </c>
      <c r="C28" s="52">
        <v>5</v>
      </c>
      <c r="D28" s="49">
        <f>D27*F20+D27</f>
        <v>461.7</v>
      </c>
      <c r="E28" s="49">
        <f>D28*C28</f>
        <v>2308.5</v>
      </c>
      <c r="F28" s="49">
        <f>(E28*B28)</f>
        <v>2209830.093</v>
      </c>
      <c r="G28" s="212">
        <f>F28*23/100</f>
        <v>508260.92139</v>
      </c>
      <c r="H28" s="50">
        <f>F28*2/100</f>
        <v>44196.601859999995</v>
      </c>
      <c r="I28" s="50">
        <f>F28*11.78/100*6/100</f>
        <v>15619.079097323998</v>
      </c>
    </row>
    <row r="29" spans="1:9" s="51" customFormat="1" ht="12">
      <c r="A29" s="47">
        <v>2011</v>
      </c>
      <c r="B29" s="52">
        <f>B28*2.6/100+B28</f>
        <v>982.146708</v>
      </c>
      <c r="C29" s="52">
        <v>5</v>
      </c>
      <c r="D29" s="49">
        <f>D28*F20+D28</f>
        <v>473.7042</v>
      </c>
      <c r="E29" s="49">
        <f>D29*C29</f>
        <v>2368.521</v>
      </c>
      <c r="F29" s="49">
        <f>(E29*B29)</f>
        <v>2326235.102978868</v>
      </c>
      <c r="G29" s="212">
        <f>F29*23/100</f>
        <v>535034.0736851397</v>
      </c>
      <c r="H29" s="50">
        <f>F29*2/100</f>
        <v>46524.70205957736</v>
      </c>
      <c r="I29" s="50">
        <f>F29*11.78/100*6/100</f>
        <v>16441.82970785464</v>
      </c>
    </row>
    <row r="30" spans="1:9" s="51" customFormat="1" ht="12">
      <c r="A30" s="47">
        <v>2012</v>
      </c>
      <c r="B30" s="52">
        <f>B29*2.6/100+B29</f>
        <v>1007.682522408</v>
      </c>
      <c r="C30" s="52">
        <v>5</v>
      </c>
      <c r="D30" s="49">
        <f>D29*F20+D29</f>
        <v>486.0205092</v>
      </c>
      <c r="E30" s="49">
        <f>D30*C30</f>
        <v>2430.102546</v>
      </c>
      <c r="F30" s="49">
        <f>(E30*B30)</f>
        <v>2448771.863263383</v>
      </c>
      <c r="G30" s="212">
        <f>F30*23/100</f>
        <v>563217.5285505782</v>
      </c>
      <c r="H30" s="50">
        <f>F30*2/100</f>
        <v>48975.43726526766</v>
      </c>
      <c r="I30" s="50">
        <f>F30*11.78/100*6/100</f>
        <v>17307.91952954559</v>
      </c>
    </row>
    <row r="31" spans="1:9" s="51" customFormat="1" ht="12">
      <c r="A31" s="47">
        <v>2013</v>
      </c>
      <c r="B31" s="52">
        <f>B30*2.6/100+B30</f>
        <v>1033.882267990608</v>
      </c>
      <c r="C31" s="52">
        <v>5</v>
      </c>
      <c r="D31" s="49">
        <f>D30*F20+D30</f>
        <v>498.6570424392</v>
      </c>
      <c r="E31" s="49">
        <f>D31*C31</f>
        <v>2493.285212196</v>
      </c>
      <c r="F31" s="49">
        <f>(E31*B31)</f>
        <v>2577763.3699326445</v>
      </c>
      <c r="G31" s="212">
        <f>F31*23/100</f>
        <v>592885.5750845082</v>
      </c>
      <c r="H31" s="50">
        <f>F31*2/100</f>
        <v>51555.26739865289</v>
      </c>
      <c r="I31" s="50">
        <f>F31*11.78/100*6/100</f>
        <v>18219.63149868393</v>
      </c>
    </row>
    <row r="32" spans="1:9" s="51" customFormat="1" ht="12">
      <c r="A32" s="67" t="s">
        <v>69</v>
      </c>
      <c r="B32" s="68"/>
      <c r="C32" s="69"/>
      <c r="D32" s="68"/>
      <c r="E32" s="68"/>
      <c r="F32" s="83">
        <f>SUM(F27:F31)</f>
        <v>11661850.429174896</v>
      </c>
      <c r="G32" s="83">
        <f>SUM(G27:G31)</f>
        <v>2682225.598710226</v>
      </c>
      <c r="H32" s="83">
        <f>SUM(H27:H31)</f>
        <v>233237.0085834979</v>
      </c>
      <c r="I32" s="83">
        <f>SUM(I27:I31)</f>
        <v>82425.95883340815</v>
      </c>
    </row>
    <row r="33" spans="4:8" ht="12.75">
      <c r="D33" s="4"/>
      <c r="G33" s="5"/>
      <c r="H33" s="5"/>
    </row>
    <row r="34" spans="1:8" ht="14.25">
      <c r="A34" s="7" t="s">
        <v>18</v>
      </c>
      <c r="B34" s="7"/>
      <c r="C34" s="7"/>
      <c r="D34" s="11"/>
      <c r="E34" s="7"/>
      <c r="F34" s="7"/>
      <c r="G34" s="12"/>
      <c r="H34" s="12"/>
    </row>
    <row r="35" spans="1:8" ht="14.25">
      <c r="A35" s="7" t="s">
        <v>103</v>
      </c>
      <c r="B35" s="7"/>
      <c r="C35" s="7"/>
      <c r="D35" s="11"/>
      <c r="E35" s="7"/>
      <c r="F35" s="7"/>
      <c r="G35" s="12"/>
      <c r="H35" s="12"/>
    </row>
    <row r="36" spans="1:8" ht="14.25">
      <c r="A36" s="7" t="s">
        <v>59</v>
      </c>
      <c r="B36" s="7"/>
      <c r="C36" s="7"/>
      <c r="D36" s="11"/>
      <c r="E36" s="7"/>
      <c r="F36" s="7"/>
      <c r="G36" s="12"/>
      <c r="H36" s="12"/>
    </row>
    <row r="37" spans="1:8" ht="15">
      <c r="A37" s="8" t="s">
        <v>184</v>
      </c>
      <c r="B37" s="7"/>
      <c r="C37" s="7"/>
      <c r="D37" s="11"/>
      <c r="E37" s="7"/>
      <c r="F37" s="7"/>
      <c r="G37" s="235"/>
      <c r="H37" s="235"/>
    </row>
    <row r="38" spans="1:8" ht="14.25">
      <c r="A38" s="7" t="s">
        <v>58</v>
      </c>
      <c r="B38" s="7"/>
      <c r="C38" s="7"/>
      <c r="D38" s="11"/>
      <c r="E38" s="7"/>
      <c r="F38" s="7"/>
      <c r="G38" s="12"/>
      <c r="H38" s="12"/>
    </row>
    <row r="39" spans="1:8" ht="14.25">
      <c r="A39" s="7"/>
      <c r="B39" s="7"/>
      <c r="C39" s="7"/>
      <c r="D39" s="11"/>
      <c r="E39" s="7"/>
      <c r="F39" s="7"/>
      <c r="G39" s="12"/>
      <c r="H39" s="12"/>
    </row>
    <row r="41" spans="1:4" ht="18">
      <c r="A41" s="180" t="s">
        <v>11</v>
      </c>
      <c r="B41" s="10"/>
      <c r="C41" s="10"/>
      <c r="D41" s="10"/>
    </row>
    <row r="43" spans="1:8" ht="14.25">
      <c r="A43" s="7" t="s">
        <v>16</v>
      </c>
      <c r="B43" s="7"/>
      <c r="C43" s="7"/>
      <c r="D43" s="7"/>
      <c r="E43" s="7"/>
      <c r="F43" s="7"/>
      <c r="G43" s="7"/>
      <c r="H43" s="7"/>
    </row>
    <row r="44" spans="1:8" ht="14.25">
      <c r="A44" s="7" t="s">
        <v>113</v>
      </c>
      <c r="B44" s="7"/>
      <c r="C44" s="7"/>
      <c r="D44" s="7"/>
      <c r="E44" s="18">
        <v>0.07</v>
      </c>
      <c r="F44" s="7"/>
      <c r="G44" s="7"/>
      <c r="H44" s="7"/>
    </row>
    <row r="45" spans="1:6" ht="14.25">
      <c r="A45" s="7" t="s">
        <v>63</v>
      </c>
      <c r="B45" s="7"/>
      <c r="C45" s="7" t="s">
        <v>3</v>
      </c>
      <c r="D45" s="7"/>
      <c r="E45" s="7"/>
      <c r="F45" s="7"/>
    </row>
    <row r="47" spans="1:4" ht="12.75">
      <c r="A47" s="72" t="s">
        <v>5</v>
      </c>
      <c r="B47" s="72" t="s">
        <v>12</v>
      </c>
      <c r="C47" s="72" t="s">
        <v>14</v>
      </c>
      <c r="D47" s="72" t="s">
        <v>13</v>
      </c>
    </row>
    <row r="48" spans="1:4" s="51" customFormat="1" ht="12">
      <c r="A48" s="47">
        <v>2009</v>
      </c>
      <c r="B48" s="49">
        <v>600000</v>
      </c>
      <c r="C48" s="47">
        <v>6</v>
      </c>
      <c r="D48" s="49">
        <f>B48*C48/100</f>
        <v>36000</v>
      </c>
    </row>
    <row r="49" spans="1:4" s="51" customFormat="1" ht="12">
      <c r="A49" s="47">
        <v>2010</v>
      </c>
      <c r="B49" s="49">
        <f>B48*E44+B48</f>
        <v>642000</v>
      </c>
      <c r="C49" s="47">
        <v>6</v>
      </c>
      <c r="D49" s="49">
        <f>B49*C49/100</f>
        <v>38520</v>
      </c>
    </row>
    <row r="50" spans="1:4" s="51" customFormat="1" ht="12">
      <c r="A50" s="47">
        <v>2011</v>
      </c>
      <c r="B50" s="49">
        <f>B49*E44+B49</f>
        <v>686940</v>
      </c>
      <c r="C50" s="47">
        <v>6</v>
      </c>
      <c r="D50" s="49">
        <f>B50*C50/100</f>
        <v>41216.4</v>
      </c>
    </row>
    <row r="51" spans="1:4" s="51" customFormat="1" ht="12">
      <c r="A51" s="47">
        <v>2012</v>
      </c>
      <c r="B51" s="49">
        <f>B50*E44+B50</f>
        <v>735025.8</v>
      </c>
      <c r="C51" s="47">
        <v>6</v>
      </c>
      <c r="D51" s="49">
        <f>B51*C51/100</f>
        <v>44101.54800000001</v>
      </c>
    </row>
    <row r="52" spans="1:5" s="51" customFormat="1" ht="12">
      <c r="A52" s="47">
        <v>2013</v>
      </c>
      <c r="B52" s="49">
        <f>B51*E44+B51</f>
        <v>786477.606</v>
      </c>
      <c r="C52" s="47">
        <v>6</v>
      </c>
      <c r="D52" s="49">
        <f>B52*C52/100</f>
        <v>47188.65636</v>
      </c>
      <c r="E52" s="51" t="s">
        <v>228</v>
      </c>
    </row>
    <row r="53" spans="1:4" s="51" customFormat="1" ht="12">
      <c r="A53" s="73" t="s">
        <v>15</v>
      </c>
      <c r="B53" s="74">
        <f>SUM(B48:B52)</f>
        <v>3450443.406</v>
      </c>
      <c r="C53" s="75"/>
      <c r="D53" s="74">
        <f>SUM(D48:D52)</f>
        <v>207026.60436</v>
      </c>
    </row>
    <row r="54" spans="3:5" ht="12.75">
      <c r="C54" s="6"/>
      <c r="E54" s="6"/>
    </row>
    <row r="55" spans="1:5" ht="12.75">
      <c r="A55" s="16"/>
      <c r="B55" s="16"/>
      <c r="C55" s="16"/>
      <c r="D55" s="16"/>
      <c r="E55" s="16"/>
    </row>
    <row r="56" ht="12.75">
      <c r="D56" s="14"/>
    </row>
    <row r="57" spans="1:8" ht="19.5">
      <c r="A57" s="279" t="s">
        <v>64</v>
      </c>
      <c r="B57" s="279"/>
      <c r="C57" s="279"/>
      <c r="D57" s="279"/>
      <c r="E57" s="279"/>
      <c r="F57" s="279"/>
      <c r="G57" s="279"/>
      <c r="H57" s="279"/>
    </row>
    <row r="58" spans="1:8" ht="19.5">
      <c r="A58" s="184"/>
      <c r="B58" s="184"/>
      <c r="C58" s="184"/>
      <c r="D58" s="184"/>
      <c r="E58" s="184"/>
      <c r="F58" s="184"/>
      <c r="G58" s="184"/>
      <c r="H58" s="184"/>
    </row>
    <row r="59" spans="9:14" ht="13.5" thickBot="1">
      <c r="I59" s="16"/>
      <c r="J59" s="81"/>
      <c r="K59" s="81"/>
      <c r="L59" s="81"/>
      <c r="M59" s="81"/>
      <c r="N59" s="81"/>
    </row>
    <row r="60" spans="1:14" ht="18">
      <c r="A60" s="289" t="s">
        <v>70</v>
      </c>
      <c r="B60" s="290"/>
      <c r="C60" s="290"/>
      <c r="D60" s="290"/>
      <c r="E60" s="290"/>
      <c r="F60" s="290"/>
      <c r="G60" s="291"/>
      <c r="H60" s="188"/>
      <c r="I60" s="16"/>
      <c r="J60" s="81"/>
      <c r="K60" s="81"/>
      <c r="L60" s="81"/>
      <c r="M60" s="81"/>
      <c r="N60" s="81"/>
    </row>
    <row r="61" spans="1:14" ht="12.75">
      <c r="A61" s="276" t="s">
        <v>77</v>
      </c>
      <c r="B61" s="277"/>
      <c r="C61" s="277"/>
      <c r="D61" s="277"/>
      <c r="E61" s="277"/>
      <c r="F61" s="277"/>
      <c r="G61" s="278"/>
      <c r="H61" s="189"/>
      <c r="I61" s="16"/>
      <c r="J61" s="16"/>
      <c r="K61" s="16"/>
      <c r="L61" s="16"/>
      <c r="M61" s="16"/>
      <c r="N61" s="16"/>
    </row>
    <row r="62" spans="1:14" ht="12.75">
      <c r="A62" s="114"/>
      <c r="B62" s="65"/>
      <c r="C62" s="65"/>
      <c r="D62" s="65"/>
      <c r="E62" s="65"/>
      <c r="F62" s="65"/>
      <c r="G62" s="115"/>
      <c r="H62" s="190"/>
      <c r="I62" s="16"/>
      <c r="J62" s="16"/>
      <c r="K62" s="16"/>
      <c r="L62" s="16"/>
      <c r="M62" s="16"/>
      <c r="N62" s="16"/>
    </row>
    <row r="63" spans="1:13" ht="12.75">
      <c r="A63" s="103"/>
      <c r="B63" s="80">
        <v>2009</v>
      </c>
      <c r="C63" s="80">
        <v>2010</v>
      </c>
      <c r="D63" s="80">
        <v>2011</v>
      </c>
      <c r="E63" s="80">
        <v>2012</v>
      </c>
      <c r="F63" s="80">
        <v>2013</v>
      </c>
      <c r="G63" s="116" t="s">
        <v>8</v>
      </c>
      <c r="H63" s="16"/>
      <c r="I63" s="16"/>
      <c r="J63" s="16"/>
      <c r="K63" s="16"/>
      <c r="L63" s="16"/>
      <c r="M63" s="16"/>
    </row>
    <row r="64" spans="1:13" ht="15">
      <c r="A64" s="117" t="s">
        <v>72</v>
      </c>
      <c r="B64" s="79"/>
      <c r="C64" s="79"/>
      <c r="D64" s="79"/>
      <c r="E64" s="79"/>
      <c r="F64" s="79"/>
      <c r="G64" s="118"/>
      <c r="H64" s="16"/>
      <c r="I64" s="16"/>
      <c r="J64" s="16"/>
      <c r="K64" s="16"/>
      <c r="L64" s="16"/>
      <c r="M64" s="16"/>
    </row>
    <row r="65" spans="1:13" ht="12.75">
      <c r="A65" s="245" t="s">
        <v>25</v>
      </c>
      <c r="B65" s="241">
        <f>G27</f>
        <v>482827.5</v>
      </c>
      <c r="C65" s="241">
        <f>G28</f>
        <v>508260.92139</v>
      </c>
      <c r="D65" s="241">
        <f>G29</f>
        <v>535034.0736851397</v>
      </c>
      <c r="E65" s="241">
        <f>G30</f>
        <v>563217.5285505782</v>
      </c>
      <c r="F65" s="241">
        <f>G31</f>
        <v>592885.5750845082</v>
      </c>
      <c r="G65" s="246">
        <f>SUM(B65:F65)</f>
        <v>2682225.598710226</v>
      </c>
      <c r="H65" s="232"/>
      <c r="I65" s="16"/>
      <c r="J65" s="16"/>
      <c r="K65" s="16"/>
      <c r="L65" s="16"/>
      <c r="M65" s="16"/>
    </row>
    <row r="66" spans="1:13" ht="12.75">
      <c r="A66" s="119" t="s">
        <v>26</v>
      </c>
      <c r="B66" s="46">
        <f>I27</f>
        <v>14837.499</v>
      </c>
      <c r="C66" s="46">
        <f>I28</f>
        <v>15619.079097323998</v>
      </c>
      <c r="D66" s="46">
        <f>I29</f>
        <v>16441.82970785464</v>
      </c>
      <c r="E66" s="46">
        <f>I30</f>
        <v>17307.91952954559</v>
      </c>
      <c r="F66" s="46">
        <f>I31</f>
        <v>18219.63149868393</v>
      </c>
      <c r="G66" s="104">
        <f>SUM(B66:F66)</f>
        <v>82425.95883340815</v>
      </c>
      <c r="H66" s="16"/>
      <c r="I66" s="168"/>
      <c r="J66" s="181"/>
      <c r="K66" s="16"/>
      <c r="L66" s="16"/>
      <c r="M66" s="16"/>
    </row>
    <row r="67" spans="1:13" ht="12.75">
      <c r="A67" s="105" t="s">
        <v>73</v>
      </c>
      <c r="B67" s="76">
        <f>SUM(B65:B66)</f>
        <v>497664.999</v>
      </c>
      <c r="C67" s="76">
        <f>SUM(C65:C66)</f>
        <v>523880.00048732397</v>
      </c>
      <c r="D67" s="76">
        <f>SUM(D65:D66)</f>
        <v>551475.9033929943</v>
      </c>
      <c r="E67" s="76">
        <f>SUM(E65:E66)</f>
        <v>580525.4480801238</v>
      </c>
      <c r="F67" s="76">
        <f>SUM(F65:F66)</f>
        <v>611105.2065831921</v>
      </c>
      <c r="G67" s="106">
        <f>SUM(B67:F67)</f>
        <v>2764651.557543634</v>
      </c>
      <c r="H67" s="16"/>
      <c r="I67" s="168"/>
      <c r="J67" s="182"/>
      <c r="K67" s="16"/>
      <c r="L67" s="16"/>
      <c r="M67" s="16"/>
    </row>
    <row r="68" spans="1:13" ht="15">
      <c r="A68" s="117" t="s">
        <v>71</v>
      </c>
      <c r="B68" s="78"/>
      <c r="C68" s="78"/>
      <c r="D68" s="78"/>
      <c r="E68" s="78"/>
      <c r="F68" s="78"/>
      <c r="G68" s="120"/>
      <c r="H68" s="16"/>
      <c r="I68" s="168"/>
      <c r="J68" s="183"/>
      <c r="K68" s="16"/>
      <c r="L68" s="16"/>
      <c r="M68" s="16"/>
    </row>
    <row r="69" spans="1:13" ht="12.75">
      <c r="A69" s="105" t="s">
        <v>106</v>
      </c>
      <c r="B69" s="46"/>
      <c r="C69" s="46"/>
      <c r="D69" s="46"/>
      <c r="E69" s="46"/>
      <c r="F69" s="46"/>
      <c r="G69" s="104" t="s">
        <v>3</v>
      </c>
      <c r="H69" s="16"/>
      <c r="I69" s="168"/>
      <c r="J69" s="102"/>
      <c r="K69" s="16"/>
      <c r="L69" s="16"/>
      <c r="M69" s="16"/>
    </row>
    <row r="70" spans="1:13" ht="12.75">
      <c r="A70" s="103" t="s">
        <v>125</v>
      </c>
      <c r="B70" s="46">
        <f>D48</f>
        <v>36000</v>
      </c>
      <c r="C70" s="46">
        <f>D49</f>
        <v>38520</v>
      </c>
      <c r="D70" s="46">
        <f>D50</f>
        <v>41216.4</v>
      </c>
      <c r="E70" s="46">
        <f>D51</f>
        <v>44101.54800000001</v>
      </c>
      <c r="F70" s="46">
        <f>D52</f>
        <v>47188.65636</v>
      </c>
      <c r="G70" s="104">
        <f>SUM(B70:F70)</f>
        <v>207026.60436</v>
      </c>
      <c r="H70" s="16"/>
      <c r="I70" s="16"/>
      <c r="J70" s="16"/>
      <c r="K70" s="16"/>
      <c r="L70" s="16"/>
      <c r="M70" s="16"/>
    </row>
    <row r="71" spans="1:7" ht="12.75">
      <c r="A71" s="245" t="s">
        <v>193</v>
      </c>
      <c r="B71" s="241">
        <f>H27</f>
        <v>41985</v>
      </c>
      <c r="C71" s="241">
        <f>H28</f>
        <v>44196.601859999995</v>
      </c>
      <c r="D71" s="241">
        <f>H29</f>
        <v>46524.70205957736</v>
      </c>
      <c r="E71" s="241">
        <f>H30</f>
        <v>48975.43726526766</v>
      </c>
      <c r="F71" s="241">
        <f>H31</f>
        <v>51555.26739865289</v>
      </c>
      <c r="G71" s="246">
        <f>SUM(B71:F71)</f>
        <v>233237.0085834979</v>
      </c>
    </row>
    <row r="72" spans="1:9" ht="12.75">
      <c r="A72" s="245" t="s">
        <v>27</v>
      </c>
      <c r="B72" s="241">
        <f>3500*12</f>
        <v>42000</v>
      </c>
      <c r="C72" s="241">
        <f>B72*1.05</f>
        <v>44100</v>
      </c>
      <c r="D72" s="241">
        <f>C72*1.05</f>
        <v>46305</v>
      </c>
      <c r="E72" s="241">
        <f>D72*1.05</f>
        <v>48620.25</v>
      </c>
      <c r="F72" s="241">
        <f>E72*1.05</f>
        <v>51051.262500000004</v>
      </c>
      <c r="G72" s="246">
        <f>SUM(B72:F72)</f>
        <v>232076.5125</v>
      </c>
      <c r="H72" s="233"/>
      <c r="I72" s="234"/>
    </row>
    <row r="73" spans="1:7" ht="12.75">
      <c r="A73" s="105" t="s">
        <v>30</v>
      </c>
      <c r="B73" s="76">
        <f aca="true" t="shared" si="0" ref="B73:G73">SUM(B70:B72)</f>
        <v>119985</v>
      </c>
      <c r="C73" s="76">
        <f t="shared" si="0"/>
        <v>126816.60186</v>
      </c>
      <c r="D73" s="76">
        <f t="shared" si="0"/>
        <v>134046.10205957736</v>
      </c>
      <c r="E73" s="76">
        <f t="shared" si="0"/>
        <v>141697.23526526766</v>
      </c>
      <c r="F73" s="76">
        <f t="shared" si="0"/>
        <v>149795.1862586529</v>
      </c>
      <c r="G73" s="106">
        <f t="shared" si="0"/>
        <v>672340.1254434979</v>
      </c>
    </row>
    <row r="74" spans="1:7" ht="12.75">
      <c r="A74" s="105" t="s">
        <v>107</v>
      </c>
      <c r="B74" s="46"/>
      <c r="C74" s="46"/>
      <c r="D74" s="46"/>
      <c r="E74" s="46"/>
      <c r="F74" s="46"/>
      <c r="G74" s="104"/>
    </row>
    <row r="75" spans="1:7" ht="12.75">
      <c r="A75" s="245" t="s">
        <v>192</v>
      </c>
      <c r="B75" s="241">
        <v>5000</v>
      </c>
      <c r="C75" s="241">
        <f>B75*1.05</f>
        <v>5250</v>
      </c>
      <c r="D75" s="241">
        <f aca="true" t="shared" si="1" ref="D75:F76">C75*1.05</f>
        <v>5512.5</v>
      </c>
      <c r="E75" s="241">
        <f t="shared" si="1"/>
        <v>5788.125</v>
      </c>
      <c r="F75" s="241">
        <f t="shared" si="1"/>
        <v>6077.53125</v>
      </c>
      <c r="G75" s="246">
        <f aca="true" t="shared" si="2" ref="G75:G80">SUM(B75:F75)</f>
        <v>27628.15625</v>
      </c>
    </row>
    <row r="76" spans="1:7" ht="12.75">
      <c r="A76" s="103" t="s">
        <v>104</v>
      </c>
      <c r="B76" s="46">
        <v>4680</v>
      </c>
      <c r="C76" s="46">
        <f>B76*1.05</f>
        <v>4914</v>
      </c>
      <c r="D76" s="46">
        <f t="shared" si="1"/>
        <v>5159.7</v>
      </c>
      <c r="E76" s="46">
        <f t="shared" si="1"/>
        <v>5417.685</v>
      </c>
      <c r="F76" s="46">
        <f t="shared" si="1"/>
        <v>5688.5692500000005</v>
      </c>
      <c r="G76" s="104">
        <f t="shared" si="2"/>
        <v>25859.954250000003</v>
      </c>
    </row>
    <row r="77" spans="1:8" ht="12.75">
      <c r="A77" s="245" t="s">
        <v>75</v>
      </c>
      <c r="B77" s="241">
        <v>32400</v>
      </c>
      <c r="C77" s="241">
        <v>32400</v>
      </c>
      <c r="D77" s="241">
        <v>32400</v>
      </c>
      <c r="E77" s="241">
        <v>32400</v>
      </c>
      <c r="F77" s="241">
        <v>32400</v>
      </c>
      <c r="G77" s="246">
        <f t="shared" si="2"/>
        <v>162000</v>
      </c>
      <c r="H77" s="233"/>
    </row>
    <row r="78" spans="1:13" s="21" customFormat="1" ht="12.75">
      <c r="A78" s="245" t="s">
        <v>101</v>
      </c>
      <c r="B78" s="241">
        <f>700*12</f>
        <v>8400</v>
      </c>
      <c r="C78" s="241">
        <f>700*12</f>
        <v>8400</v>
      </c>
      <c r="D78" s="241">
        <f>700*12</f>
        <v>8400</v>
      </c>
      <c r="E78" s="241">
        <f>700*12</f>
        <v>8400</v>
      </c>
      <c r="F78" s="241">
        <f>700*12</f>
        <v>8400</v>
      </c>
      <c r="G78" s="246">
        <f t="shared" si="2"/>
        <v>42000</v>
      </c>
      <c r="H78"/>
      <c r="I78"/>
      <c r="J78"/>
      <c r="K78"/>
      <c r="L78"/>
      <c r="M78"/>
    </row>
    <row r="79" spans="1:13" s="21" customFormat="1" ht="12.75">
      <c r="A79" s="245" t="s">
        <v>28</v>
      </c>
      <c r="B79" s="241">
        <f>'[1]SALARIOS'!$F$29</f>
        <v>138963.36000000002</v>
      </c>
      <c r="C79" s="241">
        <f>'[1]SALARIOS'!$F$29</f>
        <v>138963.36000000002</v>
      </c>
      <c r="D79" s="241">
        <f>'[1]SALARIOS'!$F$29</f>
        <v>138963.36000000002</v>
      </c>
      <c r="E79" s="241">
        <f>'[1]SALARIOS'!$F$29</f>
        <v>138963.36000000002</v>
      </c>
      <c r="F79" s="241">
        <f>'[1]SALARIOS'!$F$29</f>
        <v>138963.36000000002</v>
      </c>
      <c r="G79" s="246">
        <f t="shared" si="2"/>
        <v>694816.8</v>
      </c>
      <c r="H79" s="233"/>
      <c r="I79"/>
      <c r="J79"/>
      <c r="K79"/>
      <c r="L79"/>
      <c r="M79"/>
    </row>
    <row r="80" spans="1:7" ht="12.75">
      <c r="A80" s="103" t="s">
        <v>29</v>
      </c>
      <c r="B80" s="46">
        <f>'[1]SALARIOS'!$I$15</f>
        <v>19323.86</v>
      </c>
      <c r="C80" s="46">
        <f>'[1]SALARIOS'!$I$15</f>
        <v>19323.86</v>
      </c>
      <c r="D80" s="46">
        <f>'[1]SALARIOS'!$I$15</f>
        <v>19323.86</v>
      </c>
      <c r="E80" s="46">
        <f>'[1]SALARIOS'!$I$15</f>
        <v>19323.86</v>
      </c>
      <c r="F80" s="46">
        <f>'[1]SALARIOS'!$I$15</f>
        <v>19323.86</v>
      </c>
      <c r="G80" s="104">
        <f t="shared" si="2"/>
        <v>96619.3</v>
      </c>
    </row>
    <row r="81" spans="1:7" ht="12.75">
      <c r="A81" s="121" t="s">
        <v>194</v>
      </c>
      <c r="B81" s="46">
        <v>485</v>
      </c>
      <c r="C81" s="46">
        <f>B81*1.05</f>
        <v>509.25</v>
      </c>
      <c r="D81" s="46">
        <f>C81*1.05</f>
        <v>534.7125</v>
      </c>
      <c r="E81" s="46">
        <f>D81*1.05</f>
        <v>561.448125</v>
      </c>
      <c r="F81" s="46">
        <f>E81*1.05</f>
        <v>589.52053125</v>
      </c>
      <c r="G81" s="104">
        <f>SUM(B81:F81)</f>
        <v>2679.9311562499997</v>
      </c>
    </row>
    <row r="82" spans="1:7" ht="12.75">
      <c r="A82" s="103" t="s">
        <v>31</v>
      </c>
      <c r="B82" s="46">
        <f>'DEP. Y AMORT.'!B59</f>
        <v>13673.5136</v>
      </c>
      <c r="C82" s="46">
        <f>'DEP. Y AMORT.'!C59</f>
        <v>13673.5136</v>
      </c>
      <c r="D82" s="46">
        <f>'DEP. Y AMORT.'!D59</f>
        <v>13673.5136</v>
      </c>
      <c r="E82" s="46">
        <f>'DEP. Y AMORT.'!E59</f>
        <v>10791.5136</v>
      </c>
      <c r="F82" s="46">
        <f>'DEP. Y AMORT.'!F59</f>
        <v>10791.5136</v>
      </c>
      <c r="G82" s="104">
        <f aca="true" t="shared" si="3" ref="G82:G88">SUM(B82:F82)</f>
        <v>62603.568</v>
      </c>
    </row>
    <row r="83" spans="1:7" ht="12.75">
      <c r="A83" s="103" t="s">
        <v>32</v>
      </c>
      <c r="B83" s="46">
        <f>'DEP. Y AMORT.'!B84</f>
        <v>572</v>
      </c>
      <c r="C83" s="46">
        <f>'DEP. Y AMORT.'!C84</f>
        <v>572</v>
      </c>
      <c r="D83" s="46">
        <f>'DEP. Y AMORT.'!D84</f>
        <v>572</v>
      </c>
      <c r="E83" s="46">
        <f>'DEP. Y AMORT.'!E84</f>
        <v>572</v>
      </c>
      <c r="F83" s="46">
        <f>'DEP. Y AMORT.'!F84</f>
        <v>572</v>
      </c>
      <c r="G83" s="104">
        <f>SUM(B83:F83)</f>
        <v>2860</v>
      </c>
    </row>
    <row r="84" spans="1:7" ht="12.75">
      <c r="A84" s="105" t="s">
        <v>76</v>
      </c>
      <c r="B84" s="76">
        <f>SUM(B75:B83)</f>
        <v>223497.73360000004</v>
      </c>
      <c r="C84" s="76">
        <f>SUM(C75:C83)</f>
        <v>224005.98360000004</v>
      </c>
      <c r="D84" s="76">
        <f>SUM(D75:D83)</f>
        <v>224539.64609999998</v>
      </c>
      <c r="E84" s="76">
        <f>SUM(E75:E83)</f>
        <v>222217.99172500003</v>
      </c>
      <c r="F84" s="76">
        <f>SUM(F75:F83)</f>
        <v>222806.35463125003</v>
      </c>
      <c r="G84" s="106">
        <f>SUM(B84:F84)</f>
        <v>1117067.7096562502</v>
      </c>
    </row>
    <row r="85" spans="1:7" ht="12.75">
      <c r="A85" s="105" t="s">
        <v>74</v>
      </c>
      <c r="B85" s="76">
        <f>B84+B73</f>
        <v>343482.73360000004</v>
      </c>
      <c r="C85" s="76">
        <f>C84+C73</f>
        <v>350822.58546000003</v>
      </c>
      <c r="D85" s="76">
        <f>D84+D73</f>
        <v>358585.7481595774</v>
      </c>
      <c r="E85" s="76">
        <f>E84+E73</f>
        <v>363915.2269902677</v>
      </c>
      <c r="F85" s="76">
        <f>F84+F73</f>
        <v>372601.5408899029</v>
      </c>
      <c r="G85" s="106">
        <f t="shared" si="3"/>
        <v>1789407.835099748</v>
      </c>
    </row>
    <row r="86" spans="1:8" ht="12.75">
      <c r="A86" s="105" t="s">
        <v>33</v>
      </c>
      <c r="B86" s="46">
        <f>SUM(B67-B85)</f>
        <v>154182.26539999997</v>
      </c>
      <c r="C86" s="46">
        <f>SUM(C67-C85)</f>
        <v>173057.41502732394</v>
      </c>
      <c r="D86" s="46">
        <f>SUM(D67-D85)</f>
        <v>192890.15523341694</v>
      </c>
      <c r="E86" s="46">
        <f>SUM(E67-E85)</f>
        <v>216610.22108985606</v>
      </c>
      <c r="F86" s="46">
        <f>SUM(F67-F85)</f>
        <v>238503.6656932892</v>
      </c>
      <c r="G86" s="104">
        <f t="shared" si="3"/>
        <v>975243.7224438861</v>
      </c>
      <c r="H86" s="236"/>
    </row>
    <row r="87" spans="1:13" ht="12.75">
      <c r="A87" s="103" t="s">
        <v>34</v>
      </c>
      <c r="B87" s="46">
        <f>B86*0.15</f>
        <v>23127.339809999994</v>
      </c>
      <c r="C87" s="46">
        <f>C86*0.15</f>
        <v>25958.61225409859</v>
      </c>
      <c r="D87" s="46">
        <f>D86*0.15</f>
        <v>28933.52328501254</v>
      </c>
      <c r="E87" s="46">
        <f>E86*0.15</f>
        <v>32491.53316347841</v>
      </c>
      <c r="F87" s="46">
        <f>F86*0.15</f>
        <v>35775.549853993376</v>
      </c>
      <c r="G87" s="104">
        <f>SUM(B87:F87)</f>
        <v>146286.5583665829</v>
      </c>
      <c r="H87" s="21"/>
      <c r="I87" s="21"/>
      <c r="J87" s="21"/>
      <c r="K87" s="21"/>
      <c r="L87" s="21"/>
      <c r="M87" s="21"/>
    </row>
    <row r="88" spans="1:13" ht="12.75">
      <c r="A88" s="105" t="s">
        <v>60</v>
      </c>
      <c r="B88" s="46">
        <f>SUM(B86-B87)</f>
        <v>131054.92558999998</v>
      </c>
      <c r="C88" s="46">
        <f>SUM(C86-C87)</f>
        <v>147098.80277322535</v>
      </c>
      <c r="D88" s="46">
        <f>SUM(D86-D87)</f>
        <v>163956.6319484044</v>
      </c>
      <c r="E88" s="46">
        <f>SUM(E86-E87)</f>
        <v>184118.68792637764</v>
      </c>
      <c r="F88" s="46">
        <f>SUM(F86-F87)</f>
        <v>202728.11583929582</v>
      </c>
      <c r="G88" s="104">
        <f t="shared" si="3"/>
        <v>828957.1640773031</v>
      </c>
      <c r="H88" s="21"/>
      <c r="I88" s="21"/>
      <c r="J88" s="21"/>
      <c r="K88" s="21"/>
      <c r="L88" s="21"/>
      <c r="M88" s="21"/>
    </row>
    <row r="89" spans="1:7" ht="12.75">
      <c r="A89" s="103" t="s">
        <v>37</v>
      </c>
      <c r="B89" s="46">
        <f aca="true" t="shared" si="4" ref="B89:G89">B88*0.25</f>
        <v>32763.731397499996</v>
      </c>
      <c r="C89" s="46">
        <f t="shared" si="4"/>
        <v>36774.70069330634</v>
      </c>
      <c r="D89" s="46">
        <f t="shared" si="4"/>
        <v>40989.1579871011</v>
      </c>
      <c r="E89" s="46">
        <f t="shared" si="4"/>
        <v>46029.67198159441</v>
      </c>
      <c r="F89" s="46">
        <f t="shared" si="4"/>
        <v>50682.028959823954</v>
      </c>
      <c r="G89" s="104">
        <f t="shared" si="4"/>
        <v>207239.29101932578</v>
      </c>
    </row>
    <row r="90" spans="1:7" ht="15">
      <c r="A90" s="117" t="s">
        <v>35</v>
      </c>
      <c r="B90" s="78">
        <f>SUM(B88-B89)</f>
        <v>98291.19419249998</v>
      </c>
      <c r="C90" s="78">
        <f>SUM(C88-C89)</f>
        <v>110324.10207991902</v>
      </c>
      <c r="D90" s="78">
        <f>SUM(D88-D89)</f>
        <v>122967.4739613033</v>
      </c>
      <c r="E90" s="78">
        <f>SUM(E88-E89)</f>
        <v>138089.01594478323</v>
      </c>
      <c r="F90" s="78">
        <f>SUM(F88-F89)</f>
        <v>152046.08687947187</v>
      </c>
      <c r="G90" s="120">
        <f>SUM(B90:F90)</f>
        <v>621717.8730579774</v>
      </c>
    </row>
    <row r="91" spans="1:7" ht="13.5" thickBot="1">
      <c r="A91" s="122" t="s">
        <v>36</v>
      </c>
      <c r="B91" s="123">
        <f>SUM(B90/B67)</f>
        <v>0.19750473589664677</v>
      </c>
      <c r="C91" s="123">
        <f>SUM(C90/C67)</f>
        <v>0.21059040615654973</v>
      </c>
      <c r="D91" s="123">
        <f>SUM(D90/D67)</f>
        <v>0.2229788703454444</v>
      </c>
      <c r="E91" s="123">
        <f>SUM(E90/E67)</f>
        <v>0.23786901401387708</v>
      </c>
      <c r="F91" s="123">
        <f>SUM(F90/F67)</f>
        <v>0.24880509156449684</v>
      </c>
      <c r="G91" s="124"/>
    </row>
    <row r="94" spans="1:7" ht="18">
      <c r="A94" s="292" t="s">
        <v>96</v>
      </c>
      <c r="B94" s="292"/>
      <c r="C94" s="292"/>
      <c r="D94" s="292"/>
      <c r="E94" s="292"/>
      <c r="F94" s="292"/>
      <c r="G94" s="292"/>
    </row>
    <row r="95" spans="1:7" ht="12.75">
      <c r="A95" s="70"/>
      <c r="B95" s="176" t="s">
        <v>100</v>
      </c>
      <c r="C95" s="176">
        <v>2009</v>
      </c>
      <c r="D95" s="176">
        <v>2010</v>
      </c>
      <c r="E95" s="176">
        <v>2011</v>
      </c>
      <c r="F95" s="176">
        <v>2012</v>
      </c>
      <c r="G95" s="176">
        <v>2013</v>
      </c>
    </row>
    <row r="96" spans="1:7" ht="12.75">
      <c r="A96" s="173" t="s">
        <v>72</v>
      </c>
      <c r="B96" s="174"/>
      <c r="C96" s="174"/>
      <c r="D96" s="174"/>
      <c r="E96" s="174"/>
      <c r="F96" s="174"/>
      <c r="G96" s="174"/>
    </row>
    <row r="97" spans="1:7" ht="12.75">
      <c r="A97" s="70" t="s">
        <v>20</v>
      </c>
      <c r="B97" s="46"/>
      <c r="C97" s="46">
        <v>600000</v>
      </c>
      <c r="D97" s="46">
        <v>642000</v>
      </c>
      <c r="E97" s="46">
        <v>686940</v>
      </c>
      <c r="F97" s="46">
        <v>735025.8</v>
      </c>
      <c r="G97" s="46">
        <v>786477.606</v>
      </c>
    </row>
    <row r="98" spans="1:7" ht="12.75">
      <c r="A98" s="237" t="s">
        <v>127</v>
      </c>
      <c r="B98" s="241"/>
      <c r="C98" s="241">
        <v>1851958.35</v>
      </c>
      <c r="D98" s="241">
        <v>1949512.1080445999</v>
      </c>
      <c r="E98" s="241">
        <v>2052204.6078479574</v>
      </c>
      <c r="F98" s="241">
        <v>2160306.5377709568</v>
      </c>
      <c r="G98" s="241">
        <v>2274102.844954579</v>
      </c>
    </row>
    <row r="99" spans="1:7" ht="12.75">
      <c r="A99" s="71" t="s">
        <v>126</v>
      </c>
      <c r="B99" s="76"/>
      <c r="C99" s="76">
        <f>SUM(C97:C98)</f>
        <v>2451958.35</v>
      </c>
      <c r="D99" s="76">
        <f>SUM(D97:D98)</f>
        <v>2591512.1080446</v>
      </c>
      <c r="E99" s="76">
        <f>SUM(E97:E98)</f>
        <v>2739144.6078479574</v>
      </c>
      <c r="F99" s="76">
        <f>SUM(F97:F98)</f>
        <v>2895332.3377709566</v>
      </c>
      <c r="G99" s="76">
        <f>SUM(G97:G98)</f>
        <v>3060580.4509545793</v>
      </c>
    </row>
    <row r="100" spans="1:7" ht="12.75">
      <c r="A100" s="173" t="s">
        <v>97</v>
      </c>
      <c r="B100" s="174"/>
      <c r="C100" s="174"/>
      <c r="D100" s="174"/>
      <c r="E100" s="174"/>
      <c r="F100" s="174"/>
      <c r="G100" s="174"/>
    </row>
    <row r="101" spans="1:7" ht="12.75">
      <c r="A101" s="70" t="s">
        <v>102</v>
      </c>
      <c r="B101" s="46"/>
      <c r="C101" s="46">
        <f>F$27</f>
        <v>2099250</v>
      </c>
      <c r="D101" s="46">
        <f>F28</f>
        <v>2209830.093</v>
      </c>
      <c r="E101" s="46">
        <f>F29</f>
        <v>2326235.102978868</v>
      </c>
      <c r="F101" s="46">
        <f>F30</f>
        <v>2448771.863263383</v>
      </c>
      <c r="G101" s="46">
        <f>F31</f>
        <v>2577763.3699326445</v>
      </c>
    </row>
    <row r="102" spans="1:7" ht="12.75">
      <c r="A102" s="70" t="s">
        <v>21</v>
      </c>
      <c r="B102" s="46"/>
      <c r="C102" s="250">
        <v>3000</v>
      </c>
      <c r="D102" s="46">
        <v>3000</v>
      </c>
      <c r="E102" s="46">
        <v>3000</v>
      </c>
      <c r="F102" s="46">
        <v>3000</v>
      </c>
      <c r="G102" s="46">
        <v>3000</v>
      </c>
    </row>
    <row r="103" spans="1:7" ht="12.75">
      <c r="A103" s="70" t="s">
        <v>24</v>
      </c>
      <c r="B103" s="46"/>
      <c r="C103" s="250">
        <v>1800</v>
      </c>
      <c r="D103" s="46">
        <v>1800</v>
      </c>
      <c r="E103" s="46">
        <v>1800</v>
      </c>
      <c r="F103" s="46">
        <v>1800</v>
      </c>
      <c r="G103" s="46">
        <v>1800</v>
      </c>
    </row>
    <row r="104" spans="1:7" ht="12.75">
      <c r="A104" s="71" t="s">
        <v>128</v>
      </c>
      <c r="B104" s="76"/>
      <c r="C104" s="76">
        <f>SUM(C101:C103)</f>
        <v>2104050</v>
      </c>
      <c r="D104" s="76">
        <f>SUM(D101:D103)</f>
        <v>2214630.093</v>
      </c>
      <c r="E104" s="76">
        <f>SUM(E101:E103)</f>
        <v>2331035.102978868</v>
      </c>
      <c r="F104" s="76">
        <f>SUM(F101:F103)</f>
        <v>2453571.863263383</v>
      </c>
      <c r="G104" s="76">
        <f>SUM(G101:G103)</f>
        <v>2582563.3699326445</v>
      </c>
    </row>
    <row r="105" spans="1:7" ht="12.75">
      <c r="A105" s="71" t="s">
        <v>129</v>
      </c>
      <c r="B105" s="76"/>
      <c r="C105" s="76">
        <f>B86</f>
        <v>154182.26539999997</v>
      </c>
      <c r="D105" s="76">
        <f aca="true" t="shared" si="5" ref="D105:G108">C86</f>
        <v>173057.41502732394</v>
      </c>
      <c r="E105" s="76">
        <f t="shared" si="5"/>
        <v>192890.15523341694</v>
      </c>
      <c r="F105" s="76">
        <f t="shared" si="5"/>
        <v>216610.22108985606</v>
      </c>
      <c r="G105" s="76">
        <f t="shared" si="5"/>
        <v>238503.6656932892</v>
      </c>
    </row>
    <row r="106" spans="1:7" ht="12.75">
      <c r="A106" s="70" t="s">
        <v>22</v>
      </c>
      <c r="B106" s="46"/>
      <c r="C106" s="46">
        <f>B87</f>
        <v>23127.339809999994</v>
      </c>
      <c r="D106" s="46">
        <f t="shared" si="5"/>
        <v>25958.61225409859</v>
      </c>
      <c r="E106" s="46">
        <f t="shared" si="5"/>
        <v>28933.52328501254</v>
      </c>
      <c r="F106" s="46">
        <f t="shared" si="5"/>
        <v>32491.53316347841</v>
      </c>
      <c r="G106" s="46">
        <f t="shared" si="5"/>
        <v>35775.549853993376</v>
      </c>
    </row>
    <row r="107" spans="1:7" ht="12.75">
      <c r="A107" s="71" t="s">
        <v>130</v>
      </c>
      <c r="B107" s="76"/>
      <c r="C107" s="76">
        <f>B88</f>
        <v>131054.92558999998</v>
      </c>
      <c r="D107" s="76">
        <f t="shared" si="5"/>
        <v>147098.80277322535</v>
      </c>
      <c r="E107" s="76">
        <f t="shared" si="5"/>
        <v>163956.6319484044</v>
      </c>
      <c r="F107" s="76">
        <f t="shared" si="5"/>
        <v>184118.68792637764</v>
      </c>
      <c r="G107" s="76">
        <f t="shared" si="5"/>
        <v>202728.11583929582</v>
      </c>
    </row>
    <row r="108" spans="1:7" ht="12.75">
      <c r="A108" s="70" t="s">
        <v>23</v>
      </c>
      <c r="B108" s="46"/>
      <c r="C108" s="46">
        <f>B89</f>
        <v>32763.731397499996</v>
      </c>
      <c r="D108" s="46">
        <f t="shared" si="5"/>
        <v>36774.70069330634</v>
      </c>
      <c r="E108" s="46">
        <f t="shared" si="5"/>
        <v>40989.1579871011</v>
      </c>
      <c r="F108" s="46">
        <f t="shared" si="5"/>
        <v>46029.67198159441</v>
      </c>
      <c r="G108" s="46">
        <f t="shared" si="5"/>
        <v>50682.028959823954</v>
      </c>
    </row>
    <row r="109" spans="1:7" ht="12.75">
      <c r="A109" s="71" t="s">
        <v>131</v>
      </c>
      <c r="B109" s="76"/>
      <c r="C109" s="76">
        <f>C107-C108</f>
        <v>98291.19419249998</v>
      </c>
      <c r="D109" s="76">
        <f>D107-D108</f>
        <v>110324.10207991902</v>
      </c>
      <c r="E109" s="76">
        <f>E107-E108</f>
        <v>122967.4739613033</v>
      </c>
      <c r="F109" s="76">
        <f>F107-F108</f>
        <v>138089.01594478323</v>
      </c>
      <c r="G109" s="76">
        <f>G107-G108</f>
        <v>152046.08687947187</v>
      </c>
    </row>
    <row r="110" spans="1:7" ht="12.75">
      <c r="A110" s="77" t="s">
        <v>185</v>
      </c>
      <c r="B110" s="46"/>
      <c r="C110" s="46">
        <v>13673.5136</v>
      </c>
      <c r="D110" s="46">
        <v>13673.5136</v>
      </c>
      <c r="E110" s="46">
        <v>13673.5136</v>
      </c>
      <c r="F110" s="46">
        <v>10791.5136</v>
      </c>
      <c r="G110" s="46">
        <v>10791.5136</v>
      </c>
    </row>
    <row r="111" spans="1:7" ht="12.75">
      <c r="A111" s="70" t="s">
        <v>132</v>
      </c>
      <c r="B111" s="46"/>
      <c r="C111" s="46">
        <v>572</v>
      </c>
      <c r="D111" s="46">
        <v>572</v>
      </c>
      <c r="E111" s="46">
        <v>572</v>
      </c>
      <c r="F111" s="46">
        <v>572</v>
      </c>
      <c r="G111" s="46">
        <v>572</v>
      </c>
    </row>
    <row r="112" spans="1:7" ht="12.75">
      <c r="A112" s="77" t="s">
        <v>133</v>
      </c>
      <c r="B112" s="46"/>
      <c r="C112" s="46"/>
      <c r="D112" s="46"/>
      <c r="E112" s="46"/>
      <c r="F112" s="46"/>
      <c r="G112" s="46">
        <v>36177.568</v>
      </c>
    </row>
    <row r="113" spans="1:7" ht="25.5">
      <c r="A113" s="218" t="s">
        <v>229</v>
      </c>
      <c r="B113" s="46">
        <v>-1500000</v>
      </c>
      <c r="C113" s="46"/>
      <c r="D113" s="46"/>
      <c r="E113" s="46"/>
      <c r="F113" s="46"/>
      <c r="G113" s="46"/>
    </row>
    <row r="114" spans="1:7" ht="12.75">
      <c r="A114" s="173" t="s">
        <v>110</v>
      </c>
      <c r="B114" s="175">
        <f>B113</f>
        <v>-1500000</v>
      </c>
      <c r="C114" s="175">
        <f>C99-C104+C109+C110+C111+C113</f>
        <v>460445.05779250007</v>
      </c>
      <c r="D114" s="175">
        <f>D99-D104+D109+D110+D111+D113</f>
        <v>501451.63072451926</v>
      </c>
      <c r="E114" s="175">
        <f>E99-E104+E109+E110+E111+E113</f>
        <v>545322.4924303927</v>
      </c>
      <c r="F114" s="175">
        <f>F99-F104+F109+F110+F111+F113</f>
        <v>591213.0040523567</v>
      </c>
      <c r="G114" s="175">
        <f>G99-G104+G109+G110+G111+G113-G112</f>
        <v>605249.1135014066</v>
      </c>
    </row>
    <row r="115" spans="1:7" ht="12.75">
      <c r="A115" s="178" t="s">
        <v>98</v>
      </c>
      <c r="B115" s="179">
        <f>B124</f>
        <v>536526.9692874376</v>
      </c>
      <c r="C115" s="5"/>
      <c r="D115" s="5"/>
      <c r="E115" s="5"/>
      <c r="F115" s="5"/>
      <c r="G115" s="5"/>
    </row>
    <row r="116" spans="1:7" ht="12.75">
      <c r="A116" s="178" t="s">
        <v>99</v>
      </c>
      <c r="B116" s="179">
        <f>IRR(B114:G114)*100</f>
        <v>22.16104352130816</v>
      </c>
      <c r="C116" s="5"/>
      <c r="D116" s="5"/>
      <c r="E116" s="5"/>
      <c r="F116" s="5"/>
      <c r="G116" s="5"/>
    </row>
    <row r="118" ht="13.5" thickBot="1"/>
    <row r="119" spans="1:7" ht="12.75">
      <c r="A119" s="293" t="s">
        <v>114</v>
      </c>
      <c r="B119" s="294"/>
      <c r="C119" s="294"/>
      <c r="D119" s="294"/>
      <c r="E119" s="294"/>
      <c r="F119" s="294"/>
      <c r="G119" s="295"/>
    </row>
    <row r="120" spans="1:7" ht="12.75">
      <c r="A120" s="70" t="s">
        <v>115</v>
      </c>
      <c r="B120" s="170">
        <v>0.0974</v>
      </c>
      <c r="C120" s="70"/>
      <c r="D120" s="70"/>
      <c r="E120" s="70"/>
      <c r="F120" s="70"/>
      <c r="G120" s="70"/>
    </row>
    <row r="121" spans="1:7" ht="12.75">
      <c r="A121" s="70" t="s">
        <v>116</v>
      </c>
      <c r="B121" s="71">
        <v>0</v>
      </c>
      <c r="C121" s="71">
        <v>1</v>
      </c>
      <c r="D121" s="71">
        <v>2</v>
      </c>
      <c r="E121" s="71">
        <v>3</v>
      </c>
      <c r="F121" s="71">
        <v>4</v>
      </c>
      <c r="G121" s="71">
        <v>5</v>
      </c>
    </row>
    <row r="122" spans="1:7" ht="12.75">
      <c r="A122" s="70" t="s">
        <v>117</v>
      </c>
      <c r="B122" s="46">
        <f aca="true" t="shared" si="6" ref="B122:G122">B114</f>
        <v>-1500000</v>
      </c>
      <c r="C122" s="46">
        <f t="shared" si="6"/>
        <v>460445.05779250007</v>
      </c>
      <c r="D122" s="46">
        <f t="shared" si="6"/>
        <v>501451.63072451926</v>
      </c>
      <c r="E122" s="46">
        <f t="shared" si="6"/>
        <v>545322.4924303927</v>
      </c>
      <c r="F122" s="46">
        <f t="shared" si="6"/>
        <v>591213.0040523567</v>
      </c>
      <c r="G122" s="46">
        <f t="shared" si="6"/>
        <v>605249.1135014066</v>
      </c>
    </row>
    <row r="123" spans="1:7" ht="12.75">
      <c r="A123" s="71" t="s">
        <v>118</v>
      </c>
      <c r="B123" s="76">
        <f>(B122)/(1+$B$29)^B121</f>
        <v>-1500000</v>
      </c>
      <c r="C123" s="76">
        <f>(C122)/(1+$B$120)^C121</f>
        <v>419578.14633907424</v>
      </c>
      <c r="D123" s="76">
        <f>(D122)/(1+$B$120)^D121</f>
        <v>416388.8928950106</v>
      </c>
      <c r="E123" s="76">
        <f>(E122)/(1+$B$120)^E121</f>
        <v>412627.8561130888</v>
      </c>
      <c r="F123" s="76">
        <f>(F122)/(1+$B$120)^F121</f>
        <v>407646.90991922497</v>
      </c>
      <c r="G123" s="76">
        <f>(G122)/(1+$B$120)^G121</f>
        <v>380285.1640210392</v>
      </c>
    </row>
    <row r="124" spans="1:7" ht="12.75">
      <c r="A124" s="171" t="s">
        <v>98</v>
      </c>
      <c r="B124" s="172">
        <f>C123+D123+E123+F123+G123+H123+I123+J123+K123+L123+B123</f>
        <v>536526.9692874376</v>
      </c>
      <c r="C124" s="46"/>
      <c r="D124" s="46"/>
      <c r="E124" s="46"/>
      <c r="F124" s="46"/>
      <c r="G124" s="46"/>
    </row>
    <row r="136" spans="1:2" ht="12.75">
      <c r="A136" s="19" t="s">
        <v>3</v>
      </c>
      <c r="B136" s="19"/>
    </row>
    <row r="137" spans="1:2" ht="12.75">
      <c r="A137" s="20"/>
      <c r="B137" s="20"/>
    </row>
    <row r="138" spans="1:2" ht="12.75">
      <c r="A138" s="20" t="s">
        <v>3</v>
      </c>
      <c r="B138" s="20"/>
    </row>
    <row r="139" spans="1:2" ht="12.75">
      <c r="A139" s="20"/>
      <c r="B139" s="20"/>
    </row>
    <row r="140" spans="1:2" ht="12.75">
      <c r="A140" s="20" t="s">
        <v>3</v>
      </c>
      <c r="B140" s="20"/>
    </row>
    <row r="141" spans="1:2" ht="12.75">
      <c r="A141" s="20" t="s">
        <v>3</v>
      </c>
      <c r="B141" s="20"/>
    </row>
  </sheetData>
  <sheetProtection/>
  <mergeCells count="9">
    <mergeCell ref="A119:G119"/>
    <mergeCell ref="A61:G61"/>
    <mergeCell ref="A94:G94"/>
    <mergeCell ref="A3:C3"/>
    <mergeCell ref="A18:F18"/>
    <mergeCell ref="B24:B26"/>
    <mergeCell ref="C24:C26"/>
    <mergeCell ref="A57:H57"/>
    <mergeCell ref="A60:G60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141"/>
  <sheetViews>
    <sheetView zoomScalePageLayoutView="0" workbookViewId="0" topLeftCell="A79">
      <selection activeCell="H115" sqref="H115"/>
    </sheetView>
  </sheetViews>
  <sheetFormatPr defaultColWidth="11.421875" defaultRowHeight="12.75"/>
  <cols>
    <col min="1" max="1" width="31.140625" style="0" customWidth="1"/>
    <col min="2" max="2" width="17.7109375" style="0" customWidth="1"/>
    <col min="3" max="3" width="12.57421875" style="0" customWidth="1"/>
    <col min="4" max="4" width="13.140625" style="0" customWidth="1"/>
    <col min="5" max="5" width="14.7109375" style="0" customWidth="1"/>
    <col min="6" max="6" width="12.00390625" style="0" customWidth="1"/>
    <col min="7" max="7" width="12.421875" style="0" customWidth="1"/>
    <col min="8" max="8" width="11.7109375" style="0" bestFit="1" customWidth="1"/>
    <col min="9" max="9" width="13.8515625" style="0" customWidth="1"/>
    <col min="10" max="10" width="15.57421875" style="0" customWidth="1"/>
    <col min="11" max="11" width="13.00390625" style="0" customWidth="1"/>
    <col min="12" max="12" width="12.140625" style="0" customWidth="1"/>
    <col min="13" max="13" width="11.7109375" style="0" bestFit="1" customWidth="1"/>
    <col min="14" max="14" width="11.7109375" style="0" customWidth="1"/>
    <col min="15" max="15" width="11.7109375" style="0" bestFit="1" customWidth="1"/>
  </cols>
  <sheetData>
    <row r="2" spans="1:7" ht="15" thickBot="1">
      <c r="A2" s="8" t="s">
        <v>3</v>
      </c>
      <c r="B2" s="8"/>
      <c r="C2" s="8"/>
      <c r="D2" s="26"/>
      <c r="E2" s="26"/>
      <c r="F2" s="26"/>
      <c r="G2" s="8"/>
    </row>
    <row r="3" spans="1:6" ht="12.75">
      <c r="A3" s="280" t="s">
        <v>65</v>
      </c>
      <c r="B3" s="281"/>
      <c r="C3" s="282"/>
      <c r="D3" s="27"/>
      <c r="E3" s="27"/>
      <c r="F3" s="27"/>
    </row>
    <row r="4" spans="1:6" s="185" customFormat="1" ht="14.25">
      <c r="A4" s="231" t="s">
        <v>186</v>
      </c>
      <c r="B4" s="193"/>
      <c r="C4" s="194">
        <v>8000</v>
      </c>
      <c r="D4" s="27"/>
      <c r="E4" s="27"/>
      <c r="F4" s="27"/>
    </row>
    <row r="5" spans="1:3" ht="12.75" customHeight="1">
      <c r="A5" s="28" t="s">
        <v>187</v>
      </c>
      <c r="B5" s="24"/>
      <c r="C5" s="29">
        <v>22000</v>
      </c>
    </row>
    <row r="6" spans="1:3" ht="13.5" customHeight="1">
      <c r="A6" s="186" t="s">
        <v>190</v>
      </c>
      <c r="B6" s="25"/>
      <c r="C6" s="30">
        <v>36671.22</v>
      </c>
    </row>
    <row r="7" spans="1:3" ht="14.25">
      <c r="A7" s="31" t="s">
        <v>189</v>
      </c>
      <c r="B7" s="22"/>
      <c r="C7" s="32"/>
    </row>
    <row r="8" spans="1:3" ht="14.25">
      <c r="A8" s="28" t="s">
        <v>188</v>
      </c>
      <c r="B8" s="24"/>
      <c r="C8" s="29">
        <v>36780</v>
      </c>
    </row>
    <row r="9" spans="1:3" ht="13.5" thickBot="1">
      <c r="A9" s="33" t="s">
        <v>15</v>
      </c>
      <c r="B9" s="88"/>
      <c r="C9" s="34">
        <f>C5+C6+C8</f>
        <v>95451.22</v>
      </c>
    </row>
    <row r="10" spans="1:2" ht="12.75">
      <c r="A10" s="20"/>
      <c r="B10" s="20"/>
    </row>
    <row r="11" spans="1:22" ht="14.25">
      <c r="A11" s="8" t="s">
        <v>183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5" thickBo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5" ht="13.5" thickBot="1">
      <c r="A13" s="35" t="s">
        <v>66</v>
      </c>
      <c r="B13" s="89"/>
      <c r="C13" s="187">
        <v>1500000</v>
      </c>
      <c r="E13" s="5"/>
    </row>
    <row r="14" spans="1:5" ht="12.75">
      <c r="A14" s="20"/>
      <c r="B14" s="20"/>
      <c r="C14" s="17"/>
      <c r="D14" s="23"/>
      <c r="E14" s="5"/>
    </row>
    <row r="15" spans="1:5" ht="12.75">
      <c r="A15" s="20"/>
      <c r="B15" s="20"/>
      <c r="E15" s="5"/>
    </row>
    <row r="16" spans="1:4" ht="18">
      <c r="A16" s="180" t="s">
        <v>230</v>
      </c>
      <c r="B16" s="10"/>
      <c r="C16" s="10"/>
      <c r="D16" s="10"/>
    </row>
    <row r="17" spans="1:3" ht="15.75" thickBot="1">
      <c r="A17" s="9"/>
      <c r="B17" s="9"/>
      <c r="C17" s="10"/>
    </row>
    <row r="18" spans="1:6" ht="13.5" thickBot="1">
      <c r="A18" s="283" t="s">
        <v>68</v>
      </c>
      <c r="B18" s="284"/>
      <c r="C18" s="284"/>
      <c r="D18" s="284"/>
      <c r="E18" s="284"/>
      <c r="F18" s="285"/>
    </row>
    <row r="19" spans="1:9" ht="14.25">
      <c r="A19" s="37" t="s">
        <v>0</v>
      </c>
      <c r="B19" s="38"/>
      <c r="C19" s="38"/>
      <c r="D19" s="38"/>
      <c r="E19" s="38"/>
      <c r="F19" s="39">
        <v>450</v>
      </c>
      <c r="G19" s="1" t="s">
        <v>3</v>
      </c>
      <c r="H19" s="311">
        <f>0.026-0.01</f>
        <v>0.016</v>
      </c>
      <c r="I19" s="306"/>
    </row>
    <row r="20" spans="1:9" ht="14.25">
      <c r="A20" s="40" t="s">
        <v>4</v>
      </c>
      <c r="B20" s="36"/>
      <c r="C20" s="36"/>
      <c r="D20" s="36"/>
      <c r="E20" s="36"/>
      <c r="F20" s="257">
        <v>0.016</v>
      </c>
      <c r="G20" s="2" t="s">
        <v>3</v>
      </c>
      <c r="H20" s="311">
        <f>0.026-0.02</f>
        <v>0.005999999999999998</v>
      </c>
      <c r="I20" s="306"/>
    </row>
    <row r="21" spans="1:7" ht="14.25">
      <c r="A21" s="40" t="s">
        <v>1</v>
      </c>
      <c r="B21" s="36"/>
      <c r="C21" s="36"/>
      <c r="D21" s="36"/>
      <c r="E21" s="36"/>
      <c r="F21" s="42" t="s">
        <v>2</v>
      </c>
      <c r="G21" s="3" t="s">
        <v>3</v>
      </c>
    </row>
    <row r="22" spans="1:7" ht="15.75" thickBot="1">
      <c r="A22" s="43" t="s">
        <v>67</v>
      </c>
      <c r="B22" s="44"/>
      <c r="C22" s="44"/>
      <c r="D22" s="44"/>
      <c r="E22" s="44"/>
      <c r="F22" s="45">
        <v>0.016</v>
      </c>
      <c r="G22" s="2" t="s">
        <v>3</v>
      </c>
    </row>
    <row r="23" ht="12.75">
      <c r="G23" s="2" t="s">
        <v>3</v>
      </c>
    </row>
    <row r="24" spans="1:9" ht="12.75">
      <c r="A24" s="53"/>
      <c r="B24" s="286" t="s">
        <v>92</v>
      </c>
      <c r="C24" s="286" t="s">
        <v>91</v>
      </c>
      <c r="D24" s="54" t="s">
        <v>93</v>
      </c>
      <c r="E24" s="55" t="s">
        <v>94</v>
      </c>
      <c r="F24" s="54" t="s">
        <v>8</v>
      </c>
      <c r="G24" s="56"/>
      <c r="H24" s="57">
        <v>0.02</v>
      </c>
      <c r="I24" s="58"/>
    </row>
    <row r="25" spans="1:9" ht="12.75">
      <c r="A25" s="59" t="s">
        <v>3</v>
      </c>
      <c r="B25" s="287"/>
      <c r="C25" s="287"/>
      <c r="D25" s="60" t="s">
        <v>17</v>
      </c>
      <c r="E25" s="61" t="s">
        <v>95</v>
      </c>
      <c r="F25" s="60" t="s">
        <v>9</v>
      </c>
      <c r="G25" s="61" t="s">
        <v>13</v>
      </c>
      <c r="H25" s="60" t="s">
        <v>56</v>
      </c>
      <c r="I25" s="62" t="s">
        <v>61</v>
      </c>
    </row>
    <row r="26" spans="1:9" ht="12.75">
      <c r="A26" s="63" t="s">
        <v>5</v>
      </c>
      <c r="B26" s="288"/>
      <c r="C26" s="288"/>
      <c r="D26" s="64" t="s">
        <v>6</v>
      </c>
      <c r="E26" s="65" t="s">
        <v>7</v>
      </c>
      <c r="F26" s="64" t="s">
        <v>10</v>
      </c>
      <c r="G26" s="65" t="s">
        <v>17</v>
      </c>
      <c r="H26" s="64" t="s">
        <v>57</v>
      </c>
      <c r="I26" s="66" t="s">
        <v>62</v>
      </c>
    </row>
    <row r="27" spans="1:9" s="51" customFormat="1" ht="12">
      <c r="A27" s="47">
        <v>2009</v>
      </c>
      <c r="B27" s="210">
        <v>933</v>
      </c>
      <c r="C27" s="47">
        <v>5</v>
      </c>
      <c r="D27" s="49">
        <v>450</v>
      </c>
      <c r="E27" s="49">
        <f>D27*C27</f>
        <v>2250</v>
      </c>
      <c r="F27" s="49">
        <f>B27*E27</f>
        <v>2099250</v>
      </c>
      <c r="G27" s="50">
        <f>F27*0.18</f>
        <v>377865</v>
      </c>
      <c r="H27" s="50">
        <f>F27*2/100</f>
        <v>41985</v>
      </c>
      <c r="I27" s="50">
        <f>(F27*0.1178)*0.06</f>
        <v>14837.499</v>
      </c>
    </row>
    <row r="28" spans="1:9" s="51" customFormat="1" ht="12">
      <c r="A28" s="47">
        <v>2010</v>
      </c>
      <c r="B28" s="211">
        <f>B27-(B27*F20)</f>
        <v>918.072</v>
      </c>
      <c r="C28" s="52">
        <v>5</v>
      </c>
      <c r="D28" s="49">
        <f>D27-(D27*$F$20)</f>
        <v>442.8</v>
      </c>
      <c r="E28" s="49">
        <f>D28*C28</f>
        <v>2214</v>
      </c>
      <c r="F28" s="49">
        <f>(E28*B28)</f>
        <v>2032611.408</v>
      </c>
      <c r="G28" s="50">
        <f>F28*0.18</f>
        <v>365870.05344</v>
      </c>
      <c r="H28" s="50">
        <f>F28*2/100</f>
        <v>40652.22816</v>
      </c>
      <c r="I28" s="50">
        <f>(F28*0.1178)*0.06</f>
        <v>14366.497431744001</v>
      </c>
    </row>
    <row r="29" spans="1:9" s="51" customFormat="1" ht="12">
      <c r="A29" s="47">
        <v>2011</v>
      </c>
      <c r="B29" s="211">
        <f>B28-(B28*$F$20)</f>
        <v>903.382848</v>
      </c>
      <c r="C29" s="52">
        <v>5</v>
      </c>
      <c r="D29" s="49">
        <f>D28-(D28*$F$20)</f>
        <v>435.71520000000004</v>
      </c>
      <c r="E29" s="49">
        <f>D29*C29</f>
        <v>2178.576</v>
      </c>
      <c r="F29" s="49">
        <f>(E29*B29)</f>
        <v>1968088.1914644479</v>
      </c>
      <c r="G29" s="50">
        <f>F29*0.18</f>
        <v>354255.87446360063</v>
      </c>
      <c r="H29" s="50">
        <f>F29*2/100</f>
        <v>39361.76382928896</v>
      </c>
      <c r="I29" s="50">
        <f>(F29*0.1178)*0.06</f>
        <v>13910.447337270716</v>
      </c>
    </row>
    <row r="30" spans="1:9" s="51" customFormat="1" ht="12">
      <c r="A30" s="47">
        <v>2012</v>
      </c>
      <c r="B30" s="211">
        <f>B29-(B29*$F$20)</f>
        <v>888.928722432</v>
      </c>
      <c r="C30" s="52">
        <v>5</v>
      </c>
      <c r="D30" s="49">
        <f>D29-(D29*$F$20)</f>
        <v>428.7437568</v>
      </c>
      <c r="E30" s="49">
        <f>D30*C30</f>
        <v>2143.718784</v>
      </c>
      <c r="F30" s="49">
        <f>(E30*B30)</f>
        <v>1905613.1999146007</v>
      </c>
      <c r="G30" s="50">
        <f>F30*0.18</f>
        <v>343010.3759846281</v>
      </c>
      <c r="H30" s="50">
        <f>F30*2/100</f>
        <v>38112.263998292015</v>
      </c>
      <c r="I30" s="50">
        <f>(F30*0.1178)*0.06</f>
        <v>13468.874096996398</v>
      </c>
    </row>
    <row r="31" spans="1:9" s="51" customFormat="1" ht="12">
      <c r="A31" s="47">
        <v>2013</v>
      </c>
      <c r="B31" s="211">
        <f>B30-(B30*$F$20)</f>
        <v>874.705862873088</v>
      </c>
      <c r="C31" s="52">
        <v>5</v>
      </c>
      <c r="D31" s="49">
        <f>D30-(D30*$F$20)</f>
        <v>421.88385669120004</v>
      </c>
      <c r="E31" s="49">
        <f>D31*C31</f>
        <v>2109.4192834560004</v>
      </c>
      <c r="F31" s="49">
        <f>(E31*B31)</f>
        <v>1845121.4144965117</v>
      </c>
      <c r="G31" s="50">
        <f>F31*0.18</f>
        <v>332121.8546093721</v>
      </c>
      <c r="H31" s="50">
        <f>F31*2/100</f>
        <v>36902.428289930234</v>
      </c>
      <c r="I31" s="50">
        <f>(F31*0.1178)*0.06</f>
        <v>13041.318157661344</v>
      </c>
    </row>
    <row r="32" spans="1:9" s="51" customFormat="1" ht="12">
      <c r="A32" s="67" t="s">
        <v>69</v>
      </c>
      <c r="B32" s="68"/>
      <c r="C32" s="69"/>
      <c r="D32" s="68"/>
      <c r="E32" s="68"/>
      <c r="F32" s="83">
        <f>SUM(F27:F31)</f>
        <v>9850684.21387556</v>
      </c>
      <c r="G32" s="83">
        <f>SUM(G27:G31)</f>
        <v>1773123.1584976008</v>
      </c>
      <c r="H32" s="83">
        <f>SUM(H27:H31)</f>
        <v>197013.6842775112</v>
      </c>
      <c r="I32" s="83">
        <f>SUM(I27:I31)</f>
        <v>69624.63602367246</v>
      </c>
    </row>
    <row r="33" spans="4:8" ht="12.75">
      <c r="D33" s="4"/>
      <c r="G33" s="5"/>
      <c r="H33" s="5"/>
    </row>
    <row r="34" spans="1:8" ht="14.25">
      <c r="A34" s="7" t="s">
        <v>18</v>
      </c>
      <c r="B34" s="7"/>
      <c r="C34" s="7"/>
      <c r="D34" s="11"/>
      <c r="E34" s="7"/>
      <c r="F34" s="7"/>
      <c r="G34" s="12"/>
      <c r="H34" s="12"/>
    </row>
    <row r="35" spans="1:8" ht="14.25">
      <c r="A35" s="7" t="s">
        <v>103</v>
      </c>
      <c r="B35" s="7"/>
      <c r="C35" s="7"/>
      <c r="D35" s="11"/>
      <c r="E35" s="7"/>
      <c r="F35" s="7"/>
      <c r="G35" s="12"/>
      <c r="H35" s="12"/>
    </row>
    <row r="36" spans="1:8" ht="14.25">
      <c r="A36" s="7" t="s">
        <v>59</v>
      </c>
      <c r="B36" s="7"/>
      <c r="C36" s="7"/>
      <c r="D36" s="11"/>
      <c r="E36" s="7"/>
      <c r="F36" s="7"/>
      <c r="G36" s="12"/>
      <c r="H36" s="12"/>
    </row>
    <row r="37" spans="1:8" ht="15">
      <c r="A37" s="8" t="s">
        <v>184</v>
      </c>
      <c r="B37" s="7"/>
      <c r="C37" s="7"/>
      <c r="D37" s="11"/>
      <c r="E37" s="7"/>
      <c r="F37" s="7"/>
      <c r="G37" s="235"/>
      <c r="H37" s="235"/>
    </row>
    <row r="38" spans="1:8" ht="14.25">
      <c r="A38" s="7" t="s">
        <v>58</v>
      </c>
      <c r="B38" s="7"/>
      <c r="C38" s="7"/>
      <c r="D38" s="11"/>
      <c r="E38" s="7"/>
      <c r="F38" s="7"/>
      <c r="G38" s="12"/>
      <c r="H38" s="12"/>
    </row>
    <row r="39" spans="1:8" ht="14.25">
      <c r="A39" s="7"/>
      <c r="B39" s="7"/>
      <c r="C39" s="7"/>
      <c r="D39" s="11"/>
      <c r="E39" s="7"/>
      <c r="F39" s="7"/>
      <c r="G39" s="12"/>
      <c r="H39" s="12"/>
    </row>
    <row r="41" spans="1:4" ht="18">
      <c r="A41" s="180" t="s">
        <v>11</v>
      </c>
      <c r="B41" s="10"/>
      <c r="C41" s="10"/>
      <c r="D41" s="10"/>
    </row>
    <row r="43" spans="1:8" ht="14.25">
      <c r="A43" s="7" t="s">
        <v>16</v>
      </c>
      <c r="B43" s="7"/>
      <c r="C43" s="7"/>
      <c r="D43" s="7"/>
      <c r="E43" s="7"/>
      <c r="F43" s="7"/>
      <c r="G43" s="7"/>
      <c r="H43" s="7"/>
    </row>
    <row r="44" spans="1:8" ht="14.25">
      <c r="A44" s="7" t="s">
        <v>113</v>
      </c>
      <c r="B44" s="7"/>
      <c r="C44" s="7"/>
      <c r="D44" s="7"/>
      <c r="E44" s="325">
        <v>0.01</v>
      </c>
      <c r="F44" s="7"/>
      <c r="G44" s="7"/>
      <c r="H44" s="7"/>
    </row>
    <row r="45" spans="1:6" ht="14.25">
      <c r="A45" s="7" t="s">
        <v>63</v>
      </c>
      <c r="B45" s="7"/>
      <c r="C45" s="7" t="s">
        <v>3</v>
      </c>
      <c r="D45" s="7"/>
      <c r="E45" s="7"/>
      <c r="F45" s="7"/>
    </row>
    <row r="47" spans="1:4" ht="12.75">
      <c r="A47" s="72" t="s">
        <v>5</v>
      </c>
      <c r="B47" s="72" t="s">
        <v>12</v>
      </c>
      <c r="C47" s="72" t="s">
        <v>14</v>
      </c>
      <c r="D47" s="72" t="s">
        <v>13</v>
      </c>
    </row>
    <row r="48" spans="1:4" s="51" customFormat="1" ht="12">
      <c r="A48" s="47">
        <v>2009</v>
      </c>
      <c r="B48" s="49">
        <v>600000</v>
      </c>
      <c r="C48" s="326">
        <v>0.06</v>
      </c>
      <c r="D48" s="49">
        <f>B48*0.06</f>
        <v>36000</v>
      </c>
    </row>
    <row r="49" spans="1:4" s="51" customFormat="1" ht="12">
      <c r="A49" s="47">
        <v>2010</v>
      </c>
      <c r="B49" s="49">
        <f>B48-(B48*$E$44)</f>
        <v>594000</v>
      </c>
      <c r="C49" s="326">
        <v>0.06</v>
      </c>
      <c r="D49" s="49">
        <f>B49*0.06</f>
        <v>35640</v>
      </c>
    </row>
    <row r="50" spans="1:4" s="51" customFormat="1" ht="12">
      <c r="A50" s="47">
        <v>2011</v>
      </c>
      <c r="B50" s="49">
        <f>B49-(B49*$E$44)</f>
        <v>588060</v>
      </c>
      <c r="C50" s="326">
        <v>0.06</v>
      </c>
      <c r="D50" s="49">
        <f>B50*0.06</f>
        <v>35283.6</v>
      </c>
    </row>
    <row r="51" spans="1:4" s="51" customFormat="1" ht="12">
      <c r="A51" s="47">
        <v>2012</v>
      </c>
      <c r="B51" s="49">
        <f>B50-(B50*$E$44)</f>
        <v>582179.4</v>
      </c>
      <c r="C51" s="326">
        <v>0.06</v>
      </c>
      <c r="D51" s="49">
        <f>B51*0.06</f>
        <v>34930.764</v>
      </c>
    </row>
    <row r="52" spans="1:5" s="51" customFormat="1" ht="12">
      <c r="A52" s="47">
        <v>2013</v>
      </c>
      <c r="B52" s="49">
        <f>B51-(B51*$E$44)</f>
        <v>576357.606</v>
      </c>
      <c r="C52" s="326">
        <v>0.06</v>
      </c>
      <c r="D52" s="49">
        <f>B52*0.06</f>
        <v>34581.456360000004</v>
      </c>
      <c r="E52" s="51" t="s">
        <v>228</v>
      </c>
    </row>
    <row r="53" spans="1:4" s="51" customFormat="1" ht="12">
      <c r="A53" s="73" t="s">
        <v>15</v>
      </c>
      <c r="B53" s="74">
        <f>SUM(B48:B52)</f>
        <v>2940597.006</v>
      </c>
      <c r="C53" s="75"/>
      <c r="D53" s="74">
        <f>SUM(D48:D52)</f>
        <v>176435.82036</v>
      </c>
    </row>
    <row r="54" spans="3:5" ht="12.75">
      <c r="C54" s="6"/>
      <c r="E54" s="6"/>
    </row>
    <row r="55" spans="1:5" ht="12.75">
      <c r="A55" s="16"/>
      <c r="B55" s="16"/>
      <c r="C55" s="16"/>
      <c r="D55" s="16"/>
      <c r="E55" s="16"/>
    </row>
    <row r="56" ht="12.75">
      <c r="D56" s="14"/>
    </row>
    <row r="57" spans="1:8" ht="19.5">
      <c r="A57" s="279" t="s">
        <v>64</v>
      </c>
      <c r="B57" s="279"/>
      <c r="C57" s="279"/>
      <c r="D57" s="279"/>
      <c r="E57" s="279"/>
      <c r="F57" s="279"/>
      <c r="G57" s="279"/>
      <c r="H57" s="279"/>
    </row>
    <row r="58" spans="1:8" ht="19.5">
      <c r="A58" s="184"/>
      <c r="B58" s="184"/>
      <c r="C58" s="184"/>
      <c r="D58" s="184"/>
      <c r="E58" s="184"/>
      <c r="F58" s="184"/>
      <c r="G58" s="184"/>
      <c r="H58" s="184"/>
    </row>
    <row r="59" spans="9:14" ht="13.5" thickBot="1">
      <c r="I59" s="16"/>
      <c r="J59" s="81"/>
      <c r="K59" s="81"/>
      <c r="L59" s="81"/>
      <c r="M59" s="81"/>
      <c r="N59" s="81"/>
    </row>
    <row r="60" spans="1:14" ht="18">
      <c r="A60" s="289" t="s">
        <v>70</v>
      </c>
      <c r="B60" s="290"/>
      <c r="C60" s="290"/>
      <c r="D60" s="290"/>
      <c r="E60" s="290"/>
      <c r="F60" s="290"/>
      <c r="G60" s="291"/>
      <c r="H60" s="188"/>
      <c r="I60" s="16"/>
      <c r="J60" s="81"/>
      <c r="K60" s="81"/>
      <c r="L60" s="81"/>
      <c r="M60" s="81"/>
      <c r="N60" s="81"/>
    </row>
    <row r="61" spans="1:14" ht="12.75">
      <c r="A61" s="276" t="s">
        <v>77</v>
      </c>
      <c r="B61" s="277"/>
      <c r="C61" s="277"/>
      <c r="D61" s="277"/>
      <c r="E61" s="277"/>
      <c r="F61" s="277"/>
      <c r="G61" s="278"/>
      <c r="H61" s="189"/>
      <c r="I61" s="16"/>
      <c r="J61" s="16"/>
      <c r="K61" s="16"/>
      <c r="L61" s="16"/>
      <c r="M61" s="16"/>
      <c r="N61" s="16"/>
    </row>
    <row r="62" spans="1:14" ht="12.75">
      <c r="A62" s="114"/>
      <c r="B62" s="65"/>
      <c r="C62" s="65"/>
      <c r="D62" s="65"/>
      <c r="E62" s="65"/>
      <c r="F62" s="65"/>
      <c r="G62" s="115"/>
      <c r="H62" s="190"/>
      <c r="I62" s="16"/>
      <c r="J62" s="16"/>
      <c r="K62" s="16"/>
      <c r="L62" s="16"/>
      <c r="M62" s="16"/>
      <c r="N62" s="16"/>
    </row>
    <row r="63" spans="1:13" ht="12.75">
      <c r="A63" s="103"/>
      <c r="B63" s="80">
        <v>2009</v>
      </c>
      <c r="C63" s="80">
        <v>2010</v>
      </c>
      <c r="D63" s="80">
        <v>2011</v>
      </c>
      <c r="E63" s="80">
        <v>2012</v>
      </c>
      <c r="F63" s="80">
        <v>2013</v>
      </c>
      <c r="G63" s="116" t="s">
        <v>8</v>
      </c>
      <c r="H63" s="16"/>
      <c r="I63" s="16"/>
      <c r="J63" s="16"/>
      <c r="K63" s="16"/>
      <c r="L63" s="16"/>
      <c r="M63" s="16"/>
    </row>
    <row r="64" spans="1:13" ht="15">
      <c r="A64" s="117" t="s">
        <v>72</v>
      </c>
      <c r="B64" s="79"/>
      <c r="C64" s="79"/>
      <c r="D64" s="79"/>
      <c r="E64" s="79"/>
      <c r="F64" s="79"/>
      <c r="G64" s="118"/>
      <c r="H64" s="16"/>
      <c r="I64" s="16"/>
      <c r="J64" s="16"/>
      <c r="K64" s="16"/>
      <c r="L64" s="16"/>
      <c r="M64" s="16"/>
    </row>
    <row r="65" spans="1:13" ht="12.75">
      <c r="A65" s="245" t="s">
        <v>25</v>
      </c>
      <c r="B65" s="241">
        <f>G27</f>
        <v>377865</v>
      </c>
      <c r="C65" s="241">
        <f>G28</f>
        <v>365870.05344</v>
      </c>
      <c r="D65" s="241">
        <f>G29</f>
        <v>354255.87446360063</v>
      </c>
      <c r="E65" s="241">
        <f>G30</f>
        <v>343010.3759846281</v>
      </c>
      <c r="F65" s="241">
        <f>G31</f>
        <v>332121.8546093721</v>
      </c>
      <c r="G65" s="246">
        <f>SUM(B65:F65)</f>
        <v>1773123.1584976008</v>
      </c>
      <c r="H65" s="232"/>
      <c r="I65" s="16"/>
      <c r="J65" s="16"/>
      <c r="K65" s="16"/>
      <c r="L65" s="16"/>
      <c r="M65" s="16"/>
    </row>
    <row r="66" spans="1:13" ht="12.75">
      <c r="A66" s="119" t="s">
        <v>26</v>
      </c>
      <c r="B66" s="46">
        <f>I27</f>
        <v>14837.499</v>
      </c>
      <c r="C66" s="46">
        <f>I28</f>
        <v>14366.497431744001</v>
      </c>
      <c r="D66" s="46">
        <f>I29</f>
        <v>13910.447337270716</v>
      </c>
      <c r="E66" s="46">
        <f>I30</f>
        <v>13468.874096996398</v>
      </c>
      <c r="F66" s="46">
        <f>I31</f>
        <v>13041.318157661344</v>
      </c>
      <c r="G66" s="104">
        <f>SUM(B66:F66)</f>
        <v>69624.63602367246</v>
      </c>
      <c r="H66" s="16"/>
      <c r="I66" s="168"/>
      <c r="J66" s="181"/>
      <c r="K66" s="16"/>
      <c r="L66" s="16"/>
      <c r="M66" s="16"/>
    </row>
    <row r="67" spans="1:13" ht="12.75">
      <c r="A67" s="105" t="s">
        <v>73</v>
      </c>
      <c r="B67" s="76">
        <f>SUM(B65:B66)</f>
        <v>392702.499</v>
      </c>
      <c r="C67" s="76">
        <f>SUM(C65:C66)</f>
        <v>380236.550871744</v>
      </c>
      <c r="D67" s="76">
        <f>SUM(D65:D66)</f>
        <v>368166.32180087134</v>
      </c>
      <c r="E67" s="76">
        <f>SUM(E65:E66)</f>
        <v>356479.2500816245</v>
      </c>
      <c r="F67" s="76">
        <f>SUM(F65:F66)</f>
        <v>345163.17276703345</v>
      </c>
      <c r="G67" s="106">
        <f>SUM(B67:F67)</f>
        <v>1842747.794521273</v>
      </c>
      <c r="H67" s="16"/>
      <c r="I67" s="168"/>
      <c r="J67" s="182"/>
      <c r="K67" s="16"/>
      <c r="L67" s="16"/>
      <c r="M67" s="16"/>
    </row>
    <row r="68" spans="1:13" ht="15">
      <c r="A68" s="117" t="s">
        <v>71</v>
      </c>
      <c r="B68" s="78"/>
      <c r="C68" s="78"/>
      <c r="D68" s="78"/>
      <c r="E68" s="78"/>
      <c r="F68" s="78"/>
      <c r="G68" s="120"/>
      <c r="H68" s="16"/>
      <c r="I68" s="168"/>
      <c r="J68" s="183"/>
      <c r="K68" s="16"/>
      <c r="L68" s="16"/>
      <c r="M68" s="16"/>
    </row>
    <row r="69" spans="1:13" ht="12.75">
      <c r="A69" s="105" t="s">
        <v>106</v>
      </c>
      <c r="B69" s="46"/>
      <c r="C69" s="46"/>
      <c r="D69" s="46"/>
      <c r="E69" s="46"/>
      <c r="F69" s="46"/>
      <c r="G69" s="104" t="s">
        <v>3</v>
      </c>
      <c r="H69" s="16"/>
      <c r="I69" s="168"/>
      <c r="J69" s="102"/>
      <c r="K69" s="16"/>
      <c r="L69" s="16"/>
      <c r="M69" s="16"/>
    </row>
    <row r="70" spans="1:13" ht="12.75">
      <c r="A70" s="103" t="s">
        <v>125</v>
      </c>
      <c r="B70" s="46">
        <f>D48</f>
        <v>36000</v>
      </c>
      <c r="C70" s="46">
        <f>D49</f>
        <v>35640</v>
      </c>
      <c r="D70" s="46">
        <f>D50</f>
        <v>35283.6</v>
      </c>
      <c r="E70" s="46">
        <f>D51</f>
        <v>34930.764</v>
      </c>
      <c r="F70" s="46">
        <f>D52</f>
        <v>34581.456360000004</v>
      </c>
      <c r="G70" s="104">
        <f>SUM(B70:F70)</f>
        <v>176435.82036</v>
      </c>
      <c r="H70" s="16"/>
      <c r="I70" s="16"/>
      <c r="J70" s="16"/>
      <c r="K70" s="16"/>
      <c r="L70" s="16"/>
      <c r="M70" s="16"/>
    </row>
    <row r="71" spans="1:7" ht="12.75">
      <c r="A71" s="245" t="s">
        <v>193</v>
      </c>
      <c r="B71" s="241">
        <f>H27</f>
        <v>41985</v>
      </c>
      <c r="C71" s="241">
        <f>H28</f>
        <v>40652.22816</v>
      </c>
      <c r="D71" s="241">
        <f>H29</f>
        <v>39361.76382928896</v>
      </c>
      <c r="E71" s="241">
        <f>H30</f>
        <v>38112.263998292015</v>
      </c>
      <c r="F71" s="241">
        <f>H31</f>
        <v>36902.428289930234</v>
      </c>
      <c r="G71" s="246">
        <f>SUM(B71:F71)</f>
        <v>197013.6842775112</v>
      </c>
    </row>
    <row r="72" spans="1:9" ht="12.75">
      <c r="A72" s="245" t="s">
        <v>27</v>
      </c>
      <c r="B72" s="241">
        <f>3500*12</f>
        <v>42000</v>
      </c>
      <c r="C72" s="241">
        <f>B72*1.05</f>
        <v>44100</v>
      </c>
      <c r="D72" s="241">
        <f>C72*1.05</f>
        <v>46305</v>
      </c>
      <c r="E72" s="241">
        <f>D72*1.05</f>
        <v>48620.25</v>
      </c>
      <c r="F72" s="241">
        <f>E72*1.05</f>
        <v>51051.262500000004</v>
      </c>
      <c r="G72" s="246">
        <f>SUM(B72:F72)</f>
        <v>232076.5125</v>
      </c>
      <c r="H72" s="233"/>
      <c r="I72" s="234"/>
    </row>
    <row r="73" spans="1:7" ht="12.75">
      <c r="A73" s="105" t="s">
        <v>30</v>
      </c>
      <c r="B73" s="76">
        <f>SUM(B70:B72)</f>
        <v>119985</v>
      </c>
      <c r="C73" s="76">
        <f>SUM(C70:C72)</f>
        <v>120392.22816</v>
      </c>
      <c r="D73" s="76">
        <f>SUM(D70:D72)</f>
        <v>120950.36382928895</v>
      </c>
      <c r="E73" s="76">
        <f>SUM(E70:E72)</f>
        <v>121663.27799829202</v>
      </c>
      <c r="F73" s="76">
        <f>SUM(F70:F72)</f>
        <v>122535.14714993024</v>
      </c>
      <c r="G73" s="106">
        <f>SUM(G70:G72)</f>
        <v>605526.0171375112</v>
      </c>
    </row>
    <row r="74" spans="1:7" ht="12.75">
      <c r="A74" s="105" t="s">
        <v>107</v>
      </c>
      <c r="B74" s="46"/>
      <c r="C74" s="46"/>
      <c r="D74" s="46"/>
      <c r="E74" s="46"/>
      <c r="F74" s="46"/>
      <c r="G74" s="104"/>
    </row>
    <row r="75" spans="1:7" ht="12.75">
      <c r="A75" s="245" t="s">
        <v>192</v>
      </c>
      <c r="B75" s="241">
        <v>5000</v>
      </c>
      <c r="C75" s="241">
        <f>B75*1.05</f>
        <v>5250</v>
      </c>
      <c r="D75" s="241">
        <f aca="true" t="shared" si="0" ref="D75:F76">C75*1.05</f>
        <v>5512.5</v>
      </c>
      <c r="E75" s="241">
        <f t="shared" si="0"/>
        <v>5788.125</v>
      </c>
      <c r="F75" s="241">
        <f t="shared" si="0"/>
        <v>6077.53125</v>
      </c>
      <c r="G75" s="246">
        <f aca="true" t="shared" si="1" ref="G75:G80">SUM(B75:F75)</f>
        <v>27628.15625</v>
      </c>
    </row>
    <row r="76" spans="1:7" ht="12.75">
      <c r="A76" s="103" t="s">
        <v>104</v>
      </c>
      <c r="B76" s="46">
        <v>4680</v>
      </c>
      <c r="C76" s="46">
        <f>B76*1.05</f>
        <v>4914</v>
      </c>
      <c r="D76" s="46">
        <f t="shared" si="0"/>
        <v>5159.7</v>
      </c>
      <c r="E76" s="46">
        <f t="shared" si="0"/>
        <v>5417.685</v>
      </c>
      <c r="F76" s="46">
        <f t="shared" si="0"/>
        <v>5688.5692500000005</v>
      </c>
      <c r="G76" s="104">
        <f t="shared" si="1"/>
        <v>25859.954250000003</v>
      </c>
    </row>
    <row r="77" spans="1:8" ht="12.75">
      <c r="A77" s="245" t="s">
        <v>75</v>
      </c>
      <c r="B77" s="241">
        <v>32400</v>
      </c>
      <c r="C77" s="241">
        <v>32400</v>
      </c>
      <c r="D77" s="241">
        <v>32400</v>
      </c>
      <c r="E77" s="241">
        <v>32400</v>
      </c>
      <c r="F77" s="241">
        <v>32400</v>
      </c>
      <c r="G77" s="246">
        <f t="shared" si="1"/>
        <v>162000</v>
      </c>
      <c r="H77" s="233"/>
    </row>
    <row r="78" spans="1:13" s="21" customFormat="1" ht="12.75">
      <c r="A78" s="245" t="s">
        <v>101</v>
      </c>
      <c r="B78" s="241">
        <f>700*12</f>
        <v>8400</v>
      </c>
      <c r="C78" s="241">
        <f>700*12</f>
        <v>8400</v>
      </c>
      <c r="D78" s="241">
        <f>700*12</f>
        <v>8400</v>
      </c>
      <c r="E78" s="241">
        <f>700*12</f>
        <v>8400</v>
      </c>
      <c r="F78" s="241">
        <f>700*12</f>
        <v>8400</v>
      </c>
      <c r="G78" s="246">
        <f t="shared" si="1"/>
        <v>42000</v>
      </c>
      <c r="H78"/>
      <c r="I78"/>
      <c r="J78"/>
      <c r="K78"/>
      <c r="L78"/>
      <c r="M78"/>
    </row>
    <row r="79" spans="1:13" s="21" customFormat="1" ht="12.75">
      <c r="A79" s="245" t="s">
        <v>28</v>
      </c>
      <c r="B79" s="241">
        <f>'[1]SALARIOS'!$F$29</f>
        <v>138963.36000000002</v>
      </c>
      <c r="C79" s="241">
        <f>'[1]SALARIOS'!$F$29</f>
        <v>138963.36000000002</v>
      </c>
      <c r="D79" s="241">
        <f>'[1]SALARIOS'!$F$29</f>
        <v>138963.36000000002</v>
      </c>
      <c r="E79" s="241">
        <f>'[1]SALARIOS'!$F$29</f>
        <v>138963.36000000002</v>
      </c>
      <c r="F79" s="241">
        <f>'[1]SALARIOS'!$F$29</f>
        <v>138963.36000000002</v>
      </c>
      <c r="G79" s="246">
        <f t="shared" si="1"/>
        <v>694816.8</v>
      </c>
      <c r="H79" s="233"/>
      <c r="I79"/>
      <c r="J79"/>
      <c r="K79"/>
      <c r="L79"/>
      <c r="M79"/>
    </row>
    <row r="80" spans="1:7" ht="12.75">
      <c r="A80" s="103" t="s">
        <v>29</v>
      </c>
      <c r="B80" s="46">
        <f>'[1]SALARIOS'!$I$15</f>
        <v>19323.86</v>
      </c>
      <c r="C80" s="46">
        <f>'[1]SALARIOS'!$I$15</f>
        <v>19323.86</v>
      </c>
      <c r="D80" s="46">
        <f>'[1]SALARIOS'!$I$15</f>
        <v>19323.86</v>
      </c>
      <c r="E80" s="46">
        <f>'[1]SALARIOS'!$I$15</f>
        <v>19323.86</v>
      </c>
      <c r="F80" s="46">
        <f>'[1]SALARIOS'!$I$15</f>
        <v>19323.86</v>
      </c>
      <c r="G80" s="104">
        <f t="shared" si="1"/>
        <v>96619.3</v>
      </c>
    </row>
    <row r="81" spans="1:7" ht="12.75">
      <c r="A81" s="121" t="s">
        <v>194</v>
      </c>
      <c r="B81" s="46">
        <v>485</v>
      </c>
      <c r="C81" s="46">
        <f>B81*1.05</f>
        <v>509.25</v>
      </c>
      <c r="D81" s="46">
        <f>C81*1.05</f>
        <v>534.7125</v>
      </c>
      <c r="E81" s="46">
        <f>D81*1.05</f>
        <v>561.448125</v>
      </c>
      <c r="F81" s="46">
        <f>E81*1.05</f>
        <v>589.52053125</v>
      </c>
      <c r="G81" s="104">
        <f>SUM(B81:F81)</f>
        <v>2679.9311562499997</v>
      </c>
    </row>
    <row r="82" spans="1:7" ht="12.75">
      <c r="A82" s="103" t="s">
        <v>31</v>
      </c>
      <c r="B82" s="46">
        <f>'DEP. Y AMORT.'!B59</f>
        <v>13673.5136</v>
      </c>
      <c r="C82" s="46">
        <f>'DEP. Y AMORT.'!C59</f>
        <v>13673.5136</v>
      </c>
      <c r="D82" s="46">
        <f>'DEP. Y AMORT.'!D59</f>
        <v>13673.5136</v>
      </c>
      <c r="E82" s="46">
        <f>'DEP. Y AMORT.'!E59</f>
        <v>10791.5136</v>
      </c>
      <c r="F82" s="46">
        <f>'DEP. Y AMORT.'!F59</f>
        <v>10791.5136</v>
      </c>
      <c r="G82" s="104">
        <f aca="true" t="shared" si="2" ref="G82:G88">SUM(B82:F82)</f>
        <v>62603.568</v>
      </c>
    </row>
    <row r="83" spans="1:7" ht="12.75">
      <c r="A83" s="103" t="s">
        <v>32</v>
      </c>
      <c r="B83" s="46">
        <f>'DEP. Y AMORT.'!B84</f>
        <v>572</v>
      </c>
      <c r="C83" s="46">
        <f>'DEP. Y AMORT.'!C84</f>
        <v>572</v>
      </c>
      <c r="D83" s="46">
        <f>'DEP. Y AMORT.'!D84</f>
        <v>572</v>
      </c>
      <c r="E83" s="46">
        <f>'DEP. Y AMORT.'!E84</f>
        <v>572</v>
      </c>
      <c r="F83" s="46">
        <f>'DEP. Y AMORT.'!F84</f>
        <v>572</v>
      </c>
      <c r="G83" s="104">
        <f>SUM(B83:F83)</f>
        <v>2860</v>
      </c>
    </row>
    <row r="84" spans="1:7" ht="12.75">
      <c r="A84" s="105" t="s">
        <v>76</v>
      </c>
      <c r="B84" s="76">
        <f>SUM(B75:B83)</f>
        <v>223497.73360000004</v>
      </c>
      <c r="C84" s="76">
        <f>SUM(C75:C83)</f>
        <v>224005.98360000004</v>
      </c>
      <c r="D84" s="76">
        <f>SUM(D75:D83)</f>
        <v>224539.64609999998</v>
      </c>
      <c r="E84" s="76">
        <f>SUM(E75:E83)</f>
        <v>222217.99172500003</v>
      </c>
      <c r="F84" s="76">
        <f>SUM(F75:F83)</f>
        <v>222806.35463125003</v>
      </c>
      <c r="G84" s="106">
        <f>SUM(B84:F84)</f>
        <v>1117067.7096562502</v>
      </c>
    </row>
    <row r="85" spans="1:7" ht="12.75">
      <c r="A85" s="105" t="s">
        <v>74</v>
      </c>
      <c r="B85" s="76">
        <f>B84+B73</f>
        <v>343482.73360000004</v>
      </c>
      <c r="C85" s="76">
        <f>C84+C73</f>
        <v>344398.21176000003</v>
      </c>
      <c r="D85" s="76">
        <f>D84+D73</f>
        <v>345490.00992928894</v>
      </c>
      <c r="E85" s="76">
        <f>E84+E73</f>
        <v>343881.26972329203</v>
      </c>
      <c r="F85" s="76">
        <f>F84+F73</f>
        <v>345341.50178118027</v>
      </c>
      <c r="G85" s="106">
        <f t="shared" si="2"/>
        <v>1722593.7267937611</v>
      </c>
    </row>
    <row r="86" spans="1:8" ht="12.75">
      <c r="A86" s="105" t="s">
        <v>33</v>
      </c>
      <c r="B86" s="46">
        <f>SUM(B67-B85)</f>
        <v>49219.765399999975</v>
      </c>
      <c r="C86" s="46">
        <f>SUM(C67-C85)</f>
        <v>35838.33911174396</v>
      </c>
      <c r="D86" s="46">
        <f>SUM(D67-D85)</f>
        <v>22676.31187158241</v>
      </c>
      <c r="E86" s="46">
        <f>SUM(E67-E85)</f>
        <v>12597.980358332454</v>
      </c>
      <c r="F86" s="46">
        <f>SUM(F67-F85)</f>
        <v>-178.32901414681692</v>
      </c>
      <c r="G86" s="104">
        <f t="shared" si="2"/>
        <v>120154.06772751198</v>
      </c>
      <c r="H86" s="236"/>
    </row>
    <row r="87" spans="1:13" ht="12.75">
      <c r="A87" s="103" t="s">
        <v>34</v>
      </c>
      <c r="B87" s="46">
        <f>B86*0.15</f>
        <v>7382.964809999996</v>
      </c>
      <c r="C87" s="46">
        <f>C86*0.15</f>
        <v>5375.750866761594</v>
      </c>
      <c r="D87" s="46">
        <f>D86*0.15</f>
        <v>3401.446780737361</v>
      </c>
      <c r="E87" s="46">
        <f>E86*0.15</f>
        <v>1889.697053749868</v>
      </c>
      <c r="F87" s="46">
        <f>F86*0.15</f>
        <v>-26.749352122022536</v>
      </c>
      <c r="G87" s="104">
        <f>SUM(B87:F87)</f>
        <v>18023.110159126794</v>
      </c>
      <c r="H87" s="21"/>
      <c r="I87" s="21"/>
      <c r="J87" s="21"/>
      <c r="K87" s="21"/>
      <c r="L87" s="21"/>
      <c r="M87" s="21"/>
    </row>
    <row r="88" spans="1:13" ht="12.75">
      <c r="A88" s="105" t="s">
        <v>60</v>
      </c>
      <c r="B88" s="46">
        <f>SUM(B86-B87)</f>
        <v>41836.80058999998</v>
      </c>
      <c r="C88" s="46">
        <f>SUM(C86-C87)</f>
        <v>30462.588244982366</v>
      </c>
      <c r="D88" s="46">
        <f>SUM(D86-D87)</f>
        <v>19274.865090845047</v>
      </c>
      <c r="E88" s="46">
        <f>SUM(E86-E87)</f>
        <v>10708.283304582586</v>
      </c>
      <c r="F88" s="46">
        <f>SUM(F86-F87)</f>
        <v>-151.57966202479437</v>
      </c>
      <c r="G88" s="104">
        <f t="shared" si="2"/>
        <v>102130.95756838517</v>
      </c>
      <c r="H88" s="21"/>
      <c r="I88" s="21"/>
      <c r="J88" s="21"/>
      <c r="K88" s="21"/>
      <c r="L88" s="21"/>
      <c r="M88" s="21"/>
    </row>
    <row r="89" spans="1:7" ht="12.75">
      <c r="A89" s="103" t="s">
        <v>37</v>
      </c>
      <c r="B89" s="46">
        <f>B88*0.25</f>
        <v>10459.200147499994</v>
      </c>
      <c r="C89" s="46">
        <f aca="true" t="shared" si="3" ref="B89:G89">C88*0.25</f>
        <v>7615.647061245591</v>
      </c>
      <c r="D89" s="46">
        <f t="shared" si="3"/>
        <v>4818.716272711262</v>
      </c>
      <c r="E89" s="46">
        <f t="shared" si="3"/>
        <v>2677.0708261456466</v>
      </c>
      <c r="F89" s="46">
        <f t="shared" si="3"/>
        <v>-37.89491550619859</v>
      </c>
      <c r="G89" s="104">
        <f t="shared" si="3"/>
        <v>25532.739392096293</v>
      </c>
    </row>
    <row r="90" spans="1:7" ht="15">
      <c r="A90" s="117" t="s">
        <v>35</v>
      </c>
      <c r="B90" s="78">
        <f>SUM(B88-B89)</f>
        <v>31377.600442499985</v>
      </c>
      <c r="C90" s="78">
        <f>SUM(C88-C89)</f>
        <v>22846.941183736773</v>
      </c>
      <c r="D90" s="78">
        <f>SUM(D88-D89)</f>
        <v>14456.148818133785</v>
      </c>
      <c r="E90" s="78">
        <f>SUM(E88-E89)</f>
        <v>8031.21247843694</v>
      </c>
      <c r="F90" s="78">
        <f>SUM(F88-F89)</f>
        <v>-113.68474651859577</v>
      </c>
      <c r="G90" s="120">
        <f>SUM(B90:F90)</f>
        <v>76598.21817628888</v>
      </c>
    </row>
    <row r="91" spans="1:7" ht="13.5" thickBot="1">
      <c r="A91" s="122" t="s">
        <v>36</v>
      </c>
      <c r="B91" s="123">
        <f>SUM(B90/B67)</f>
        <v>0.07990170809302638</v>
      </c>
      <c r="C91" s="123">
        <f>SUM(C90/C67)</f>
        <v>0.0600861256798092</v>
      </c>
      <c r="D91" s="123">
        <f>SUM(D90/D67)</f>
        <v>0.039265266707237345</v>
      </c>
      <c r="E91" s="123">
        <f>SUM(E90/E67)</f>
        <v>0.02252925654606264</v>
      </c>
      <c r="F91" s="123">
        <f>SUM(F90/F67)</f>
        <v>-0.0003293652263282643</v>
      </c>
      <c r="G91" s="124"/>
    </row>
    <row r="94" spans="1:7" ht="18">
      <c r="A94" s="292" t="s">
        <v>96</v>
      </c>
      <c r="B94" s="292"/>
      <c r="C94" s="292"/>
      <c r="D94" s="292"/>
      <c r="E94" s="292"/>
      <c r="F94" s="292"/>
      <c r="G94" s="292"/>
    </row>
    <row r="95" spans="1:7" ht="12.75">
      <c r="A95" s="70"/>
      <c r="B95" s="176" t="s">
        <v>100</v>
      </c>
      <c r="C95" s="176">
        <v>2009</v>
      </c>
      <c r="D95" s="176">
        <v>2010</v>
      </c>
      <c r="E95" s="176">
        <v>2011</v>
      </c>
      <c r="F95" s="176">
        <v>2012</v>
      </c>
      <c r="G95" s="176">
        <v>2013</v>
      </c>
    </row>
    <row r="96" spans="1:7" ht="12.75">
      <c r="A96" s="173" t="s">
        <v>72</v>
      </c>
      <c r="B96" s="174"/>
      <c r="C96" s="174"/>
      <c r="D96" s="174"/>
      <c r="E96" s="174"/>
      <c r="F96" s="174"/>
      <c r="G96" s="174"/>
    </row>
    <row r="97" spans="1:7" ht="12.75">
      <c r="A97" s="70" t="s">
        <v>20</v>
      </c>
      <c r="B97" s="46"/>
      <c r="C97" s="46">
        <f>$B48</f>
        <v>600000</v>
      </c>
      <c r="D97" s="46">
        <f>$B49</f>
        <v>594000</v>
      </c>
      <c r="E97" s="46">
        <f>$B50</f>
        <v>588060</v>
      </c>
      <c r="F97" s="46">
        <f>$B51</f>
        <v>582179.4</v>
      </c>
      <c r="G97" s="46">
        <f>$B52</f>
        <v>576357.606</v>
      </c>
    </row>
    <row r="98" spans="1:7" ht="12.75">
      <c r="A98" s="237" t="s">
        <v>127</v>
      </c>
      <c r="B98" s="241"/>
      <c r="C98" s="241">
        <f>C101-(C101*0.1178)</f>
        <v>1851958.35</v>
      </c>
      <c r="D98" s="241">
        <f>D101-(D101*0.1178)</f>
        <v>1793169.7841376</v>
      </c>
      <c r="E98" s="241">
        <f>E101-(E101*0.1178)</f>
        <v>1736247.402509936</v>
      </c>
      <c r="F98" s="241">
        <f>F101-(F101*0.1178)</f>
        <v>1681131.9649646608</v>
      </c>
      <c r="G98" s="241">
        <f>G101-(G101*0.1178)</f>
        <v>1627766.1118688225</v>
      </c>
    </row>
    <row r="99" spans="1:7" ht="12.75">
      <c r="A99" s="71" t="s">
        <v>126</v>
      </c>
      <c r="B99" s="76"/>
      <c r="C99" s="76">
        <f>SUM(C97:C98)</f>
        <v>2451958.35</v>
      </c>
      <c r="D99" s="76">
        <f>SUM(D97:D98)</f>
        <v>2387169.7841376</v>
      </c>
      <c r="E99" s="76">
        <f>SUM(E97:E98)</f>
        <v>2324307.402509936</v>
      </c>
      <c r="F99" s="76">
        <f>SUM(F97:F98)</f>
        <v>2263311.3649646607</v>
      </c>
      <c r="G99" s="76">
        <f>SUM(G97:G98)</f>
        <v>2204123.7178688226</v>
      </c>
    </row>
    <row r="100" spans="1:7" ht="12.75">
      <c r="A100" s="173" t="s">
        <v>97</v>
      </c>
      <c r="B100" s="174"/>
      <c r="C100" s="174"/>
      <c r="D100" s="174"/>
      <c r="E100" s="174"/>
      <c r="F100" s="174"/>
      <c r="G100" s="174"/>
    </row>
    <row r="101" spans="1:7" ht="12.75">
      <c r="A101" s="70" t="s">
        <v>102</v>
      </c>
      <c r="B101" s="46"/>
      <c r="C101" s="46">
        <f>F27</f>
        <v>2099250</v>
      </c>
      <c r="D101" s="46">
        <f>F28</f>
        <v>2032611.408</v>
      </c>
      <c r="E101" s="46">
        <f>F29</f>
        <v>1968088.1914644479</v>
      </c>
      <c r="F101" s="46">
        <f>F30</f>
        <v>1905613.1999146007</v>
      </c>
      <c r="G101" s="46">
        <f>F31</f>
        <v>1845121.4144965117</v>
      </c>
    </row>
    <row r="102" spans="1:7" ht="12.75">
      <c r="A102" s="70" t="s">
        <v>21</v>
      </c>
      <c r="B102" s="46"/>
      <c r="C102" s="250">
        <v>3000</v>
      </c>
      <c r="D102" s="46">
        <v>3000</v>
      </c>
      <c r="E102" s="46">
        <v>3000</v>
      </c>
      <c r="F102" s="46">
        <v>3000</v>
      </c>
      <c r="G102" s="46">
        <v>3000</v>
      </c>
    </row>
    <row r="103" spans="1:7" ht="12.75">
      <c r="A103" s="70" t="s">
        <v>24</v>
      </c>
      <c r="B103" s="46"/>
      <c r="C103" s="250">
        <v>1800</v>
      </c>
      <c r="D103" s="46">
        <v>1800</v>
      </c>
      <c r="E103" s="46">
        <v>1800</v>
      </c>
      <c r="F103" s="46">
        <v>1800</v>
      </c>
      <c r="G103" s="46">
        <v>1800</v>
      </c>
    </row>
    <row r="104" spans="1:7" ht="12.75">
      <c r="A104" s="71" t="s">
        <v>128</v>
      </c>
      <c r="B104" s="76"/>
      <c r="C104" s="76">
        <f>SUM(C101:C103)</f>
        <v>2104050</v>
      </c>
      <c r="D104" s="76">
        <f>SUM(D101:D103)</f>
        <v>2037411.408</v>
      </c>
      <c r="E104" s="76">
        <f>SUM(E101:E103)</f>
        <v>1972888.1914644479</v>
      </c>
      <c r="F104" s="76">
        <f>SUM(F101:F103)</f>
        <v>1910413.1999146007</v>
      </c>
      <c r="G104" s="76">
        <f>SUM(G101:G103)</f>
        <v>1849921.4144965117</v>
      </c>
    </row>
    <row r="105" spans="1:7" ht="12.75">
      <c r="A105" s="71" t="s">
        <v>129</v>
      </c>
      <c r="B105" s="76"/>
      <c r="C105" s="76">
        <f>B86</f>
        <v>49219.765399999975</v>
      </c>
      <c r="D105" s="76">
        <f aca="true" t="shared" si="4" ref="C105:G108">C86</f>
        <v>35838.33911174396</v>
      </c>
      <c r="E105" s="76">
        <f t="shared" si="4"/>
        <v>22676.31187158241</v>
      </c>
      <c r="F105" s="76">
        <f t="shared" si="4"/>
        <v>12597.980358332454</v>
      </c>
      <c r="G105" s="76">
        <f t="shared" si="4"/>
        <v>-178.32901414681692</v>
      </c>
    </row>
    <row r="106" spans="1:7" ht="12.75">
      <c r="A106" s="70" t="s">
        <v>22</v>
      </c>
      <c r="B106" s="46"/>
      <c r="C106" s="46">
        <f>B87</f>
        <v>7382.964809999996</v>
      </c>
      <c r="D106" s="46">
        <f t="shared" si="4"/>
        <v>5375.750866761594</v>
      </c>
      <c r="E106" s="46">
        <f t="shared" si="4"/>
        <v>3401.446780737361</v>
      </c>
      <c r="F106" s="46">
        <f t="shared" si="4"/>
        <v>1889.697053749868</v>
      </c>
      <c r="G106" s="46">
        <f t="shared" si="4"/>
        <v>-26.749352122022536</v>
      </c>
    </row>
    <row r="107" spans="1:7" ht="12.75">
      <c r="A107" s="71" t="s">
        <v>130</v>
      </c>
      <c r="B107" s="76"/>
      <c r="C107" s="76">
        <f>B88</f>
        <v>41836.80058999998</v>
      </c>
      <c r="D107" s="76">
        <f t="shared" si="4"/>
        <v>30462.588244982366</v>
      </c>
      <c r="E107" s="76">
        <f t="shared" si="4"/>
        <v>19274.865090845047</v>
      </c>
      <c r="F107" s="76">
        <f t="shared" si="4"/>
        <v>10708.283304582586</v>
      </c>
      <c r="G107" s="76">
        <f t="shared" si="4"/>
        <v>-151.57966202479437</v>
      </c>
    </row>
    <row r="108" spans="1:11" ht="12.75">
      <c r="A108" s="70" t="s">
        <v>23</v>
      </c>
      <c r="B108" s="46"/>
      <c r="C108" s="46">
        <f>B89</f>
        <v>10459.200147499994</v>
      </c>
      <c r="D108" s="46">
        <f t="shared" si="4"/>
        <v>7615.647061245591</v>
      </c>
      <c r="E108" s="46">
        <f t="shared" si="4"/>
        <v>4818.716272711262</v>
      </c>
      <c r="F108" s="46">
        <f t="shared" si="4"/>
        <v>2677.0708261456466</v>
      </c>
      <c r="G108" s="46">
        <f t="shared" si="4"/>
        <v>-37.89491550619859</v>
      </c>
      <c r="I108" s="313">
        <v>-110906.24511731765</v>
      </c>
      <c r="J108" s="312">
        <v>0.067</v>
      </c>
      <c r="K108" s="233" t="s">
        <v>245</v>
      </c>
    </row>
    <row r="109" spans="1:11" ht="12.75">
      <c r="A109" s="71" t="s">
        <v>131</v>
      </c>
      <c r="B109" s="76"/>
      <c r="C109" s="76">
        <f>C107-C108</f>
        <v>31377.600442499985</v>
      </c>
      <c r="D109" s="76">
        <f>D107-D108</f>
        <v>22846.941183736773</v>
      </c>
      <c r="E109" s="76">
        <f>E107-E108</f>
        <v>14456.148818133785</v>
      </c>
      <c r="F109" s="76">
        <f>F107-F108</f>
        <v>8031.21247843694</v>
      </c>
      <c r="G109" s="76">
        <f>G107-G108</f>
        <v>-113.68474651859577</v>
      </c>
      <c r="I109" s="313">
        <v>-68956.66542057996</v>
      </c>
      <c r="J109" s="312">
        <v>0.07884</v>
      </c>
      <c r="K109" s="233" t="s">
        <v>243</v>
      </c>
    </row>
    <row r="110" spans="1:10" ht="12.75">
      <c r="A110" s="77" t="s">
        <v>185</v>
      </c>
      <c r="B110" s="46"/>
      <c r="C110" s="46">
        <v>13673.5136</v>
      </c>
      <c r="D110" s="46">
        <v>13673.5136</v>
      </c>
      <c r="E110" s="46">
        <v>13673.5136</v>
      </c>
      <c r="F110" s="46">
        <v>10791.5136</v>
      </c>
      <c r="G110" s="46">
        <v>10791.5136</v>
      </c>
      <c r="I110" s="330">
        <v>255511.30804013787</v>
      </c>
      <c r="J110" s="331">
        <v>0.15834</v>
      </c>
    </row>
    <row r="111" spans="1:11" ht="12.75">
      <c r="A111" s="70" t="s">
        <v>132</v>
      </c>
      <c r="B111" s="46"/>
      <c r="C111" s="46">
        <v>572</v>
      </c>
      <c r="D111" s="46">
        <v>572</v>
      </c>
      <c r="E111" s="46">
        <v>572</v>
      </c>
      <c r="F111" s="46">
        <v>572</v>
      </c>
      <c r="G111" s="46">
        <v>572</v>
      </c>
      <c r="I111" s="313">
        <v>297690.7451104983</v>
      </c>
      <c r="J111" s="317">
        <v>0.1674</v>
      </c>
      <c r="K111" s="233" t="s">
        <v>244</v>
      </c>
    </row>
    <row r="112" spans="1:11" ht="12.75">
      <c r="A112" s="77" t="s">
        <v>133</v>
      </c>
      <c r="B112" s="46"/>
      <c r="C112" s="46"/>
      <c r="D112" s="46"/>
      <c r="E112" s="46"/>
      <c r="F112" s="46"/>
      <c r="G112" s="46">
        <v>36177.568</v>
      </c>
      <c r="I112" s="313">
        <v>340536.10975584807</v>
      </c>
      <c r="J112" s="317">
        <v>0.176425</v>
      </c>
      <c r="K112" s="233" t="s">
        <v>246</v>
      </c>
    </row>
    <row r="113" spans="1:7" ht="25.5">
      <c r="A113" s="218" t="s">
        <v>229</v>
      </c>
      <c r="B113" s="46">
        <v>-1500000</v>
      </c>
      <c r="C113" s="46"/>
      <c r="D113" s="46"/>
      <c r="E113" s="46"/>
      <c r="F113" s="46"/>
      <c r="G113" s="46"/>
    </row>
    <row r="114" spans="1:7" ht="12.75">
      <c r="A114" s="173" t="s">
        <v>110</v>
      </c>
      <c r="B114" s="175">
        <f>B113</f>
        <v>-1500000</v>
      </c>
      <c r="C114" s="175">
        <f>C99-C104+C109+C110+C111+C113</f>
        <v>393531.46404250007</v>
      </c>
      <c r="D114" s="175">
        <f>D99-D104+D109+D110+D111+D113</f>
        <v>386850.83092133683</v>
      </c>
      <c r="E114" s="175">
        <f>E99-E104+E109+E110+E111+E113</f>
        <v>380120.87346362206</v>
      </c>
      <c r="F114" s="175">
        <f>F99-F104+F109+F110+F111+F113</f>
        <v>372292.89112849697</v>
      </c>
      <c r="G114" s="175">
        <f>G99-G104+G109+G110+G111+G113-G112</f>
        <v>329274.5642257923</v>
      </c>
    </row>
    <row r="115" spans="1:7" ht="12.75">
      <c r="A115" s="178" t="s">
        <v>98</v>
      </c>
      <c r="B115" s="179">
        <f>B124</f>
        <v>-68956.59842057992</v>
      </c>
      <c r="C115" s="5"/>
      <c r="D115" s="5"/>
      <c r="E115" s="5"/>
      <c r="F115" s="5"/>
      <c r="G115" s="5"/>
    </row>
    <row r="116" spans="1:7" ht="12.75">
      <c r="A116" s="178" t="s">
        <v>99</v>
      </c>
      <c r="B116" s="337">
        <f>IRR(B114:G114)</f>
        <v>0.07884170171460812</v>
      </c>
      <c r="C116" s="5"/>
      <c r="D116" s="5"/>
      <c r="E116" s="5"/>
      <c r="F116" s="5"/>
      <c r="G116" s="5"/>
    </row>
    <row r="118" ht="13.5" thickBot="1"/>
    <row r="119" spans="1:7" ht="12.75">
      <c r="A119" s="293" t="s">
        <v>114</v>
      </c>
      <c r="B119" s="294"/>
      <c r="C119" s="294"/>
      <c r="D119" s="294"/>
      <c r="E119" s="294"/>
      <c r="F119" s="294"/>
      <c r="G119" s="295"/>
    </row>
    <row r="120" spans="1:7" ht="12.75">
      <c r="A120" s="70" t="s">
        <v>115</v>
      </c>
      <c r="B120" s="170">
        <v>0.0974</v>
      </c>
      <c r="C120" s="70"/>
      <c r="D120" s="70"/>
      <c r="E120" s="70"/>
      <c r="F120" s="70"/>
      <c r="G120" s="70"/>
    </row>
    <row r="121" spans="1:7" ht="12.75">
      <c r="A121" s="70" t="s">
        <v>116</v>
      </c>
      <c r="B121" s="71">
        <v>0</v>
      </c>
      <c r="C121" s="71">
        <v>1</v>
      </c>
      <c r="D121" s="71">
        <v>2</v>
      </c>
      <c r="E121" s="71">
        <v>3</v>
      </c>
      <c r="F121" s="71">
        <v>4</v>
      </c>
      <c r="G121" s="71">
        <v>5</v>
      </c>
    </row>
    <row r="122" spans="1:7" ht="12.75">
      <c r="A122" s="70" t="s">
        <v>117</v>
      </c>
      <c r="B122" s="46">
        <f aca="true" t="shared" si="5" ref="B122:G122">B114</f>
        <v>-1500000</v>
      </c>
      <c r="C122" s="46">
        <f t="shared" si="5"/>
        <v>393531.46404250007</v>
      </c>
      <c r="D122" s="46">
        <f t="shared" si="5"/>
        <v>386850.83092133683</v>
      </c>
      <c r="E122" s="46">
        <f t="shared" si="5"/>
        <v>380120.87346362206</v>
      </c>
      <c r="F122" s="46">
        <f t="shared" si="5"/>
        <v>372292.89112849697</v>
      </c>
      <c r="G122" s="46">
        <f t="shared" si="5"/>
        <v>329274.5642257923</v>
      </c>
    </row>
    <row r="123" spans="1:7" ht="12.75">
      <c r="A123" s="71" t="s">
        <v>118</v>
      </c>
      <c r="B123" s="76">
        <f>(B122)/(1+$B$29)^B121</f>
        <v>-1500000</v>
      </c>
      <c r="C123" s="76">
        <f>(C122)/(1+$B$120)^C121</f>
        <v>358603.48463869153</v>
      </c>
      <c r="D123" s="76">
        <f>(D122)/(1+$B$120)^D121</f>
        <v>321228.1690461638</v>
      </c>
      <c r="E123" s="76">
        <f>(E122)/(1+$B$120)^E121</f>
        <v>287625.1452275277</v>
      </c>
      <c r="F123" s="76">
        <f>(F122)/(1+$B$120)^F121</f>
        <v>256699.4393106859</v>
      </c>
      <c r="G123" s="76">
        <f>(G122)/(1+$B$120)^G121</f>
        <v>206887.09635635116</v>
      </c>
    </row>
    <row r="124" spans="1:7" ht="12.75">
      <c r="A124" s="171" t="s">
        <v>98</v>
      </c>
      <c r="B124" s="172">
        <f>C123+D123+E123+F123+G123+H123+J108+J123+K123+L123+B123</f>
        <v>-68956.59842057992</v>
      </c>
      <c r="C124" s="46"/>
      <c r="D124" s="46"/>
      <c r="E124" s="46"/>
      <c r="F124" s="46"/>
      <c r="G124" s="46"/>
    </row>
    <row r="136" spans="1:2" ht="12.75">
      <c r="A136" s="19" t="s">
        <v>3</v>
      </c>
      <c r="B136" s="19"/>
    </row>
    <row r="137" spans="1:2" ht="12.75">
      <c r="A137" s="20"/>
      <c r="B137" s="20"/>
    </row>
    <row r="138" spans="1:2" ht="12.75">
      <c r="A138" s="20" t="s">
        <v>3</v>
      </c>
      <c r="B138" s="20"/>
    </row>
    <row r="139" spans="1:2" ht="12.75">
      <c r="A139" s="20"/>
      <c r="B139" s="20"/>
    </row>
    <row r="140" spans="1:2" ht="12.75">
      <c r="A140" s="20" t="s">
        <v>3</v>
      </c>
      <c r="B140" s="20"/>
    </row>
    <row r="141" spans="1:2" ht="12.75">
      <c r="A141" s="20" t="s">
        <v>3</v>
      </c>
      <c r="B141" s="20"/>
    </row>
  </sheetData>
  <sheetProtection/>
  <mergeCells count="9">
    <mergeCell ref="A61:G61"/>
    <mergeCell ref="A94:G94"/>
    <mergeCell ref="A119:G119"/>
    <mergeCell ref="B24:B26"/>
    <mergeCell ref="A57:H57"/>
    <mergeCell ref="A3:C3"/>
    <mergeCell ref="A18:F18"/>
    <mergeCell ref="C24:C26"/>
    <mergeCell ref="A60:G60"/>
  </mergeCells>
  <printOptions/>
  <pageMargins left="0.75" right="0.75" top="1" bottom="1" header="0" footer="0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V141"/>
  <sheetViews>
    <sheetView zoomScalePageLayoutView="0" workbookViewId="0" topLeftCell="A79">
      <selection activeCell="B116" sqref="B116"/>
    </sheetView>
  </sheetViews>
  <sheetFormatPr defaultColWidth="11.421875" defaultRowHeight="12.75"/>
  <cols>
    <col min="1" max="1" width="31.140625" style="0" customWidth="1"/>
    <col min="2" max="2" width="17.7109375" style="0" customWidth="1"/>
    <col min="3" max="3" width="12.57421875" style="0" customWidth="1"/>
    <col min="4" max="4" width="13.140625" style="0" customWidth="1"/>
    <col min="5" max="5" width="14.7109375" style="0" customWidth="1"/>
    <col min="6" max="6" width="12.00390625" style="0" customWidth="1"/>
    <col min="7" max="7" width="12.421875" style="0" customWidth="1"/>
    <col min="8" max="8" width="11.7109375" style="0" bestFit="1" customWidth="1"/>
    <col min="9" max="9" width="13.8515625" style="0" customWidth="1"/>
    <col min="10" max="10" width="15.57421875" style="0" customWidth="1"/>
    <col min="11" max="11" width="13.00390625" style="0" customWidth="1"/>
    <col min="12" max="12" width="12.140625" style="0" customWidth="1"/>
    <col min="13" max="13" width="11.7109375" style="0" bestFit="1" customWidth="1"/>
    <col min="14" max="14" width="11.7109375" style="0" customWidth="1"/>
    <col min="15" max="15" width="11.7109375" style="0" bestFit="1" customWidth="1"/>
  </cols>
  <sheetData>
    <row r="2" spans="1:7" ht="15" thickBot="1">
      <c r="A2" s="8" t="s">
        <v>3</v>
      </c>
      <c r="B2" s="8"/>
      <c r="C2" s="8"/>
      <c r="D2" s="26"/>
      <c r="E2" s="26"/>
      <c r="F2" s="26"/>
      <c r="G2" s="8"/>
    </row>
    <row r="3" spans="1:6" ht="12.75">
      <c r="A3" s="280" t="s">
        <v>65</v>
      </c>
      <c r="B3" s="281"/>
      <c r="C3" s="282"/>
      <c r="D3" s="27"/>
      <c r="E3" s="27"/>
      <c r="F3" s="27"/>
    </row>
    <row r="4" spans="1:6" s="185" customFormat="1" ht="14.25">
      <c r="A4" s="231" t="s">
        <v>186</v>
      </c>
      <c r="B4" s="193"/>
      <c r="C4" s="194">
        <v>8000</v>
      </c>
      <c r="D4" s="27"/>
      <c r="E4" s="27"/>
      <c r="F4" s="27"/>
    </row>
    <row r="5" spans="1:3" ht="12.75" customHeight="1">
      <c r="A5" s="28" t="s">
        <v>187</v>
      </c>
      <c r="B5" s="24"/>
      <c r="C5" s="29">
        <v>22000</v>
      </c>
    </row>
    <row r="6" spans="1:3" ht="13.5" customHeight="1">
      <c r="A6" s="186" t="s">
        <v>190</v>
      </c>
      <c r="B6" s="25"/>
      <c r="C6" s="30">
        <v>36671.22</v>
      </c>
    </row>
    <row r="7" spans="1:3" ht="14.25">
      <c r="A7" s="31" t="s">
        <v>189</v>
      </c>
      <c r="B7" s="22"/>
      <c r="C7" s="32"/>
    </row>
    <row r="8" spans="1:3" ht="14.25">
      <c r="A8" s="28" t="s">
        <v>188</v>
      </c>
      <c r="B8" s="24"/>
      <c r="C8" s="29">
        <v>36780</v>
      </c>
    </row>
    <row r="9" spans="1:3" ht="13.5" thickBot="1">
      <c r="A9" s="33" t="s">
        <v>15</v>
      </c>
      <c r="B9" s="88"/>
      <c r="C9" s="34">
        <f>C5+C6+C8</f>
        <v>95451.22</v>
      </c>
    </row>
    <row r="10" spans="1:2" ht="12.75">
      <c r="A10" s="20"/>
      <c r="B10" s="20"/>
    </row>
    <row r="11" spans="1:22" ht="14.25">
      <c r="A11" s="8" t="s">
        <v>183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5" thickBo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5" ht="13.5" thickBot="1">
      <c r="A13" s="35" t="s">
        <v>66</v>
      </c>
      <c r="B13" s="89"/>
      <c r="C13" s="187">
        <v>1500000</v>
      </c>
      <c r="E13" s="5"/>
    </row>
    <row r="14" spans="1:5" ht="13.5" thickBot="1">
      <c r="A14" s="20"/>
      <c r="B14" s="20"/>
      <c r="C14" s="17"/>
      <c r="D14" s="23"/>
      <c r="E14" s="5"/>
    </row>
    <row r="15" spans="1:7" ht="13.5" thickBot="1">
      <c r="A15" s="20"/>
      <c r="B15" s="20"/>
      <c r="E15" s="5"/>
      <c r="F15" s="328">
        <v>0.026</v>
      </c>
      <c r="G15" s="233" t="s">
        <v>242</v>
      </c>
    </row>
    <row r="16" spans="1:4" ht="18">
      <c r="A16" s="180" t="s">
        <v>230</v>
      </c>
      <c r="B16" s="10"/>
      <c r="C16" s="10"/>
      <c r="D16" s="10"/>
    </row>
    <row r="17" spans="1:3" ht="15.75" thickBot="1">
      <c r="A17" s="9"/>
      <c r="B17" s="9"/>
      <c r="C17" s="10"/>
    </row>
    <row r="18" spans="1:6" ht="13.5" thickBot="1">
      <c r="A18" s="283" t="s">
        <v>68</v>
      </c>
      <c r="B18" s="284"/>
      <c r="C18" s="284"/>
      <c r="D18" s="284"/>
      <c r="E18" s="284"/>
      <c r="F18" s="285"/>
    </row>
    <row r="19" spans="1:9" ht="14.25">
      <c r="A19" s="37" t="s">
        <v>0</v>
      </c>
      <c r="B19" s="38"/>
      <c r="C19" s="38"/>
      <c r="D19" s="38"/>
      <c r="E19" s="38"/>
      <c r="F19" s="39">
        <v>450</v>
      </c>
      <c r="G19" s="1" t="s">
        <v>3</v>
      </c>
      <c r="H19" s="329">
        <f>0.026-0.01</f>
        <v>0.016</v>
      </c>
      <c r="I19" s="306"/>
    </row>
    <row r="20" spans="1:9" ht="14.25">
      <c r="A20" s="40" t="s">
        <v>4</v>
      </c>
      <c r="B20" s="36"/>
      <c r="C20" s="36"/>
      <c r="D20" s="36"/>
      <c r="E20" s="36"/>
      <c r="F20" s="257">
        <v>0.006</v>
      </c>
      <c r="G20" s="2" t="s">
        <v>3</v>
      </c>
      <c r="H20" s="329">
        <f>0.026-0.02</f>
        <v>0.005999999999999998</v>
      </c>
      <c r="I20" s="306"/>
    </row>
    <row r="21" spans="1:7" ht="14.25">
      <c r="A21" s="40" t="s">
        <v>1</v>
      </c>
      <c r="B21" s="36"/>
      <c r="C21" s="36"/>
      <c r="D21" s="36"/>
      <c r="E21" s="36"/>
      <c r="F21" s="42" t="s">
        <v>2</v>
      </c>
      <c r="G21" s="3" t="s">
        <v>3</v>
      </c>
    </row>
    <row r="22" spans="1:7" ht="15.75" thickBot="1">
      <c r="A22" s="43" t="s">
        <v>67</v>
      </c>
      <c r="B22" s="44"/>
      <c r="C22" s="44"/>
      <c r="D22" s="44"/>
      <c r="E22" s="44"/>
      <c r="F22" s="45">
        <v>0.006</v>
      </c>
      <c r="G22" s="2" t="s">
        <v>3</v>
      </c>
    </row>
    <row r="23" ht="12.75">
      <c r="G23" s="2" t="s">
        <v>3</v>
      </c>
    </row>
    <row r="24" spans="1:9" ht="12.75">
      <c r="A24" s="53"/>
      <c r="B24" s="286" t="s">
        <v>92</v>
      </c>
      <c r="C24" s="286" t="s">
        <v>91</v>
      </c>
      <c r="D24" s="54" t="s">
        <v>93</v>
      </c>
      <c r="E24" s="55" t="s">
        <v>94</v>
      </c>
      <c r="F24" s="54" t="s">
        <v>8</v>
      </c>
      <c r="G24" s="56"/>
      <c r="H24" s="57">
        <v>0.02</v>
      </c>
      <c r="I24" s="58"/>
    </row>
    <row r="25" spans="1:9" ht="12.75">
      <c r="A25" s="59" t="s">
        <v>3</v>
      </c>
      <c r="B25" s="287"/>
      <c r="C25" s="287"/>
      <c r="D25" s="60" t="s">
        <v>17</v>
      </c>
      <c r="E25" s="61" t="s">
        <v>95</v>
      </c>
      <c r="F25" s="60" t="s">
        <v>9</v>
      </c>
      <c r="G25" s="61" t="s">
        <v>13</v>
      </c>
      <c r="H25" s="60" t="s">
        <v>56</v>
      </c>
      <c r="I25" s="62" t="s">
        <v>61</v>
      </c>
    </row>
    <row r="26" spans="1:9" ht="12.75">
      <c r="A26" s="63" t="s">
        <v>5</v>
      </c>
      <c r="B26" s="288"/>
      <c r="C26" s="288"/>
      <c r="D26" s="64" t="s">
        <v>6</v>
      </c>
      <c r="E26" s="65" t="s">
        <v>7</v>
      </c>
      <c r="F26" s="64" t="s">
        <v>10</v>
      </c>
      <c r="G26" s="65" t="s">
        <v>17</v>
      </c>
      <c r="H26" s="64" t="s">
        <v>57</v>
      </c>
      <c r="I26" s="66" t="s">
        <v>62</v>
      </c>
    </row>
    <row r="27" spans="1:9" s="51" customFormat="1" ht="12">
      <c r="A27" s="47">
        <v>2009</v>
      </c>
      <c r="B27" s="210">
        <v>933</v>
      </c>
      <c r="C27" s="47">
        <v>5</v>
      </c>
      <c r="D27" s="49">
        <v>450</v>
      </c>
      <c r="E27" s="49">
        <f>D27*C27</f>
        <v>2250</v>
      </c>
      <c r="F27" s="49">
        <f>B27*E27</f>
        <v>2099250</v>
      </c>
      <c r="G27" s="50">
        <f>F27*0.18</f>
        <v>377865</v>
      </c>
      <c r="H27" s="50">
        <f>F27*2/100</f>
        <v>41985</v>
      </c>
      <c r="I27" s="50">
        <f>(F27*0.1178)*0.06</f>
        <v>14837.499</v>
      </c>
    </row>
    <row r="28" spans="1:9" s="51" customFormat="1" ht="12">
      <c r="A28" s="47">
        <v>2010</v>
      </c>
      <c r="B28" s="211">
        <f>B27-(B27*F20)</f>
        <v>927.402</v>
      </c>
      <c r="C28" s="52">
        <v>5</v>
      </c>
      <c r="D28" s="49">
        <f>D27-(D27*$F$20)</f>
        <v>447.3</v>
      </c>
      <c r="E28" s="49">
        <f>D28*C28</f>
        <v>2236.5</v>
      </c>
      <c r="F28" s="49">
        <f>(E28*B28)</f>
        <v>2074134.573</v>
      </c>
      <c r="G28" s="50">
        <f>F28*0.18</f>
        <v>373344.22314</v>
      </c>
      <c r="H28" s="50">
        <f>F28*2/100</f>
        <v>41482.69146</v>
      </c>
      <c r="I28" s="50">
        <f>(F28*0.1178)*0.06</f>
        <v>14659.983161964</v>
      </c>
    </row>
    <row r="29" spans="1:9" s="51" customFormat="1" ht="12">
      <c r="A29" s="47">
        <v>2011</v>
      </c>
      <c r="B29" s="211">
        <f>B28-(B28*$F$20)</f>
        <v>921.8375880000001</v>
      </c>
      <c r="C29" s="52">
        <v>5</v>
      </c>
      <c r="D29" s="49">
        <f>D28-(D28*$F$20)</f>
        <v>444.6162</v>
      </c>
      <c r="E29" s="49">
        <f>D29*C29</f>
        <v>2223.081</v>
      </c>
      <c r="F29" s="49">
        <f>(E29*B29)</f>
        <v>2049319.6269686283</v>
      </c>
      <c r="G29" s="50">
        <f>F29*0.18</f>
        <v>368877.5328543531</v>
      </c>
      <c r="H29" s="50">
        <f>F29*2/100</f>
        <v>40986.392539372566</v>
      </c>
      <c r="I29" s="50">
        <f>(F29*0.1178)*0.06</f>
        <v>14484.591123414264</v>
      </c>
    </row>
    <row r="30" spans="1:9" s="51" customFormat="1" ht="12">
      <c r="A30" s="47">
        <v>2012</v>
      </c>
      <c r="B30" s="211">
        <f>B29-(B29*$F$20)</f>
        <v>916.3065624720001</v>
      </c>
      <c r="C30" s="52">
        <v>5</v>
      </c>
      <c r="D30" s="49">
        <f>D29-(D29*$F$20)</f>
        <v>441.94850279999997</v>
      </c>
      <c r="E30" s="49">
        <f>D30*C30</f>
        <v>2209.742514</v>
      </c>
      <c r="F30" s="49">
        <f>(E30*B30)</f>
        <v>2024801.5669515757</v>
      </c>
      <c r="G30" s="50">
        <f>F30*0.18</f>
        <v>364464.28205128363</v>
      </c>
      <c r="H30" s="50">
        <f>F30*2/100</f>
        <v>40496.03133903151</v>
      </c>
      <c r="I30" s="50">
        <f>(F30*0.1178)*0.06</f>
        <v>14311.297475213738</v>
      </c>
    </row>
    <row r="31" spans="1:9" s="51" customFormat="1" ht="12">
      <c r="A31" s="47">
        <v>2013</v>
      </c>
      <c r="B31" s="211">
        <f>B30-(B30*$F$20)</f>
        <v>910.8087230971681</v>
      </c>
      <c r="C31" s="52">
        <v>5</v>
      </c>
      <c r="D31" s="49">
        <f>D30-(D30*$F$20)</f>
        <v>439.2968117832</v>
      </c>
      <c r="E31" s="49">
        <f>D31*C31</f>
        <v>2196.484058916</v>
      </c>
      <c r="F31" s="49">
        <f>(E31*B31)</f>
        <v>2000576.8410045668</v>
      </c>
      <c r="G31" s="50">
        <f>F31*0.18</f>
        <v>360103.831380822</v>
      </c>
      <c r="H31" s="50">
        <f>F31*2/100</f>
        <v>40011.536820091336</v>
      </c>
      <c r="I31" s="50">
        <f>(F31*0.1178)*0.06</f>
        <v>14140.077112220279</v>
      </c>
    </row>
    <row r="32" spans="1:9" s="51" customFormat="1" ht="12">
      <c r="A32" s="67" t="s">
        <v>69</v>
      </c>
      <c r="B32" s="68"/>
      <c r="C32" s="69"/>
      <c r="D32" s="68"/>
      <c r="E32" s="68"/>
      <c r="F32" s="83">
        <f>SUM(F27:F31)</f>
        <v>10248082.60792477</v>
      </c>
      <c r="G32" s="83">
        <f>SUM(G27:G31)</f>
        <v>1844654.8694264586</v>
      </c>
      <c r="H32" s="83">
        <f>SUM(H27:H31)</f>
        <v>204961.65215849542</v>
      </c>
      <c r="I32" s="83">
        <f>SUM(I27:I31)</f>
        <v>72433.44787281228</v>
      </c>
    </row>
    <row r="33" spans="4:8" ht="12.75">
      <c r="D33" s="4"/>
      <c r="G33" s="5"/>
      <c r="H33" s="5"/>
    </row>
    <row r="34" spans="1:8" ht="14.25">
      <c r="A34" s="7" t="s">
        <v>18</v>
      </c>
      <c r="B34" s="7"/>
      <c r="C34" s="7"/>
      <c r="D34" s="11"/>
      <c r="E34" s="7"/>
      <c r="F34" s="7"/>
      <c r="G34" s="12"/>
      <c r="H34" s="12"/>
    </row>
    <row r="35" spans="1:8" ht="14.25">
      <c r="A35" s="7" t="s">
        <v>103</v>
      </c>
      <c r="B35" s="7"/>
      <c r="C35" s="7"/>
      <c r="D35" s="11"/>
      <c r="E35" s="7"/>
      <c r="F35" s="7"/>
      <c r="G35" s="12"/>
      <c r="H35" s="12"/>
    </row>
    <row r="36" spans="1:8" ht="14.25">
      <c r="A36" s="7" t="s">
        <v>59</v>
      </c>
      <c r="B36" s="7"/>
      <c r="C36" s="7"/>
      <c r="D36" s="11"/>
      <c r="E36" s="7"/>
      <c r="F36" s="7"/>
      <c r="G36" s="12"/>
      <c r="H36" s="12"/>
    </row>
    <row r="37" spans="1:8" ht="15">
      <c r="A37" s="8" t="s">
        <v>184</v>
      </c>
      <c r="B37" s="7"/>
      <c r="C37" s="7"/>
      <c r="D37" s="11"/>
      <c r="E37" s="7"/>
      <c r="F37" s="7"/>
      <c r="G37" s="235"/>
      <c r="H37" s="235"/>
    </row>
    <row r="38" spans="1:8" ht="14.25">
      <c r="A38" s="7" t="s">
        <v>58</v>
      </c>
      <c r="B38" s="7"/>
      <c r="C38" s="7"/>
      <c r="D38" s="11"/>
      <c r="E38" s="7"/>
      <c r="F38" s="7"/>
      <c r="G38" s="12"/>
      <c r="H38" s="12"/>
    </row>
    <row r="39" spans="1:8" ht="14.25">
      <c r="A39" s="7"/>
      <c r="B39" s="7"/>
      <c r="C39" s="7"/>
      <c r="D39" s="11"/>
      <c r="E39" s="7"/>
      <c r="F39" s="7"/>
      <c r="G39" s="12"/>
      <c r="H39" s="12"/>
    </row>
    <row r="41" spans="1:4" ht="18">
      <c r="A41" s="180" t="s">
        <v>11</v>
      </c>
      <c r="B41" s="10"/>
      <c r="C41" s="10"/>
      <c r="D41" s="10"/>
    </row>
    <row r="43" spans="1:8" ht="14.25">
      <c r="A43" s="7" t="s">
        <v>16</v>
      </c>
      <c r="B43" s="7"/>
      <c r="C43" s="7"/>
      <c r="D43" s="7"/>
      <c r="E43" s="7"/>
      <c r="F43" s="7"/>
      <c r="G43" s="7"/>
      <c r="H43" s="7"/>
    </row>
    <row r="44" spans="1:8" ht="14.25">
      <c r="A44" s="7" t="s">
        <v>113</v>
      </c>
      <c r="B44" s="7"/>
      <c r="C44" s="7"/>
      <c r="D44" s="7"/>
      <c r="E44" s="327">
        <v>0.02</v>
      </c>
      <c r="F44" s="7"/>
      <c r="G44" s="7"/>
      <c r="H44" s="7"/>
    </row>
    <row r="45" spans="1:6" ht="14.25">
      <c r="A45" s="7" t="s">
        <v>63</v>
      </c>
      <c r="B45" s="7"/>
      <c r="C45" s="7" t="s">
        <v>3</v>
      </c>
      <c r="D45" s="7"/>
      <c r="E45" s="7"/>
      <c r="F45" s="7"/>
    </row>
    <row r="47" spans="1:4" ht="12.75">
      <c r="A47" s="72" t="s">
        <v>5</v>
      </c>
      <c r="B47" s="72" t="s">
        <v>12</v>
      </c>
      <c r="C47" s="72" t="s">
        <v>14</v>
      </c>
      <c r="D47" s="72" t="s">
        <v>13</v>
      </c>
    </row>
    <row r="48" spans="1:4" s="51" customFormat="1" ht="12">
      <c r="A48" s="47">
        <v>2009</v>
      </c>
      <c r="B48" s="49">
        <v>600000</v>
      </c>
      <c r="C48" s="326">
        <v>0.06</v>
      </c>
      <c r="D48" s="49">
        <f>B48*0.06</f>
        <v>36000</v>
      </c>
    </row>
    <row r="49" spans="1:4" s="51" customFormat="1" ht="12">
      <c r="A49" s="47">
        <v>2010</v>
      </c>
      <c r="B49" s="49">
        <f>B48-(B48*$E$44)</f>
        <v>588000</v>
      </c>
      <c r="C49" s="326">
        <v>0.06</v>
      </c>
      <c r="D49" s="49">
        <f>B49*0.06</f>
        <v>35280</v>
      </c>
    </row>
    <row r="50" spans="1:4" s="51" customFormat="1" ht="12">
      <c r="A50" s="47">
        <v>2011</v>
      </c>
      <c r="B50" s="49">
        <f>B49-(B49*$E$44)</f>
        <v>576240</v>
      </c>
      <c r="C50" s="326">
        <v>0.06</v>
      </c>
      <c r="D50" s="49">
        <f>B50*0.06</f>
        <v>34574.4</v>
      </c>
    </row>
    <row r="51" spans="1:4" s="51" customFormat="1" ht="12">
      <c r="A51" s="47">
        <v>2012</v>
      </c>
      <c r="B51" s="49">
        <f>B50-(B50*$E$44)</f>
        <v>564715.2</v>
      </c>
      <c r="C51" s="326">
        <v>0.06</v>
      </c>
      <c r="D51" s="49">
        <f>B51*0.06</f>
        <v>33882.912</v>
      </c>
    </row>
    <row r="52" spans="1:5" s="51" customFormat="1" ht="12">
      <c r="A52" s="47">
        <v>2013</v>
      </c>
      <c r="B52" s="49">
        <f>B51-(B51*$E$44)</f>
        <v>553420.896</v>
      </c>
      <c r="C52" s="326">
        <v>0.06</v>
      </c>
      <c r="D52" s="49">
        <f>B52*0.06</f>
        <v>33205.25375999999</v>
      </c>
      <c r="E52" s="51" t="s">
        <v>228</v>
      </c>
    </row>
    <row r="53" spans="1:4" s="51" customFormat="1" ht="12">
      <c r="A53" s="73" t="s">
        <v>15</v>
      </c>
      <c r="B53" s="74">
        <f>SUM(B48:B52)</f>
        <v>2882376.096</v>
      </c>
      <c r="C53" s="75"/>
      <c r="D53" s="74">
        <f>SUM(D48:D52)</f>
        <v>172942.56575999997</v>
      </c>
    </row>
    <row r="54" spans="3:5" ht="12.75">
      <c r="C54" s="6"/>
      <c r="E54" s="6"/>
    </row>
    <row r="55" spans="1:5" ht="12.75">
      <c r="A55" s="16"/>
      <c r="B55" s="16"/>
      <c r="C55" s="16"/>
      <c r="D55" s="16"/>
      <c r="E55" s="16"/>
    </row>
    <row r="56" ht="12.75">
      <c r="D56" s="14"/>
    </row>
    <row r="57" spans="1:8" ht="19.5">
      <c r="A57" s="279" t="s">
        <v>64</v>
      </c>
      <c r="B57" s="279"/>
      <c r="C57" s="279"/>
      <c r="D57" s="279"/>
      <c r="E57" s="279"/>
      <c r="F57" s="279"/>
      <c r="G57" s="279"/>
      <c r="H57" s="279"/>
    </row>
    <row r="58" spans="1:8" ht="19.5">
      <c r="A58" s="184"/>
      <c r="B58" s="184"/>
      <c r="C58" s="184"/>
      <c r="D58" s="184"/>
      <c r="E58" s="184"/>
      <c r="F58" s="184"/>
      <c r="G58" s="184"/>
      <c r="H58" s="184"/>
    </row>
    <row r="59" spans="9:14" ht="13.5" thickBot="1">
      <c r="I59" s="16"/>
      <c r="J59" s="81"/>
      <c r="K59" s="81"/>
      <c r="L59" s="81"/>
      <c r="M59" s="81"/>
      <c r="N59" s="81"/>
    </row>
    <row r="60" spans="1:14" ht="18">
      <c r="A60" s="289" t="s">
        <v>70</v>
      </c>
      <c r="B60" s="290"/>
      <c r="C60" s="290"/>
      <c r="D60" s="290"/>
      <c r="E60" s="290"/>
      <c r="F60" s="290"/>
      <c r="G60" s="291"/>
      <c r="H60" s="188"/>
      <c r="I60" s="16"/>
      <c r="J60" s="81"/>
      <c r="K60" s="81"/>
      <c r="L60" s="81"/>
      <c r="M60" s="81"/>
      <c r="N60" s="81"/>
    </row>
    <row r="61" spans="1:14" ht="12.75">
      <c r="A61" s="276" t="s">
        <v>77</v>
      </c>
      <c r="B61" s="277"/>
      <c r="C61" s="277"/>
      <c r="D61" s="277"/>
      <c r="E61" s="277"/>
      <c r="F61" s="277"/>
      <c r="G61" s="278"/>
      <c r="H61" s="189"/>
      <c r="I61" s="16"/>
      <c r="J61" s="16"/>
      <c r="K61" s="16"/>
      <c r="L61" s="16"/>
      <c r="M61" s="16"/>
      <c r="N61" s="16"/>
    </row>
    <row r="62" spans="1:14" ht="12.75">
      <c r="A62" s="114"/>
      <c r="B62" s="65"/>
      <c r="C62" s="65"/>
      <c r="D62" s="65"/>
      <c r="E62" s="65"/>
      <c r="F62" s="65"/>
      <c r="G62" s="115"/>
      <c r="H62" s="190"/>
      <c r="I62" s="16"/>
      <c r="J62" s="16"/>
      <c r="K62" s="16"/>
      <c r="L62" s="16"/>
      <c r="M62" s="16"/>
      <c r="N62" s="16"/>
    </row>
    <row r="63" spans="1:13" ht="12.75">
      <c r="A63" s="103"/>
      <c r="B63" s="80">
        <v>2009</v>
      </c>
      <c r="C63" s="80">
        <v>2010</v>
      </c>
      <c r="D63" s="80">
        <v>2011</v>
      </c>
      <c r="E63" s="80">
        <v>2012</v>
      </c>
      <c r="F63" s="80">
        <v>2013</v>
      </c>
      <c r="G63" s="116" t="s">
        <v>8</v>
      </c>
      <c r="H63" s="16"/>
      <c r="I63" s="16"/>
      <c r="J63" s="16"/>
      <c r="K63" s="16"/>
      <c r="L63" s="16"/>
      <c r="M63" s="16"/>
    </row>
    <row r="64" spans="1:13" ht="15">
      <c r="A64" s="117" t="s">
        <v>72</v>
      </c>
      <c r="B64" s="79"/>
      <c r="C64" s="79"/>
      <c r="D64" s="79"/>
      <c r="E64" s="79"/>
      <c r="F64" s="79"/>
      <c r="G64" s="118"/>
      <c r="H64" s="16"/>
      <c r="I64" s="16"/>
      <c r="J64" s="16"/>
      <c r="K64" s="16"/>
      <c r="L64" s="16"/>
      <c r="M64" s="16"/>
    </row>
    <row r="65" spans="1:13" ht="12.75">
      <c r="A65" s="245" t="s">
        <v>25</v>
      </c>
      <c r="B65" s="241">
        <f>G27</f>
        <v>377865</v>
      </c>
      <c r="C65" s="241">
        <f>G28</f>
        <v>373344.22314</v>
      </c>
      <c r="D65" s="241">
        <f>G29</f>
        <v>368877.5328543531</v>
      </c>
      <c r="E65" s="241">
        <f>G30</f>
        <v>364464.28205128363</v>
      </c>
      <c r="F65" s="241">
        <f>G31</f>
        <v>360103.831380822</v>
      </c>
      <c r="G65" s="246">
        <f>SUM(B65:F65)</f>
        <v>1844654.8694264586</v>
      </c>
      <c r="H65" s="232"/>
      <c r="I65" s="16"/>
      <c r="J65" s="16"/>
      <c r="K65" s="16"/>
      <c r="L65" s="16"/>
      <c r="M65" s="16"/>
    </row>
    <row r="66" spans="1:13" ht="12.75">
      <c r="A66" s="119" t="s">
        <v>26</v>
      </c>
      <c r="B66" s="46">
        <f>I27</f>
        <v>14837.499</v>
      </c>
      <c r="C66" s="46">
        <f>I28</f>
        <v>14659.983161964</v>
      </c>
      <c r="D66" s="46">
        <f>I29</f>
        <v>14484.591123414264</v>
      </c>
      <c r="E66" s="46">
        <f>I30</f>
        <v>14311.297475213738</v>
      </c>
      <c r="F66" s="46">
        <f>I31</f>
        <v>14140.077112220279</v>
      </c>
      <c r="G66" s="104">
        <f>SUM(B66:F66)</f>
        <v>72433.44787281228</v>
      </c>
      <c r="H66" s="16"/>
      <c r="I66" s="168"/>
      <c r="J66" s="181"/>
      <c r="K66" s="16"/>
      <c r="L66" s="16"/>
      <c r="M66" s="16"/>
    </row>
    <row r="67" spans="1:13" ht="12.75">
      <c r="A67" s="105" t="s">
        <v>73</v>
      </c>
      <c r="B67" s="76">
        <f>SUM(B65:B66)</f>
        <v>392702.499</v>
      </c>
      <c r="C67" s="76">
        <f>SUM(C65:C66)</f>
        <v>388004.206301964</v>
      </c>
      <c r="D67" s="76">
        <f>SUM(D65:D66)</f>
        <v>383362.12397776736</v>
      </c>
      <c r="E67" s="76">
        <f>SUM(E65:E66)</f>
        <v>378775.5795264974</v>
      </c>
      <c r="F67" s="76">
        <f>SUM(F65:F66)</f>
        <v>374243.9084930423</v>
      </c>
      <c r="G67" s="106">
        <f>SUM(B67:F67)</f>
        <v>1917088.3172992708</v>
      </c>
      <c r="H67" s="16"/>
      <c r="I67" s="168"/>
      <c r="J67" s="182"/>
      <c r="K67" s="16"/>
      <c r="L67" s="16"/>
      <c r="M67" s="16"/>
    </row>
    <row r="68" spans="1:13" ht="15">
      <c r="A68" s="117" t="s">
        <v>71</v>
      </c>
      <c r="B68" s="78"/>
      <c r="C68" s="78"/>
      <c r="D68" s="78"/>
      <c r="E68" s="78"/>
      <c r="F68" s="78"/>
      <c r="G68" s="120"/>
      <c r="H68" s="16"/>
      <c r="I68" s="168"/>
      <c r="J68" s="183"/>
      <c r="K68" s="16"/>
      <c r="L68" s="16"/>
      <c r="M68" s="16"/>
    </row>
    <row r="69" spans="1:13" ht="12.75">
      <c r="A69" s="105" t="s">
        <v>106</v>
      </c>
      <c r="B69" s="46"/>
      <c r="C69" s="46"/>
      <c r="D69" s="46"/>
      <c r="E69" s="46"/>
      <c r="F69" s="46"/>
      <c r="G69" s="104" t="s">
        <v>3</v>
      </c>
      <c r="H69" s="16"/>
      <c r="I69" s="168"/>
      <c r="J69" s="102"/>
      <c r="K69" s="16"/>
      <c r="L69" s="16"/>
      <c r="M69" s="16"/>
    </row>
    <row r="70" spans="1:13" ht="12.75">
      <c r="A70" s="103" t="s">
        <v>125</v>
      </c>
      <c r="B70" s="46">
        <f>D48</f>
        <v>36000</v>
      </c>
      <c r="C70" s="46">
        <f>D49</f>
        <v>35280</v>
      </c>
      <c r="D70" s="46">
        <f>D50</f>
        <v>34574.4</v>
      </c>
      <c r="E70" s="46">
        <f>D51</f>
        <v>33882.912</v>
      </c>
      <c r="F70" s="46">
        <f>D52</f>
        <v>33205.25375999999</v>
      </c>
      <c r="G70" s="104">
        <f>SUM(B70:F70)</f>
        <v>172942.56575999997</v>
      </c>
      <c r="H70" s="16"/>
      <c r="I70" s="16"/>
      <c r="J70" s="16"/>
      <c r="K70" s="16"/>
      <c r="L70" s="16"/>
      <c r="M70" s="16"/>
    </row>
    <row r="71" spans="1:7" ht="12.75">
      <c r="A71" s="245" t="s">
        <v>193</v>
      </c>
      <c r="B71" s="241">
        <f>H27</f>
        <v>41985</v>
      </c>
      <c r="C71" s="241">
        <f>H28</f>
        <v>41482.69146</v>
      </c>
      <c r="D71" s="241">
        <f>H29</f>
        <v>40986.392539372566</v>
      </c>
      <c r="E71" s="241">
        <f>H30</f>
        <v>40496.03133903151</v>
      </c>
      <c r="F71" s="241">
        <f>H31</f>
        <v>40011.536820091336</v>
      </c>
      <c r="G71" s="246">
        <f>SUM(B71:F71)</f>
        <v>204961.65215849542</v>
      </c>
    </row>
    <row r="72" spans="1:9" ht="12.75">
      <c r="A72" s="245" t="s">
        <v>27</v>
      </c>
      <c r="B72" s="241">
        <f>3500*12</f>
        <v>42000</v>
      </c>
      <c r="C72" s="241">
        <f>B72*1.05</f>
        <v>44100</v>
      </c>
      <c r="D72" s="241">
        <f>C72*1.05</f>
        <v>46305</v>
      </c>
      <c r="E72" s="241">
        <f>D72*1.05</f>
        <v>48620.25</v>
      </c>
      <c r="F72" s="241">
        <f>E72*1.05</f>
        <v>51051.262500000004</v>
      </c>
      <c r="G72" s="246">
        <f>SUM(B72:F72)</f>
        <v>232076.5125</v>
      </c>
      <c r="H72" s="233"/>
      <c r="I72" s="234"/>
    </row>
    <row r="73" spans="1:7" ht="12.75">
      <c r="A73" s="105" t="s">
        <v>30</v>
      </c>
      <c r="B73" s="76">
        <f>SUM(B70:B72)</f>
        <v>119985</v>
      </c>
      <c r="C73" s="76">
        <f>SUM(C70:C72)</f>
        <v>120862.69146</v>
      </c>
      <c r="D73" s="76">
        <f>SUM(D70:D72)</f>
        <v>121865.79253937257</v>
      </c>
      <c r="E73" s="76">
        <f>SUM(E70:E72)</f>
        <v>122999.19333903151</v>
      </c>
      <c r="F73" s="76">
        <f>SUM(F70:F72)</f>
        <v>124268.05308009134</v>
      </c>
      <c r="G73" s="106">
        <f>SUM(G70:G72)</f>
        <v>609980.7304184954</v>
      </c>
    </row>
    <row r="74" spans="1:7" ht="12.75">
      <c r="A74" s="105" t="s">
        <v>107</v>
      </c>
      <c r="B74" s="46"/>
      <c r="C74" s="46"/>
      <c r="D74" s="46"/>
      <c r="E74" s="46"/>
      <c r="F74" s="46"/>
      <c r="G74" s="104"/>
    </row>
    <row r="75" spans="1:7" ht="12.75">
      <c r="A75" s="245" t="s">
        <v>192</v>
      </c>
      <c r="B75" s="241">
        <v>5000</v>
      </c>
      <c r="C75" s="241">
        <f>B75*1.05</f>
        <v>5250</v>
      </c>
      <c r="D75" s="241">
        <f aca="true" t="shared" si="0" ref="D75:F76">C75*1.05</f>
        <v>5512.5</v>
      </c>
      <c r="E75" s="241">
        <f t="shared" si="0"/>
        <v>5788.125</v>
      </c>
      <c r="F75" s="241">
        <f t="shared" si="0"/>
        <v>6077.53125</v>
      </c>
      <c r="G75" s="246">
        <f aca="true" t="shared" si="1" ref="G75:G80">SUM(B75:F75)</f>
        <v>27628.15625</v>
      </c>
    </row>
    <row r="76" spans="1:7" ht="12.75">
      <c r="A76" s="103" t="s">
        <v>104</v>
      </c>
      <c r="B76" s="46">
        <v>4680</v>
      </c>
      <c r="C76" s="46">
        <f>B76*1.05</f>
        <v>4914</v>
      </c>
      <c r="D76" s="46">
        <f t="shared" si="0"/>
        <v>5159.7</v>
      </c>
      <c r="E76" s="46">
        <f t="shared" si="0"/>
        <v>5417.685</v>
      </c>
      <c r="F76" s="46">
        <f t="shared" si="0"/>
        <v>5688.5692500000005</v>
      </c>
      <c r="G76" s="104">
        <f t="shared" si="1"/>
        <v>25859.954250000003</v>
      </c>
    </row>
    <row r="77" spans="1:8" ht="12.75">
      <c r="A77" s="245" t="s">
        <v>75</v>
      </c>
      <c r="B77" s="241">
        <v>32400</v>
      </c>
      <c r="C77" s="241">
        <v>32400</v>
      </c>
      <c r="D77" s="241">
        <v>32400</v>
      </c>
      <c r="E77" s="241">
        <v>32400</v>
      </c>
      <c r="F77" s="241">
        <v>32400</v>
      </c>
      <c r="G77" s="246">
        <f t="shared" si="1"/>
        <v>162000</v>
      </c>
      <c r="H77" s="233"/>
    </row>
    <row r="78" spans="1:13" s="21" customFormat="1" ht="12.75">
      <c r="A78" s="245" t="s">
        <v>101</v>
      </c>
      <c r="B78" s="241">
        <f>700*12</f>
        <v>8400</v>
      </c>
      <c r="C78" s="241">
        <f>700*12</f>
        <v>8400</v>
      </c>
      <c r="D78" s="241">
        <f>700*12</f>
        <v>8400</v>
      </c>
      <c r="E78" s="241">
        <f>700*12</f>
        <v>8400</v>
      </c>
      <c r="F78" s="241">
        <f>700*12</f>
        <v>8400</v>
      </c>
      <c r="G78" s="246">
        <f t="shared" si="1"/>
        <v>42000</v>
      </c>
      <c r="H78"/>
      <c r="I78"/>
      <c r="J78"/>
      <c r="K78"/>
      <c r="L78"/>
      <c r="M78"/>
    </row>
    <row r="79" spans="1:13" s="21" customFormat="1" ht="12.75">
      <c r="A79" s="245" t="s">
        <v>28</v>
      </c>
      <c r="B79" s="241">
        <f>'[1]SALARIOS'!$F$29</f>
        <v>138963.36000000002</v>
      </c>
      <c r="C79" s="241">
        <f>'[1]SALARIOS'!$F$29</f>
        <v>138963.36000000002</v>
      </c>
      <c r="D79" s="241">
        <f>'[1]SALARIOS'!$F$29</f>
        <v>138963.36000000002</v>
      </c>
      <c r="E79" s="241">
        <f>'[1]SALARIOS'!$F$29</f>
        <v>138963.36000000002</v>
      </c>
      <c r="F79" s="241">
        <f>'[1]SALARIOS'!$F$29</f>
        <v>138963.36000000002</v>
      </c>
      <c r="G79" s="246">
        <f t="shared" si="1"/>
        <v>694816.8</v>
      </c>
      <c r="H79" s="233"/>
      <c r="I79"/>
      <c r="J79"/>
      <c r="K79"/>
      <c r="L79"/>
      <c r="M79"/>
    </row>
    <row r="80" spans="1:7" ht="12.75">
      <c r="A80" s="103" t="s">
        <v>29</v>
      </c>
      <c r="B80" s="46">
        <f>'[1]SALARIOS'!$I$15</f>
        <v>19323.86</v>
      </c>
      <c r="C80" s="46">
        <f>'[1]SALARIOS'!$I$15</f>
        <v>19323.86</v>
      </c>
      <c r="D80" s="46">
        <f>'[1]SALARIOS'!$I$15</f>
        <v>19323.86</v>
      </c>
      <c r="E80" s="46">
        <f>'[1]SALARIOS'!$I$15</f>
        <v>19323.86</v>
      </c>
      <c r="F80" s="46">
        <f>'[1]SALARIOS'!$I$15</f>
        <v>19323.86</v>
      </c>
      <c r="G80" s="104">
        <f t="shared" si="1"/>
        <v>96619.3</v>
      </c>
    </row>
    <row r="81" spans="1:7" ht="12.75">
      <c r="A81" s="121" t="s">
        <v>194</v>
      </c>
      <c r="B81" s="46">
        <v>485</v>
      </c>
      <c r="C81" s="46">
        <f>B81*1.05</f>
        <v>509.25</v>
      </c>
      <c r="D81" s="46">
        <f>C81*1.05</f>
        <v>534.7125</v>
      </c>
      <c r="E81" s="46">
        <f>D81*1.05</f>
        <v>561.448125</v>
      </c>
      <c r="F81" s="46">
        <f>E81*1.05</f>
        <v>589.52053125</v>
      </c>
      <c r="G81" s="104">
        <f>SUM(B81:F81)</f>
        <v>2679.9311562499997</v>
      </c>
    </row>
    <row r="82" spans="1:7" ht="12.75">
      <c r="A82" s="103" t="s">
        <v>31</v>
      </c>
      <c r="B82" s="46">
        <f>'DEP. Y AMORT.'!B59</f>
        <v>13673.5136</v>
      </c>
      <c r="C82" s="46">
        <f>'DEP. Y AMORT.'!C59</f>
        <v>13673.5136</v>
      </c>
      <c r="D82" s="46">
        <f>'DEP. Y AMORT.'!D59</f>
        <v>13673.5136</v>
      </c>
      <c r="E82" s="46">
        <f>'DEP. Y AMORT.'!E59</f>
        <v>10791.5136</v>
      </c>
      <c r="F82" s="46">
        <f>'DEP. Y AMORT.'!F59</f>
        <v>10791.5136</v>
      </c>
      <c r="G82" s="104">
        <f aca="true" t="shared" si="2" ref="G82:G88">SUM(B82:F82)</f>
        <v>62603.568</v>
      </c>
    </row>
    <row r="83" spans="1:7" ht="12.75">
      <c r="A83" s="103" t="s">
        <v>32</v>
      </c>
      <c r="B83" s="46">
        <f>'DEP. Y AMORT.'!B84</f>
        <v>572</v>
      </c>
      <c r="C83" s="46">
        <f>'DEP. Y AMORT.'!C84</f>
        <v>572</v>
      </c>
      <c r="D83" s="46">
        <f>'DEP. Y AMORT.'!D84</f>
        <v>572</v>
      </c>
      <c r="E83" s="46">
        <f>'DEP. Y AMORT.'!E84</f>
        <v>572</v>
      </c>
      <c r="F83" s="46">
        <f>'DEP. Y AMORT.'!F84</f>
        <v>572</v>
      </c>
      <c r="G83" s="104">
        <f>SUM(B83:F83)</f>
        <v>2860</v>
      </c>
    </row>
    <row r="84" spans="1:7" ht="12.75">
      <c r="A84" s="105" t="s">
        <v>76</v>
      </c>
      <c r="B84" s="76">
        <f>SUM(B75:B83)</f>
        <v>223497.73360000004</v>
      </c>
      <c r="C84" s="76">
        <f>SUM(C75:C83)</f>
        <v>224005.98360000004</v>
      </c>
      <c r="D84" s="76">
        <f>SUM(D75:D83)</f>
        <v>224539.64609999998</v>
      </c>
      <c r="E84" s="76">
        <f>SUM(E75:E83)</f>
        <v>222217.99172500003</v>
      </c>
      <c r="F84" s="76">
        <f>SUM(F75:F83)</f>
        <v>222806.35463125003</v>
      </c>
      <c r="G84" s="106">
        <f>SUM(B84:F84)</f>
        <v>1117067.7096562502</v>
      </c>
    </row>
    <row r="85" spans="1:7" ht="12.75">
      <c r="A85" s="105" t="s">
        <v>74</v>
      </c>
      <c r="B85" s="76">
        <f>B84+B73</f>
        <v>343482.73360000004</v>
      </c>
      <c r="C85" s="76">
        <f>C84+C73</f>
        <v>344868.67506000004</v>
      </c>
      <c r="D85" s="76">
        <f>D84+D73</f>
        <v>346405.4386393726</v>
      </c>
      <c r="E85" s="76">
        <f>E84+E73</f>
        <v>345217.1850640315</v>
      </c>
      <c r="F85" s="76">
        <f>F84+F73</f>
        <v>347074.4077113414</v>
      </c>
      <c r="G85" s="106">
        <f t="shared" si="2"/>
        <v>1727048.4400747456</v>
      </c>
    </row>
    <row r="86" spans="1:8" ht="12.75">
      <c r="A86" s="105" t="s">
        <v>33</v>
      </c>
      <c r="B86" s="46">
        <f>SUM(B67-B85)</f>
        <v>49219.765399999975</v>
      </c>
      <c r="C86" s="46">
        <f>SUM(C67-C85)</f>
        <v>43135.53124196397</v>
      </c>
      <c r="D86" s="46">
        <f>SUM(D67-D85)</f>
        <v>36956.685338394775</v>
      </c>
      <c r="E86" s="46">
        <f>SUM(E67-E85)</f>
        <v>33558.39446246589</v>
      </c>
      <c r="F86" s="46">
        <f>SUM(F67-F85)</f>
        <v>27169.50078170089</v>
      </c>
      <c r="G86" s="104">
        <f t="shared" si="2"/>
        <v>190039.8772245255</v>
      </c>
      <c r="H86" s="236"/>
    </row>
    <row r="87" spans="1:13" ht="12.75">
      <c r="A87" s="103" t="s">
        <v>34</v>
      </c>
      <c r="B87" s="46">
        <f>B86*0.15</f>
        <v>7382.964809999996</v>
      </c>
      <c r="C87" s="46">
        <f>C86*0.15</f>
        <v>6470.3296862945945</v>
      </c>
      <c r="D87" s="46">
        <f>D86*0.15</f>
        <v>5543.502800759216</v>
      </c>
      <c r="E87" s="46">
        <f>E86*0.15</f>
        <v>5033.759169369883</v>
      </c>
      <c r="F87" s="46">
        <f>F86*0.15</f>
        <v>4075.425117255133</v>
      </c>
      <c r="G87" s="104">
        <f>SUM(B87:F87)</f>
        <v>28505.981583678822</v>
      </c>
      <c r="H87" s="21"/>
      <c r="I87" s="21"/>
      <c r="J87" s="21"/>
      <c r="K87" s="21"/>
      <c r="L87" s="21"/>
      <c r="M87" s="21"/>
    </row>
    <row r="88" spans="1:13" ht="12.75">
      <c r="A88" s="105" t="s">
        <v>60</v>
      </c>
      <c r="B88" s="46">
        <f>SUM(B86-B87)</f>
        <v>41836.80058999998</v>
      </c>
      <c r="C88" s="46">
        <f>SUM(C86-C87)</f>
        <v>36665.20155566937</v>
      </c>
      <c r="D88" s="46">
        <f>SUM(D86-D87)</f>
        <v>31413.18253763556</v>
      </c>
      <c r="E88" s="46">
        <f>SUM(E86-E87)</f>
        <v>28524.635293096006</v>
      </c>
      <c r="F88" s="46">
        <f>SUM(F86-F87)</f>
        <v>23094.075664445754</v>
      </c>
      <c r="G88" s="104">
        <f t="shared" si="2"/>
        <v>161533.89564084666</v>
      </c>
      <c r="H88" s="21"/>
      <c r="I88" s="21"/>
      <c r="J88" s="21"/>
      <c r="K88" s="21"/>
      <c r="L88" s="21"/>
      <c r="M88" s="21"/>
    </row>
    <row r="89" spans="1:7" ht="12.75">
      <c r="A89" s="103" t="s">
        <v>37</v>
      </c>
      <c r="B89" s="46">
        <f>B88*0.25</f>
        <v>10459.200147499994</v>
      </c>
      <c r="C89" s="46">
        <f aca="true" t="shared" si="3" ref="C89:H89">C88*0.25</f>
        <v>9166.300388917343</v>
      </c>
      <c r="D89" s="46">
        <f t="shared" si="3"/>
        <v>7853.29563440889</v>
      </c>
      <c r="E89" s="46">
        <f t="shared" si="3"/>
        <v>7131.158823274001</v>
      </c>
      <c r="F89" s="46">
        <f t="shared" si="3"/>
        <v>5773.518916111439</v>
      </c>
      <c r="G89" s="104">
        <f t="shared" si="3"/>
        <v>40383.473910211665</v>
      </c>
    </row>
    <row r="90" spans="1:7" ht="15">
      <c r="A90" s="117" t="s">
        <v>35</v>
      </c>
      <c r="B90" s="78">
        <f>SUM(B88-B89)</f>
        <v>31377.600442499985</v>
      </c>
      <c r="C90" s="78">
        <f>SUM(C88-C89)</f>
        <v>27498.90116675203</v>
      </c>
      <c r="D90" s="78">
        <f>SUM(D88-D89)</f>
        <v>23559.88690322667</v>
      </c>
      <c r="E90" s="78">
        <f>SUM(E88-E89)</f>
        <v>21393.476469822002</v>
      </c>
      <c r="F90" s="78">
        <f>SUM(F88-F89)</f>
        <v>17320.556748334315</v>
      </c>
      <c r="G90" s="120">
        <f>SUM(B90:F90)</f>
        <v>121150.42173063502</v>
      </c>
    </row>
    <row r="91" spans="1:7" ht="13.5" thickBot="1">
      <c r="A91" s="122" t="s">
        <v>36</v>
      </c>
      <c r="B91" s="123">
        <f>SUM(B90/B67)</f>
        <v>0.07990170809302638</v>
      </c>
      <c r="C91" s="123">
        <f>SUM(C90/C67)</f>
        <v>0.07087268828562913</v>
      </c>
      <c r="D91" s="123">
        <f>SUM(D90/D67)</f>
        <v>0.06145595881713395</v>
      </c>
      <c r="E91" s="123">
        <f>SUM(E90/E67)</f>
        <v>0.05648061180862219</v>
      </c>
      <c r="F91" s="123">
        <f>SUM(F90/F67)</f>
        <v>0.046281466058000854</v>
      </c>
      <c r="G91" s="124"/>
    </row>
    <row r="94" spans="1:7" ht="18">
      <c r="A94" s="292" t="s">
        <v>96</v>
      </c>
      <c r="B94" s="292"/>
      <c r="C94" s="292"/>
      <c r="D94" s="292"/>
      <c r="E94" s="292"/>
      <c r="F94" s="292"/>
      <c r="G94" s="292"/>
    </row>
    <row r="95" spans="1:7" ht="12.75">
      <c r="A95" s="70"/>
      <c r="B95" s="176" t="s">
        <v>100</v>
      </c>
      <c r="C95" s="176">
        <v>2009</v>
      </c>
      <c r="D95" s="176">
        <v>2010</v>
      </c>
      <c r="E95" s="176">
        <v>2011</v>
      </c>
      <c r="F95" s="176">
        <v>2012</v>
      </c>
      <c r="G95" s="176">
        <v>2013</v>
      </c>
    </row>
    <row r="96" spans="1:7" ht="12.75">
      <c r="A96" s="173" t="s">
        <v>72</v>
      </c>
      <c r="B96" s="174"/>
      <c r="C96" s="174"/>
      <c r="D96" s="174"/>
      <c r="E96" s="174"/>
      <c r="F96" s="174"/>
      <c r="G96" s="174"/>
    </row>
    <row r="97" spans="1:7" ht="12.75">
      <c r="A97" s="70" t="s">
        <v>20</v>
      </c>
      <c r="B97" s="46"/>
      <c r="C97" s="46">
        <f>$B48</f>
        <v>600000</v>
      </c>
      <c r="D97" s="46">
        <f>$B49</f>
        <v>588000</v>
      </c>
      <c r="E97" s="46">
        <f>$B50</f>
        <v>576240</v>
      </c>
      <c r="F97" s="46">
        <f>$B51</f>
        <v>564715.2</v>
      </c>
      <c r="G97" s="46">
        <f>$B52</f>
        <v>553420.896</v>
      </c>
    </row>
    <row r="98" spans="1:7" ht="12.75">
      <c r="A98" s="237" t="s">
        <v>127</v>
      </c>
      <c r="B98" s="241"/>
      <c r="C98" s="241">
        <f>C101-(C101*0.1178)</f>
        <v>1851958.35</v>
      </c>
      <c r="D98" s="241">
        <f>D101-(D101*0.1178)</f>
        <v>1829801.5203006</v>
      </c>
      <c r="E98" s="241">
        <f>E101-(E101*0.1178)</f>
        <v>1807909.7749117238</v>
      </c>
      <c r="F98" s="241">
        <f>F101-(F101*0.1178)</f>
        <v>1786279.94236468</v>
      </c>
      <c r="G98" s="241">
        <f>G101-(G101*0.1178)</f>
        <v>1764908.8891342287</v>
      </c>
    </row>
    <row r="99" spans="1:7" ht="12.75">
      <c r="A99" s="71" t="s">
        <v>126</v>
      </c>
      <c r="B99" s="76"/>
      <c r="C99" s="76">
        <f>SUM(C97:C98)</f>
        <v>2451958.35</v>
      </c>
      <c r="D99" s="76">
        <f>SUM(D97:D98)</f>
        <v>2417801.5203005997</v>
      </c>
      <c r="E99" s="76">
        <f>SUM(E97:E98)</f>
        <v>2384149.774911724</v>
      </c>
      <c r="F99" s="76">
        <f>SUM(F97:F98)</f>
        <v>2350995.14236468</v>
      </c>
      <c r="G99" s="76">
        <f>SUM(G97:G98)</f>
        <v>2318329.785134229</v>
      </c>
    </row>
    <row r="100" spans="1:7" ht="12.75">
      <c r="A100" s="173" t="s">
        <v>97</v>
      </c>
      <c r="B100" s="174"/>
      <c r="C100" s="174"/>
      <c r="D100" s="174"/>
      <c r="E100" s="174"/>
      <c r="F100" s="174"/>
      <c r="G100" s="174"/>
    </row>
    <row r="101" spans="1:7" ht="12.75">
      <c r="A101" s="70" t="s">
        <v>102</v>
      </c>
      <c r="B101" s="46"/>
      <c r="C101" s="46">
        <f>F27</f>
        <v>2099250</v>
      </c>
      <c r="D101" s="46">
        <f>F28</f>
        <v>2074134.573</v>
      </c>
      <c r="E101" s="46">
        <f>F29</f>
        <v>2049319.6269686283</v>
      </c>
      <c r="F101" s="46">
        <f>F30</f>
        <v>2024801.5669515757</v>
      </c>
      <c r="G101" s="46">
        <f>F31</f>
        <v>2000576.8410045668</v>
      </c>
    </row>
    <row r="102" spans="1:7" ht="12.75">
      <c r="A102" s="70" t="s">
        <v>21</v>
      </c>
      <c r="B102" s="46"/>
      <c r="C102" s="250">
        <v>3000</v>
      </c>
      <c r="D102" s="46">
        <v>3000</v>
      </c>
      <c r="E102" s="46">
        <v>3000</v>
      </c>
      <c r="F102" s="46">
        <v>3000</v>
      </c>
      <c r="G102" s="46">
        <v>3000</v>
      </c>
    </row>
    <row r="103" spans="1:7" ht="12.75">
      <c r="A103" s="70" t="s">
        <v>24</v>
      </c>
      <c r="B103" s="46"/>
      <c r="C103" s="250">
        <v>1800</v>
      </c>
      <c r="D103" s="46">
        <v>1800</v>
      </c>
      <c r="E103" s="46">
        <v>1800</v>
      </c>
      <c r="F103" s="46">
        <v>1800</v>
      </c>
      <c r="G103" s="46">
        <v>1800</v>
      </c>
    </row>
    <row r="104" spans="1:7" ht="12.75">
      <c r="A104" s="71" t="s">
        <v>128</v>
      </c>
      <c r="B104" s="76"/>
      <c r="C104" s="76">
        <f>SUM(C101:C103)</f>
        <v>2104050</v>
      </c>
      <c r="D104" s="76">
        <f>SUM(D101:D103)</f>
        <v>2078934.573</v>
      </c>
      <c r="E104" s="76">
        <f>SUM(E101:E103)</f>
        <v>2054119.6269686283</v>
      </c>
      <c r="F104" s="76">
        <f>SUM(F101:F103)</f>
        <v>2029601.5669515757</v>
      </c>
      <c r="G104" s="76">
        <f>SUM(G101:G103)</f>
        <v>2005376.8410045668</v>
      </c>
    </row>
    <row r="105" spans="1:7" ht="12.75">
      <c r="A105" s="71" t="s">
        <v>129</v>
      </c>
      <c r="B105" s="76"/>
      <c r="C105" s="76">
        <f>B86</f>
        <v>49219.765399999975</v>
      </c>
      <c r="D105" s="76">
        <f aca="true" t="shared" si="4" ref="D105:G108">C86</f>
        <v>43135.53124196397</v>
      </c>
      <c r="E105" s="76">
        <f t="shared" si="4"/>
        <v>36956.685338394775</v>
      </c>
      <c r="F105" s="76">
        <f t="shared" si="4"/>
        <v>33558.39446246589</v>
      </c>
      <c r="G105" s="76">
        <f t="shared" si="4"/>
        <v>27169.50078170089</v>
      </c>
    </row>
    <row r="106" spans="1:7" ht="12.75">
      <c r="A106" s="70" t="s">
        <v>22</v>
      </c>
      <c r="B106" s="46"/>
      <c r="C106" s="46">
        <f>B87</f>
        <v>7382.964809999996</v>
      </c>
      <c r="D106" s="46">
        <f t="shared" si="4"/>
        <v>6470.3296862945945</v>
      </c>
      <c r="E106" s="46">
        <f t="shared" si="4"/>
        <v>5543.502800759216</v>
      </c>
      <c r="F106" s="46">
        <f t="shared" si="4"/>
        <v>5033.759169369883</v>
      </c>
      <c r="G106" s="46">
        <f t="shared" si="4"/>
        <v>4075.425117255133</v>
      </c>
    </row>
    <row r="107" spans="1:7" ht="12.75">
      <c r="A107" s="71" t="s">
        <v>130</v>
      </c>
      <c r="B107" s="76"/>
      <c r="C107" s="76">
        <f>B88</f>
        <v>41836.80058999998</v>
      </c>
      <c r="D107" s="76">
        <f t="shared" si="4"/>
        <v>36665.20155566937</v>
      </c>
      <c r="E107" s="76">
        <f t="shared" si="4"/>
        <v>31413.18253763556</v>
      </c>
      <c r="F107" s="76">
        <f t="shared" si="4"/>
        <v>28524.635293096006</v>
      </c>
      <c r="G107" s="76">
        <f t="shared" si="4"/>
        <v>23094.075664445754</v>
      </c>
    </row>
    <row r="108" spans="1:7" ht="12.75">
      <c r="A108" s="70" t="s">
        <v>23</v>
      </c>
      <c r="B108" s="46"/>
      <c r="C108" s="46">
        <f>B89</f>
        <v>10459.200147499994</v>
      </c>
      <c r="D108" s="46">
        <f t="shared" si="4"/>
        <v>9166.300388917343</v>
      </c>
      <c r="E108" s="46">
        <f t="shared" si="4"/>
        <v>7853.29563440889</v>
      </c>
      <c r="F108" s="46">
        <f t="shared" si="4"/>
        <v>7131.158823274001</v>
      </c>
      <c r="G108" s="46">
        <f t="shared" si="4"/>
        <v>5773.518916111439</v>
      </c>
    </row>
    <row r="109" spans="1:7" ht="12.75">
      <c r="A109" s="71" t="s">
        <v>131</v>
      </c>
      <c r="B109" s="76"/>
      <c r="C109" s="76">
        <f>C107-C108</f>
        <v>31377.600442499985</v>
      </c>
      <c r="D109" s="76">
        <f>D107-D108</f>
        <v>27498.90116675203</v>
      </c>
      <c r="E109" s="76">
        <f>E107-E108</f>
        <v>23559.88690322667</v>
      </c>
      <c r="F109" s="76">
        <f>F107-F108</f>
        <v>21393.476469822002</v>
      </c>
      <c r="G109" s="76">
        <f>G107-G108</f>
        <v>17320.556748334315</v>
      </c>
    </row>
    <row r="110" spans="1:7" ht="12.75">
      <c r="A110" s="77" t="s">
        <v>185</v>
      </c>
      <c r="B110" s="46"/>
      <c r="C110" s="46">
        <v>13673.5136</v>
      </c>
      <c r="D110" s="46">
        <v>13673.5136</v>
      </c>
      <c r="E110" s="46">
        <v>13673.5136</v>
      </c>
      <c r="F110" s="46">
        <v>10791.5136</v>
      </c>
      <c r="G110" s="46">
        <v>10791.5136</v>
      </c>
    </row>
    <row r="111" spans="1:7" ht="12.75">
      <c r="A111" s="70" t="s">
        <v>132</v>
      </c>
      <c r="B111" s="46"/>
      <c r="C111" s="46">
        <v>572</v>
      </c>
      <c r="D111" s="46">
        <v>572</v>
      </c>
      <c r="E111" s="46">
        <v>572</v>
      </c>
      <c r="F111" s="46">
        <v>572</v>
      </c>
      <c r="G111" s="46">
        <v>572</v>
      </c>
    </row>
    <row r="112" spans="1:7" ht="12.75">
      <c r="A112" s="77" t="s">
        <v>133</v>
      </c>
      <c r="B112" s="46"/>
      <c r="C112" s="46"/>
      <c r="D112" s="46"/>
      <c r="E112" s="46"/>
      <c r="F112" s="46"/>
      <c r="G112" s="46">
        <v>36177.568</v>
      </c>
    </row>
    <row r="113" spans="1:7" ht="25.5">
      <c r="A113" s="218" t="s">
        <v>229</v>
      </c>
      <c r="B113" s="46">
        <v>-1500000</v>
      </c>
      <c r="C113" s="46"/>
      <c r="D113" s="46"/>
      <c r="E113" s="46"/>
      <c r="F113" s="46"/>
      <c r="G113" s="46"/>
    </row>
    <row r="114" spans="1:7" ht="12.75">
      <c r="A114" s="173" t="s">
        <v>110</v>
      </c>
      <c r="B114" s="175">
        <f>B113</f>
        <v>-1500000</v>
      </c>
      <c r="C114" s="175">
        <f>C99-C104+C109+C110+C111+C113</f>
        <v>393531.46404250007</v>
      </c>
      <c r="D114" s="175">
        <f>D99-D104+D109+D110+D111+D113</f>
        <v>380611.3620673517</v>
      </c>
      <c r="E114" s="175">
        <f>E99-E104+E109+E110+E111+E113</f>
        <v>367835.54844632244</v>
      </c>
      <c r="F114" s="175">
        <f>F99-F104+F109+F110+F111+F113</f>
        <v>354150.56548292615</v>
      </c>
      <c r="G114" s="175">
        <f>G99-G104+G109+G110+G111+G113-G112</f>
        <v>305459.4464779964</v>
      </c>
    </row>
    <row r="115" spans="1:7" ht="12.75">
      <c r="A115" s="178" t="s">
        <v>98</v>
      </c>
      <c r="B115" s="179">
        <f>B124</f>
        <v>-110906.24511731765</v>
      </c>
      <c r="C115" s="5"/>
      <c r="D115" s="5"/>
      <c r="E115" s="5"/>
      <c r="F115" s="5"/>
      <c r="G115" s="5"/>
    </row>
    <row r="116" spans="1:7" ht="12.75">
      <c r="A116" s="178" t="s">
        <v>99</v>
      </c>
      <c r="B116" s="337">
        <f>IRR(B114:G114)</f>
        <v>0.06700899000817068</v>
      </c>
      <c r="C116" s="5"/>
      <c r="D116" s="5"/>
      <c r="E116" s="5"/>
      <c r="F116" s="5"/>
      <c r="G116" s="5"/>
    </row>
    <row r="118" ht="13.5" thickBot="1"/>
    <row r="119" spans="1:7" ht="12.75">
      <c r="A119" s="293" t="s">
        <v>114</v>
      </c>
      <c r="B119" s="294"/>
      <c r="C119" s="294"/>
      <c r="D119" s="294"/>
      <c r="E119" s="294"/>
      <c r="F119" s="294"/>
      <c r="G119" s="295"/>
    </row>
    <row r="120" spans="1:7" ht="12.75">
      <c r="A120" s="70" t="s">
        <v>115</v>
      </c>
      <c r="B120" s="170">
        <v>0.0974</v>
      </c>
      <c r="C120" s="70"/>
      <c r="D120" s="70"/>
      <c r="E120" s="70"/>
      <c r="F120" s="70"/>
      <c r="G120" s="70"/>
    </row>
    <row r="121" spans="1:7" ht="12.75">
      <c r="A121" s="70" t="s">
        <v>116</v>
      </c>
      <c r="B121" s="71">
        <v>0</v>
      </c>
      <c r="C121" s="71">
        <v>1</v>
      </c>
      <c r="D121" s="71">
        <v>2</v>
      </c>
      <c r="E121" s="71">
        <v>3</v>
      </c>
      <c r="F121" s="71">
        <v>4</v>
      </c>
      <c r="G121" s="71">
        <v>5</v>
      </c>
    </row>
    <row r="122" spans="1:7" ht="12.75">
      <c r="A122" s="70" t="s">
        <v>117</v>
      </c>
      <c r="B122" s="46">
        <f aca="true" t="shared" si="5" ref="B122:G122">B114</f>
        <v>-1500000</v>
      </c>
      <c r="C122" s="46">
        <f t="shared" si="5"/>
        <v>393531.46404250007</v>
      </c>
      <c r="D122" s="46">
        <f t="shared" si="5"/>
        <v>380611.3620673517</v>
      </c>
      <c r="E122" s="46">
        <f t="shared" si="5"/>
        <v>367835.54844632244</v>
      </c>
      <c r="F122" s="46">
        <f t="shared" si="5"/>
        <v>354150.56548292615</v>
      </c>
      <c r="G122" s="46">
        <f t="shared" si="5"/>
        <v>305459.4464779964</v>
      </c>
    </row>
    <row r="123" spans="1:7" ht="12.75">
      <c r="A123" s="71" t="s">
        <v>118</v>
      </c>
      <c r="B123" s="76">
        <f>(B122)/(1+$B$29)^B121</f>
        <v>-1500000</v>
      </c>
      <c r="C123" s="76">
        <f>(C122)/(1+$B$120)^C121</f>
        <v>358603.48463869153</v>
      </c>
      <c r="D123" s="76">
        <f>(D122)/(1+$B$120)^D121</f>
        <v>316047.11992960196</v>
      </c>
      <c r="E123" s="76">
        <f>(E122)/(1+$B$120)^E121</f>
        <v>278329.2379544788</v>
      </c>
      <c r="F123" s="76">
        <f>(F122)/(1+$B$120)^F121</f>
        <v>244190.1356629767</v>
      </c>
      <c r="G123" s="76">
        <f>(G122)/(1+$B$120)^G121</f>
        <v>191923.77669693317</v>
      </c>
    </row>
    <row r="124" spans="1:7" ht="12.75">
      <c r="A124" s="171" t="s">
        <v>98</v>
      </c>
      <c r="B124" s="172">
        <f>C123+D123+E123+F123+G123+H123+I123+J123+K123+L123+B123</f>
        <v>-110906.24511731765</v>
      </c>
      <c r="C124" s="46"/>
      <c r="D124" s="46"/>
      <c r="E124" s="46"/>
      <c r="F124" s="46"/>
      <c r="G124" s="46"/>
    </row>
    <row r="136" spans="1:2" ht="12.75">
      <c r="A136" s="19" t="s">
        <v>3</v>
      </c>
      <c r="B136" s="19"/>
    </row>
    <row r="137" spans="1:2" ht="12.75">
      <c r="A137" s="20"/>
      <c r="B137" s="20"/>
    </row>
    <row r="138" spans="1:2" ht="12.75">
      <c r="A138" s="20" t="s">
        <v>3</v>
      </c>
      <c r="B138" s="20"/>
    </row>
    <row r="139" spans="1:2" ht="12.75">
      <c r="A139" s="20"/>
      <c r="B139" s="20"/>
    </row>
    <row r="140" spans="1:2" ht="12.75">
      <c r="A140" s="20" t="s">
        <v>3</v>
      </c>
      <c r="B140" s="20"/>
    </row>
    <row r="141" spans="1:2" ht="12.75">
      <c r="A141" s="20" t="s">
        <v>3</v>
      </c>
      <c r="B141" s="20"/>
    </row>
  </sheetData>
  <sheetProtection/>
  <mergeCells count="9">
    <mergeCell ref="A61:G61"/>
    <mergeCell ref="A94:G94"/>
    <mergeCell ref="A119:G119"/>
    <mergeCell ref="A3:C3"/>
    <mergeCell ref="A18:F18"/>
    <mergeCell ref="B24:B26"/>
    <mergeCell ref="C24:C26"/>
    <mergeCell ref="A57:H57"/>
    <mergeCell ref="A60:G60"/>
  </mergeCells>
  <printOptions/>
  <pageMargins left="0.75" right="0.75" top="1" bottom="1" header="0" footer="0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V141"/>
  <sheetViews>
    <sheetView zoomScalePageLayoutView="0" workbookViewId="0" topLeftCell="A88">
      <selection activeCell="B115" sqref="B115:B116"/>
    </sheetView>
  </sheetViews>
  <sheetFormatPr defaultColWidth="11.421875" defaultRowHeight="12.75"/>
  <cols>
    <col min="1" max="1" width="31.140625" style="0" customWidth="1"/>
    <col min="2" max="2" width="17.7109375" style="0" customWidth="1"/>
    <col min="3" max="3" width="12.57421875" style="0" customWidth="1"/>
    <col min="4" max="4" width="13.140625" style="0" customWidth="1"/>
    <col min="5" max="5" width="14.7109375" style="0" customWidth="1"/>
    <col min="6" max="6" width="12.00390625" style="0" customWidth="1"/>
    <col min="7" max="7" width="12.421875" style="0" customWidth="1"/>
    <col min="8" max="8" width="11.7109375" style="0" bestFit="1" customWidth="1"/>
    <col min="9" max="9" width="13.8515625" style="0" customWidth="1"/>
    <col min="10" max="10" width="15.57421875" style="0" customWidth="1"/>
    <col min="11" max="11" width="13.00390625" style="0" customWidth="1"/>
    <col min="12" max="12" width="12.140625" style="0" customWidth="1"/>
    <col min="13" max="13" width="11.7109375" style="0" bestFit="1" customWidth="1"/>
    <col min="14" max="14" width="11.7109375" style="0" customWidth="1"/>
    <col min="15" max="15" width="11.7109375" style="0" bestFit="1" customWidth="1"/>
  </cols>
  <sheetData>
    <row r="2" spans="1:7" ht="15" thickBot="1">
      <c r="A2" s="8" t="s">
        <v>3</v>
      </c>
      <c r="B2" s="8"/>
      <c r="C2" s="8"/>
      <c r="D2" s="26"/>
      <c r="E2" s="26"/>
      <c r="F2" s="26"/>
      <c r="G2" s="8"/>
    </row>
    <row r="3" spans="1:6" ht="12.75">
      <c r="A3" s="280" t="s">
        <v>65</v>
      </c>
      <c r="B3" s="281"/>
      <c r="C3" s="282"/>
      <c r="D3" s="27"/>
      <c r="E3" s="27"/>
      <c r="F3" s="27"/>
    </row>
    <row r="4" spans="1:6" s="185" customFormat="1" ht="14.25">
      <c r="A4" s="231" t="s">
        <v>186</v>
      </c>
      <c r="B4" s="193"/>
      <c r="C4" s="194">
        <v>8000</v>
      </c>
      <c r="D4" s="27"/>
      <c r="E4" s="27"/>
      <c r="F4" s="27"/>
    </row>
    <row r="5" spans="1:3" ht="12.75" customHeight="1">
      <c r="A5" s="28" t="s">
        <v>187</v>
      </c>
      <c r="B5" s="24"/>
      <c r="C5" s="29">
        <v>22000</v>
      </c>
    </row>
    <row r="6" spans="1:3" ht="13.5" customHeight="1">
      <c r="A6" s="186" t="s">
        <v>190</v>
      </c>
      <c r="B6" s="25"/>
      <c r="C6" s="30">
        <v>36671.22</v>
      </c>
    </row>
    <row r="7" spans="1:3" ht="14.25">
      <c r="A7" s="31" t="s">
        <v>189</v>
      </c>
      <c r="B7" s="22"/>
      <c r="C7" s="32"/>
    </row>
    <row r="8" spans="1:3" ht="14.25">
      <c r="A8" s="28" t="s">
        <v>188</v>
      </c>
      <c r="B8" s="24"/>
      <c r="C8" s="29">
        <v>36780</v>
      </c>
    </row>
    <row r="9" spans="1:3" ht="13.5" thickBot="1">
      <c r="A9" s="33" t="s">
        <v>15</v>
      </c>
      <c r="B9" s="88"/>
      <c r="C9" s="34">
        <f>C5+C6+C8</f>
        <v>95451.22</v>
      </c>
    </row>
    <row r="10" spans="1:2" ht="12.75">
      <c r="A10" s="20"/>
      <c r="B10" s="20"/>
    </row>
    <row r="11" spans="1:22" ht="14.25">
      <c r="A11" s="8" t="s">
        <v>183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5" thickBo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5" ht="13.5" thickBot="1">
      <c r="A13" s="35" t="s">
        <v>66</v>
      </c>
      <c r="B13" s="89"/>
      <c r="C13" s="187">
        <v>1500000</v>
      </c>
      <c r="E13" s="5"/>
    </row>
    <row r="14" spans="1:5" ht="12.75">
      <c r="A14" s="20"/>
      <c r="B14" s="20"/>
      <c r="C14" s="17"/>
      <c r="D14" s="23"/>
      <c r="E14" s="5"/>
    </row>
    <row r="15" spans="1:5" ht="12.75">
      <c r="A15" s="20"/>
      <c r="B15" s="20"/>
      <c r="E15" s="5"/>
    </row>
    <row r="16" spans="1:4" ht="18">
      <c r="A16" s="180" t="s">
        <v>230</v>
      </c>
      <c r="B16" s="10"/>
      <c r="C16" s="10"/>
      <c r="D16" s="10"/>
    </row>
    <row r="17" spans="1:3" ht="15.75" thickBot="1">
      <c r="A17" s="9"/>
      <c r="B17" s="9"/>
      <c r="C17" s="10"/>
    </row>
    <row r="18" spans="1:6" ht="13.5" thickBot="1">
      <c r="A18" s="283" t="s">
        <v>68</v>
      </c>
      <c r="B18" s="284"/>
      <c r="C18" s="284"/>
      <c r="D18" s="284"/>
      <c r="E18" s="284"/>
      <c r="F18" s="285"/>
    </row>
    <row r="19" spans="1:9" ht="14.25">
      <c r="A19" s="37" t="s">
        <v>0</v>
      </c>
      <c r="B19" s="38"/>
      <c r="C19" s="38"/>
      <c r="D19" s="38"/>
      <c r="E19" s="38"/>
      <c r="F19" s="39">
        <v>450</v>
      </c>
      <c r="G19" s="1" t="s">
        <v>3</v>
      </c>
      <c r="H19" s="329">
        <f>0.026+0.01</f>
        <v>0.036</v>
      </c>
      <c r="I19" s="306"/>
    </row>
    <row r="20" spans="1:9" ht="14.25">
      <c r="A20" s="40" t="s">
        <v>4</v>
      </c>
      <c r="B20" s="36"/>
      <c r="C20" s="36"/>
      <c r="D20" s="36"/>
      <c r="E20" s="36"/>
      <c r="F20" s="257">
        <v>0.036</v>
      </c>
      <c r="G20" s="2" t="s">
        <v>3</v>
      </c>
      <c r="H20" s="311">
        <f>0.026+0.02</f>
        <v>0.046</v>
      </c>
      <c r="I20" s="306"/>
    </row>
    <row r="21" spans="1:7" ht="14.25">
      <c r="A21" s="40" t="s">
        <v>1</v>
      </c>
      <c r="B21" s="36"/>
      <c r="C21" s="36"/>
      <c r="D21" s="36"/>
      <c r="E21" s="36"/>
      <c r="F21" s="42" t="s">
        <v>2</v>
      </c>
      <c r="G21" s="3" t="s">
        <v>3</v>
      </c>
    </row>
    <row r="22" spans="1:7" ht="15.75" thickBot="1">
      <c r="A22" s="43" t="s">
        <v>67</v>
      </c>
      <c r="B22" s="44"/>
      <c r="C22" s="44"/>
      <c r="D22" s="44"/>
      <c r="E22" s="44"/>
      <c r="F22" s="45">
        <v>0.036</v>
      </c>
      <c r="G22" s="2" t="s">
        <v>3</v>
      </c>
    </row>
    <row r="23" ht="12.75">
      <c r="G23" s="2" t="s">
        <v>3</v>
      </c>
    </row>
    <row r="24" spans="1:9" ht="12.75">
      <c r="A24" s="53"/>
      <c r="B24" s="286" t="s">
        <v>92</v>
      </c>
      <c r="C24" s="286" t="s">
        <v>91</v>
      </c>
      <c r="D24" s="54" t="s">
        <v>93</v>
      </c>
      <c r="E24" s="55" t="s">
        <v>94</v>
      </c>
      <c r="F24" s="54" t="s">
        <v>8</v>
      </c>
      <c r="G24" s="56"/>
      <c r="H24" s="57">
        <v>0.02</v>
      </c>
      <c r="I24" s="58"/>
    </row>
    <row r="25" spans="1:9" ht="12.75">
      <c r="A25" s="59" t="s">
        <v>3</v>
      </c>
      <c r="B25" s="287"/>
      <c r="C25" s="287"/>
      <c r="D25" s="60" t="s">
        <v>17</v>
      </c>
      <c r="E25" s="61" t="s">
        <v>95</v>
      </c>
      <c r="F25" s="60" t="s">
        <v>9</v>
      </c>
      <c r="G25" s="61" t="s">
        <v>13</v>
      </c>
      <c r="H25" s="60" t="s">
        <v>56</v>
      </c>
      <c r="I25" s="62" t="s">
        <v>61</v>
      </c>
    </row>
    <row r="26" spans="1:9" ht="12.75">
      <c r="A26" s="63" t="s">
        <v>5</v>
      </c>
      <c r="B26" s="288"/>
      <c r="C26" s="288"/>
      <c r="D26" s="64" t="s">
        <v>6</v>
      </c>
      <c r="E26" s="65" t="s">
        <v>7</v>
      </c>
      <c r="F26" s="64" t="s">
        <v>10</v>
      </c>
      <c r="G26" s="65" t="s">
        <v>17</v>
      </c>
      <c r="H26" s="64" t="s">
        <v>57</v>
      </c>
      <c r="I26" s="66" t="s">
        <v>62</v>
      </c>
    </row>
    <row r="27" spans="1:9" s="51" customFormat="1" ht="12">
      <c r="A27" s="47">
        <v>2009</v>
      </c>
      <c r="B27" s="210">
        <v>933</v>
      </c>
      <c r="C27" s="47">
        <v>5</v>
      </c>
      <c r="D27" s="49">
        <v>450</v>
      </c>
      <c r="E27" s="49">
        <f>D27*C27</f>
        <v>2250</v>
      </c>
      <c r="F27" s="49">
        <f>B27*E27</f>
        <v>2099250</v>
      </c>
      <c r="G27" s="50">
        <f>F27*0.18</f>
        <v>377865</v>
      </c>
      <c r="H27" s="50">
        <f>F27*2/100</f>
        <v>41985</v>
      </c>
      <c r="I27" s="50">
        <f>(F27*0.1178)*0.06</f>
        <v>14837.499</v>
      </c>
    </row>
    <row r="28" spans="1:9" s="51" customFormat="1" ht="12">
      <c r="A28" s="47">
        <v>2010</v>
      </c>
      <c r="B28" s="211">
        <f>B27+(B27*$F$20)</f>
        <v>966.588</v>
      </c>
      <c r="C28" s="52">
        <v>5</v>
      </c>
      <c r="D28" s="49">
        <f>D27+(D27*$F$20)</f>
        <v>466.2</v>
      </c>
      <c r="E28" s="49">
        <f>D28*C28</f>
        <v>2331</v>
      </c>
      <c r="F28" s="49">
        <f>(E28*B28)</f>
        <v>2253116.628</v>
      </c>
      <c r="G28" s="50">
        <f>F28*0.18</f>
        <v>405560.99304</v>
      </c>
      <c r="H28" s="50">
        <f>F28*2/100</f>
        <v>45062.33256</v>
      </c>
      <c r="I28" s="50">
        <f>(F28*0.1178)*0.06</f>
        <v>15925.028326704001</v>
      </c>
    </row>
    <row r="29" spans="1:9" s="51" customFormat="1" ht="12">
      <c r="A29" s="47">
        <v>2011</v>
      </c>
      <c r="B29" s="211">
        <f>B28+(B28*$F$20)</f>
        <v>1001.385168</v>
      </c>
      <c r="C29" s="52">
        <v>5</v>
      </c>
      <c r="D29" s="49">
        <f>D28+(D28*$F$20)</f>
        <v>482.9832</v>
      </c>
      <c r="E29" s="49">
        <f>D29*C29</f>
        <v>2414.916</v>
      </c>
      <c r="F29" s="49">
        <f>(E29*B29)</f>
        <v>2418261.064365888</v>
      </c>
      <c r="G29" s="50">
        <f>F29*0.18</f>
        <v>435286.99158585985</v>
      </c>
      <c r="H29" s="50">
        <f>F29*2/100</f>
        <v>48365.22128731776</v>
      </c>
      <c r="I29" s="50">
        <f>(F29*0.1178)*0.06</f>
        <v>17092.269202938096</v>
      </c>
    </row>
    <row r="30" spans="1:9" s="51" customFormat="1" ht="12">
      <c r="A30" s="47">
        <v>2012</v>
      </c>
      <c r="B30" s="211">
        <f>B29+(B29*$F$20)</f>
        <v>1037.435034048</v>
      </c>
      <c r="C30" s="52">
        <v>5</v>
      </c>
      <c r="D30" s="49">
        <f>D29+(D29*$F$20)</f>
        <v>500.3705952</v>
      </c>
      <c r="E30" s="49">
        <f>D30*C30</f>
        <v>2501.852976</v>
      </c>
      <c r="F30" s="49">
        <f>(E30*B30)</f>
        <v>2595509.92733965</v>
      </c>
      <c r="G30" s="50">
        <f>F30*0.18</f>
        <v>467191.786921137</v>
      </c>
      <c r="H30" s="50">
        <f>F30*2/100</f>
        <v>51910.198546793006</v>
      </c>
      <c r="I30" s="50">
        <f>(F30*0.1178)*0.06</f>
        <v>18345.06416643665</v>
      </c>
    </row>
    <row r="31" spans="1:9" s="51" customFormat="1" ht="12">
      <c r="A31" s="47">
        <v>2013</v>
      </c>
      <c r="B31" s="211">
        <f>B30+(B30*$F$20)</f>
        <v>1074.782695273728</v>
      </c>
      <c r="C31" s="52">
        <v>5</v>
      </c>
      <c r="D31" s="49">
        <f>D30+(D30*$F$20)</f>
        <v>518.3839366272</v>
      </c>
      <c r="E31" s="49">
        <f>D31*C31</f>
        <v>2591.919683136</v>
      </c>
      <c r="F31" s="49">
        <f>(E31*B31)</f>
        <v>2785750.422973937</v>
      </c>
      <c r="G31" s="50">
        <f>F31*0.18</f>
        <v>501435.0761353086</v>
      </c>
      <c r="H31" s="50">
        <f>F31*2/100</f>
        <v>55715.00845947874</v>
      </c>
      <c r="I31" s="50">
        <f>(F31*0.1178)*0.06</f>
        <v>19689.683989579786</v>
      </c>
    </row>
    <row r="32" spans="1:9" s="51" customFormat="1" ht="12">
      <c r="A32" s="67" t="s">
        <v>69</v>
      </c>
      <c r="B32" s="68"/>
      <c r="C32" s="69"/>
      <c r="D32" s="68"/>
      <c r="E32" s="68"/>
      <c r="F32" s="83">
        <f>SUM(F27:F31)</f>
        <v>12151888.042679476</v>
      </c>
      <c r="G32" s="83">
        <f>SUM(G27:G31)</f>
        <v>2187339.8476823056</v>
      </c>
      <c r="H32" s="83">
        <f>SUM(H27:H31)</f>
        <v>243037.7608535895</v>
      </c>
      <c r="I32" s="83">
        <f>SUM(I27:I31)</f>
        <v>85889.54468565853</v>
      </c>
    </row>
    <row r="33" spans="4:8" ht="12.75">
      <c r="D33" s="4"/>
      <c r="G33" s="5"/>
      <c r="H33" s="5"/>
    </row>
    <row r="34" spans="1:8" ht="14.25">
      <c r="A34" s="7" t="s">
        <v>18</v>
      </c>
      <c r="B34" s="7"/>
      <c r="C34" s="7"/>
      <c r="D34" s="11"/>
      <c r="E34" s="7"/>
      <c r="F34" s="7"/>
      <c r="G34" s="12"/>
      <c r="H34" s="12"/>
    </row>
    <row r="35" spans="1:8" ht="14.25">
      <c r="A35" s="7" t="s">
        <v>103</v>
      </c>
      <c r="B35" s="7"/>
      <c r="C35" s="7"/>
      <c r="D35" s="11"/>
      <c r="E35" s="7"/>
      <c r="F35" s="7"/>
      <c r="G35" s="12"/>
      <c r="H35" s="12"/>
    </row>
    <row r="36" spans="1:8" ht="14.25">
      <c r="A36" s="7" t="s">
        <v>59</v>
      </c>
      <c r="B36" s="7"/>
      <c r="C36" s="7"/>
      <c r="D36" s="11"/>
      <c r="E36" s="7"/>
      <c r="F36" s="7"/>
      <c r="G36" s="12"/>
      <c r="H36" s="12"/>
    </row>
    <row r="37" spans="1:8" ht="15">
      <c r="A37" s="8" t="s">
        <v>184</v>
      </c>
      <c r="B37" s="7"/>
      <c r="C37" s="7"/>
      <c r="D37" s="11"/>
      <c r="E37" s="7"/>
      <c r="F37" s="7"/>
      <c r="G37" s="235"/>
      <c r="H37" s="235"/>
    </row>
    <row r="38" spans="1:8" ht="14.25">
      <c r="A38" s="7" t="s">
        <v>58</v>
      </c>
      <c r="B38" s="7"/>
      <c r="C38" s="7"/>
      <c r="D38" s="11"/>
      <c r="E38" s="7"/>
      <c r="F38" s="7"/>
      <c r="G38" s="12"/>
      <c r="H38" s="12"/>
    </row>
    <row r="39" spans="1:8" ht="14.25">
      <c r="A39" s="7"/>
      <c r="B39" s="7"/>
      <c r="C39" s="7"/>
      <c r="D39" s="11"/>
      <c r="E39" s="7"/>
      <c r="F39" s="7"/>
      <c r="G39" s="12"/>
      <c r="H39" s="12"/>
    </row>
    <row r="41" spans="1:4" ht="18">
      <c r="A41" s="180" t="s">
        <v>11</v>
      </c>
      <c r="B41" s="10"/>
      <c r="C41" s="10"/>
      <c r="D41" s="10"/>
    </row>
    <row r="43" spans="1:8" ht="14.25">
      <c r="A43" s="7" t="s">
        <v>16</v>
      </c>
      <c r="B43" s="7"/>
      <c r="C43" s="7"/>
      <c r="D43" s="7"/>
      <c r="E43" s="7"/>
      <c r="F43" s="7"/>
      <c r="G43" s="7"/>
      <c r="H43" s="7"/>
    </row>
    <row r="44" spans="1:8" ht="14.25">
      <c r="A44" s="7" t="s">
        <v>113</v>
      </c>
      <c r="B44" s="7"/>
      <c r="C44" s="7"/>
      <c r="D44" s="7"/>
      <c r="E44" s="325">
        <v>0.08</v>
      </c>
      <c r="F44" s="7"/>
      <c r="G44" s="7"/>
      <c r="H44" s="7"/>
    </row>
    <row r="45" spans="1:6" ht="14.25">
      <c r="A45" s="7" t="s">
        <v>63</v>
      </c>
      <c r="B45" s="7"/>
      <c r="C45" s="7" t="s">
        <v>3</v>
      </c>
      <c r="D45" s="7"/>
      <c r="E45" s="7"/>
      <c r="F45" s="7"/>
    </row>
    <row r="47" spans="1:4" ht="12.75">
      <c r="A47" s="72" t="s">
        <v>5</v>
      </c>
      <c r="B47" s="72" t="s">
        <v>12</v>
      </c>
      <c r="C47" s="72" t="s">
        <v>14</v>
      </c>
      <c r="D47" s="72" t="s">
        <v>13</v>
      </c>
    </row>
    <row r="48" spans="1:4" s="51" customFormat="1" ht="12">
      <c r="A48" s="47">
        <v>2009</v>
      </c>
      <c r="B48" s="49">
        <v>600000</v>
      </c>
      <c r="C48" s="326">
        <v>0.06</v>
      </c>
      <c r="D48" s="49">
        <f>B48*0.06</f>
        <v>36000</v>
      </c>
    </row>
    <row r="49" spans="1:4" s="51" customFormat="1" ht="12">
      <c r="A49" s="47">
        <v>2010</v>
      </c>
      <c r="B49" s="49">
        <f>B48+(B48*$E$44)</f>
        <v>648000</v>
      </c>
      <c r="C49" s="326">
        <v>0.06</v>
      </c>
      <c r="D49" s="49">
        <f>B49*0.06</f>
        <v>38880</v>
      </c>
    </row>
    <row r="50" spans="1:4" s="51" customFormat="1" ht="12">
      <c r="A50" s="47">
        <v>2011</v>
      </c>
      <c r="B50" s="49">
        <f>B49+(B49*$E$44)</f>
        <v>699840</v>
      </c>
      <c r="C50" s="326">
        <v>0.06</v>
      </c>
      <c r="D50" s="49">
        <f>B50*0.06</f>
        <v>41990.4</v>
      </c>
    </row>
    <row r="51" spans="1:4" s="51" customFormat="1" ht="12">
      <c r="A51" s="47">
        <v>2012</v>
      </c>
      <c r="B51" s="49">
        <f>B50+(B50*$E$44)</f>
        <v>755827.2</v>
      </c>
      <c r="C51" s="326">
        <v>0.06</v>
      </c>
      <c r="D51" s="49">
        <f>B51*0.06</f>
        <v>45349.632</v>
      </c>
    </row>
    <row r="52" spans="1:5" s="51" customFormat="1" ht="12">
      <c r="A52" s="47">
        <v>2013</v>
      </c>
      <c r="B52" s="49">
        <f>B51+(B51*$E$44)</f>
        <v>816293.3759999999</v>
      </c>
      <c r="C52" s="326">
        <v>0.06</v>
      </c>
      <c r="D52" s="49">
        <f>B52*0.06</f>
        <v>48977.60255999999</v>
      </c>
      <c r="E52" s="51" t="s">
        <v>228</v>
      </c>
    </row>
    <row r="53" spans="1:4" s="51" customFormat="1" ht="12">
      <c r="A53" s="73" t="s">
        <v>15</v>
      </c>
      <c r="B53" s="74">
        <f>SUM(B48:B52)</f>
        <v>3519960.5760000004</v>
      </c>
      <c r="C53" s="75"/>
      <c r="D53" s="74">
        <f>SUM(D48:D52)</f>
        <v>211197.63456</v>
      </c>
    </row>
    <row r="54" spans="3:5" ht="12.75">
      <c r="C54" s="6"/>
      <c r="E54" s="6"/>
    </row>
    <row r="55" spans="1:5" ht="12.75">
      <c r="A55" s="16"/>
      <c r="B55" s="16"/>
      <c r="C55" s="16"/>
      <c r="D55" s="16"/>
      <c r="E55" s="16"/>
    </row>
    <row r="56" ht="12.75">
      <c r="D56" s="14"/>
    </row>
    <row r="57" spans="1:8" ht="19.5">
      <c r="A57" s="279" t="s">
        <v>64</v>
      </c>
      <c r="B57" s="279"/>
      <c r="C57" s="279"/>
      <c r="D57" s="279"/>
      <c r="E57" s="279"/>
      <c r="F57" s="279"/>
      <c r="G57" s="279"/>
      <c r="H57" s="279"/>
    </row>
    <row r="58" spans="1:8" ht="19.5">
      <c r="A58" s="184"/>
      <c r="B58" s="184"/>
      <c r="C58" s="184"/>
      <c r="D58" s="184"/>
      <c r="E58" s="184"/>
      <c r="F58" s="184"/>
      <c r="G58" s="184"/>
      <c r="H58" s="184"/>
    </row>
    <row r="59" spans="9:14" ht="13.5" thickBot="1">
      <c r="I59" s="16"/>
      <c r="J59" s="81"/>
      <c r="K59" s="81"/>
      <c r="L59" s="81"/>
      <c r="M59" s="81"/>
      <c r="N59" s="81"/>
    </row>
    <row r="60" spans="1:14" ht="18">
      <c r="A60" s="289" t="s">
        <v>70</v>
      </c>
      <c r="B60" s="290"/>
      <c r="C60" s="290"/>
      <c r="D60" s="290"/>
      <c r="E60" s="290"/>
      <c r="F60" s="290"/>
      <c r="G60" s="291"/>
      <c r="H60" s="188"/>
      <c r="I60" s="16"/>
      <c r="J60" s="81"/>
      <c r="K60" s="81"/>
      <c r="L60" s="81"/>
      <c r="M60" s="81"/>
      <c r="N60" s="81"/>
    </row>
    <row r="61" spans="1:14" ht="12.75">
      <c r="A61" s="276" t="s">
        <v>77</v>
      </c>
      <c r="B61" s="277"/>
      <c r="C61" s="277"/>
      <c r="D61" s="277"/>
      <c r="E61" s="277"/>
      <c r="F61" s="277"/>
      <c r="G61" s="278"/>
      <c r="H61" s="189"/>
      <c r="I61" s="16"/>
      <c r="J61" s="16"/>
      <c r="K61" s="16"/>
      <c r="L61" s="16"/>
      <c r="M61" s="16"/>
      <c r="N61" s="16"/>
    </row>
    <row r="62" spans="1:14" ht="12.75">
      <c r="A62" s="114"/>
      <c r="B62" s="65"/>
      <c r="C62" s="65"/>
      <c r="D62" s="65"/>
      <c r="E62" s="65"/>
      <c r="F62" s="65"/>
      <c r="G62" s="115"/>
      <c r="H62" s="190"/>
      <c r="I62" s="16"/>
      <c r="J62" s="16"/>
      <c r="K62" s="16"/>
      <c r="L62" s="16"/>
      <c r="M62" s="16"/>
      <c r="N62" s="16"/>
    </row>
    <row r="63" spans="1:13" ht="12.75">
      <c r="A63" s="103"/>
      <c r="B63" s="80">
        <v>2009</v>
      </c>
      <c r="C63" s="80">
        <v>2010</v>
      </c>
      <c r="D63" s="80">
        <v>2011</v>
      </c>
      <c r="E63" s="80">
        <v>2012</v>
      </c>
      <c r="F63" s="80">
        <v>2013</v>
      </c>
      <c r="G63" s="116" t="s">
        <v>8</v>
      </c>
      <c r="H63" s="16"/>
      <c r="I63" s="16"/>
      <c r="J63" s="16"/>
      <c r="K63" s="16"/>
      <c r="L63" s="16"/>
      <c r="M63" s="16"/>
    </row>
    <row r="64" spans="1:13" ht="15">
      <c r="A64" s="117" t="s">
        <v>72</v>
      </c>
      <c r="B64" s="79"/>
      <c r="C64" s="79"/>
      <c r="D64" s="79"/>
      <c r="E64" s="79"/>
      <c r="F64" s="79"/>
      <c r="G64" s="118"/>
      <c r="H64" s="16"/>
      <c r="I64" s="16"/>
      <c r="J64" s="16"/>
      <c r="K64" s="16"/>
      <c r="L64" s="16"/>
      <c r="M64" s="16"/>
    </row>
    <row r="65" spans="1:13" ht="12.75">
      <c r="A65" s="245" t="s">
        <v>25</v>
      </c>
      <c r="B65" s="241">
        <f>G27</f>
        <v>377865</v>
      </c>
      <c r="C65" s="241">
        <f>G28</f>
        <v>405560.99304</v>
      </c>
      <c r="D65" s="241">
        <f>G29</f>
        <v>435286.99158585985</v>
      </c>
      <c r="E65" s="241">
        <f>G30</f>
        <v>467191.786921137</v>
      </c>
      <c r="F65" s="241">
        <f>G31</f>
        <v>501435.0761353086</v>
      </c>
      <c r="G65" s="246">
        <f>SUM(B65:F65)</f>
        <v>2187339.8476823056</v>
      </c>
      <c r="H65" s="232"/>
      <c r="I65" s="16"/>
      <c r="J65" s="16"/>
      <c r="K65" s="16"/>
      <c r="L65" s="16"/>
      <c r="M65" s="16"/>
    </row>
    <row r="66" spans="1:13" ht="12.75">
      <c r="A66" s="119" t="s">
        <v>26</v>
      </c>
      <c r="B66" s="46">
        <f>I27</f>
        <v>14837.499</v>
      </c>
      <c r="C66" s="46">
        <f>I28</f>
        <v>15925.028326704001</v>
      </c>
      <c r="D66" s="46">
        <f>I29</f>
        <v>17092.269202938096</v>
      </c>
      <c r="E66" s="46">
        <f>I30</f>
        <v>18345.06416643665</v>
      </c>
      <c r="F66" s="46">
        <f>I31</f>
        <v>19689.683989579786</v>
      </c>
      <c r="G66" s="104">
        <f>SUM(B66:F66)</f>
        <v>85889.54468565853</v>
      </c>
      <c r="H66" s="16"/>
      <c r="I66" s="168"/>
      <c r="J66" s="181"/>
      <c r="K66" s="16"/>
      <c r="L66" s="16"/>
      <c r="M66" s="16"/>
    </row>
    <row r="67" spans="1:13" ht="12.75">
      <c r="A67" s="105" t="s">
        <v>73</v>
      </c>
      <c r="B67" s="76">
        <f>SUM(B65:B66)</f>
        <v>392702.499</v>
      </c>
      <c r="C67" s="76">
        <f>SUM(C65:C66)</f>
        <v>421486.02136670396</v>
      </c>
      <c r="D67" s="76">
        <f>SUM(D65:D66)</f>
        <v>452379.2607887979</v>
      </c>
      <c r="E67" s="76">
        <f>SUM(E65:E66)</f>
        <v>485536.8510875737</v>
      </c>
      <c r="F67" s="76">
        <f>SUM(F65:F66)</f>
        <v>521124.7601248884</v>
      </c>
      <c r="G67" s="106">
        <f>SUM(B67:F67)</f>
        <v>2273229.392367964</v>
      </c>
      <c r="H67" s="16"/>
      <c r="I67" s="168"/>
      <c r="J67" s="182"/>
      <c r="K67" s="16"/>
      <c r="L67" s="16"/>
      <c r="M67" s="16"/>
    </row>
    <row r="68" spans="1:13" ht="15">
      <c r="A68" s="117" t="s">
        <v>71</v>
      </c>
      <c r="B68" s="78"/>
      <c r="C68" s="78"/>
      <c r="D68" s="78"/>
      <c r="E68" s="78"/>
      <c r="F68" s="78"/>
      <c r="G68" s="120"/>
      <c r="H68" s="16"/>
      <c r="I68" s="168"/>
      <c r="J68" s="183"/>
      <c r="K68" s="16"/>
      <c r="L68" s="16"/>
      <c r="M68" s="16"/>
    </row>
    <row r="69" spans="1:13" ht="12.75">
      <c r="A69" s="105" t="s">
        <v>106</v>
      </c>
      <c r="B69" s="46"/>
      <c r="C69" s="46"/>
      <c r="D69" s="46"/>
      <c r="E69" s="46"/>
      <c r="F69" s="46"/>
      <c r="G69" s="104" t="s">
        <v>3</v>
      </c>
      <c r="H69" s="16"/>
      <c r="I69" s="168"/>
      <c r="J69" s="102"/>
      <c r="K69" s="16"/>
      <c r="L69" s="16"/>
      <c r="M69" s="16"/>
    </row>
    <row r="70" spans="1:13" ht="12.75">
      <c r="A70" s="103" t="s">
        <v>125</v>
      </c>
      <c r="B70" s="46">
        <f>D48</f>
        <v>36000</v>
      </c>
      <c r="C70" s="46">
        <f>D49</f>
        <v>38880</v>
      </c>
      <c r="D70" s="46">
        <f>D50</f>
        <v>41990.4</v>
      </c>
      <c r="E70" s="46">
        <f>D51</f>
        <v>45349.632</v>
      </c>
      <c r="F70" s="46">
        <f>D52</f>
        <v>48977.60255999999</v>
      </c>
      <c r="G70" s="104">
        <f>SUM(B70:F70)</f>
        <v>211197.63456</v>
      </c>
      <c r="H70" s="16"/>
      <c r="I70" s="16"/>
      <c r="J70" s="16"/>
      <c r="K70" s="16"/>
      <c r="L70" s="16"/>
      <c r="M70" s="16"/>
    </row>
    <row r="71" spans="1:7" ht="12.75">
      <c r="A71" s="245" t="s">
        <v>193</v>
      </c>
      <c r="B71" s="241">
        <f>H27</f>
        <v>41985</v>
      </c>
      <c r="C71" s="241">
        <f>H28</f>
        <v>45062.33256</v>
      </c>
      <c r="D71" s="241">
        <f>H29</f>
        <v>48365.22128731776</v>
      </c>
      <c r="E71" s="241">
        <f>H30</f>
        <v>51910.198546793006</v>
      </c>
      <c r="F71" s="241">
        <f>H31</f>
        <v>55715.00845947874</v>
      </c>
      <c r="G71" s="246">
        <f>SUM(B71:F71)</f>
        <v>243037.7608535895</v>
      </c>
    </row>
    <row r="72" spans="1:9" ht="12.75">
      <c r="A72" s="245" t="s">
        <v>27</v>
      </c>
      <c r="B72" s="241">
        <f>3500*12</f>
        <v>42000</v>
      </c>
      <c r="C72" s="241">
        <f>B72*1.05</f>
        <v>44100</v>
      </c>
      <c r="D72" s="241">
        <f>C72*1.05</f>
        <v>46305</v>
      </c>
      <c r="E72" s="241">
        <f>D72*1.05</f>
        <v>48620.25</v>
      </c>
      <c r="F72" s="241">
        <f>E72*1.05</f>
        <v>51051.262500000004</v>
      </c>
      <c r="G72" s="246">
        <f>SUM(B72:F72)</f>
        <v>232076.5125</v>
      </c>
      <c r="H72" s="233"/>
      <c r="I72" s="234"/>
    </row>
    <row r="73" spans="1:7" ht="12.75">
      <c r="A73" s="105" t="s">
        <v>30</v>
      </c>
      <c r="B73" s="76">
        <f>SUM(B70:B72)</f>
        <v>119985</v>
      </c>
      <c r="C73" s="76">
        <f>SUM(C70:C72)</f>
        <v>128042.33256000001</v>
      </c>
      <c r="D73" s="76">
        <f>SUM(D70:D72)</f>
        <v>136660.62128731777</v>
      </c>
      <c r="E73" s="76">
        <f>SUM(E70:E72)</f>
        <v>145880.080546793</v>
      </c>
      <c r="F73" s="76">
        <f>SUM(F70:F72)</f>
        <v>155743.87351947874</v>
      </c>
      <c r="G73" s="106">
        <f>SUM(G70:G72)</f>
        <v>686311.9079135896</v>
      </c>
    </row>
    <row r="74" spans="1:7" ht="12.75">
      <c r="A74" s="105" t="s">
        <v>107</v>
      </c>
      <c r="B74" s="46"/>
      <c r="C74" s="46"/>
      <c r="D74" s="46"/>
      <c r="E74" s="46"/>
      <c r="F74" s="46"/>
      <c r="G74" s="104"/>
    </row>
    <row r="75" spans="1:7" ht="12.75">
      <c r="A75" s="245" t="s">
        <v>192</v>
      </c>
      <c r="B75" s="241">
        <v>5000</v>
      </c>
      <c r="C75" s="241">
        <f>B75*1.05</f>
        <v>5250</v>
      </c>
      <c r="D75" s="241">
        <f aca="true" t="shared" si="0" ref="D75:F76">C75*1.05</f>
        <v>5512.5</v>
      </c>
      <c r="E75" s="241">
        <f t="shared" si="0"/>
        <v>5788.125</v>
      </c>
      <c r="F75" s="241">
        <f t="shared" si="0"/>
        <v>6077.53125</v>
      </c>
      <c r="G75" s="246">
        <f aca="true" t="shared" si="1" ref="G75:G80">SUM(B75:F75)</f>
        <v>27628.15625</v>
      </c>
    </row>
    <row r="76" spans="1:7" ht="12.75">
      <c r="A76" s="103" t="s">
        <v>104</v>
      </c>
      <c r="B76" s="46">
        <v>4680</v>
      </c>
      <c r="C76" s="46">
        <f>B76*1.05</f>
        <v>4914</v>
      </c>
      <c r="D76" s="46">
        <f t="shared" si="0"/>
        <v>5159.7</v>
      </c>
      <c r="E76" s="46">
        <f t="shared" si="0"/>
        <v>5417.685</v>
      </c>
      <c r="F76" s="46">
        <f t="shared" si="0"/>
        <v>5688.5692500000005</v>
      </c>
      <c r="G76" s="104">
        <f t="shared" si="1"/>
        <v>25859.954250000003</v>
      </c>
    </row>
    <row r="77" spans="1:8" ht="12.75">
      <c r="A77" s="245" t="s">
        <v>75</v>
      </c>
      <c r="B77" s="241">
        <v>32400</v>
      </c>
      <c r="C77" s="241">
        <v>32400</v>
      </c>
      <c r="D77" s="241">
        <v>32400</v>
      </c>
      <c r="E77" s="241">
        <v>32400</v>
      </c>
      <c r="F77" s="241">
        <v>32400</v>
      </c>
      <c r="G77" s="246">
        <f t="shared" si="1"/>
        <v>162000</v>
      </c>
      <c r="H77" s="233"/>
    </row>
    <row r="78" spans="1:13" s="21" customFormat="1" ht="12.75">
      <c r="A78" s="245" t="s">
        <v>101</v>
      </c>
      <c r="B78" s="241">
        <f>700*12</f>
        <v>8400</v>
      </c>
      <c r="C78" s="241">
        <f>700*12</f>
        <v>8400</v>
      </c>
      <c r="D78" s="241">
        <f>700*12</f>
        <v>8400</v>
      </c>
      <c r="E78" s="241">
        <f>700*12</f>
        <v>8400</v>
      </c>
      <c r="F78" s="241">
        <f>700*12</f>
        <v>8400</v>
      </c>
      <c r="G78" s="246">
        <f t="shared" si="1"/>
        <v>42000</v>
      </c>
      <c r="H78"/>
      <c r="I78"/>
      <c r="J78"/>
      <c r="K78"/>
      <c r="L78"/>
      <c r="M78"/>
    </row>
    <row r="79" spans="1:13" s="21" customFormat="1" ht="12.75">
      <c r="A79" s="245" t="s">
        <v>28</v>
      </c>
      <c r="B79" s="241">
        <f>'[1]SALARIOS'!$F$29</f>
        <v>138963.36000000002</v>
      </c>
      <c r="C79" s="241">
        <f>'[1]SALARIOS'!$F$29</f>
        <v>138963.36000000002</v>
      </c>
      <c r="D79" s="241">
        <f>'[1]SALARIOS'!$F$29</f>
        <v>138963.36000000002</v>
      </c>
      <c r="E79" s="241">
        <f>'[1]SALARIOS'!$F$29</f>
        <v>138963.36000000002</v>
      </c>
      <c r="F79" s="241">
        <f>'[1]SALARIOS'!$F$29</f>
        <v>138963.36000000002</v>
      </c>
      <c r="G79" s="246">
        <f t="shared" si="1"/>
        <v>694816.8</v>
      </c>
      <c r="H79" s="233"/>
      <c r="I79"/>
      <c r="J79"/>
      <c r="K79"/>
      <c r="L79"/>
      <c r="M79"/>
    </row>
    <row r="80" spans="1:7" ht="12.75">
      <c r="A80" s="103" t="s">
        <v>29</v>
      </c>
      <c r="B80" s="46">
        <f>'[1]SALARIOS'!$I$15</f>
        <v>19323.86</v>
      </c>
      <c r="C80" s="46">
        <f>'[1]SALARIOS'!$I$15</f>
        <v>19323.86</v>
      </c>
      <c r="D80" s="46">
        <f>'[1]SALARIOS'!$I$15</f>
        <v>19323.86</v>
      </c>
      <c r="E80" s="46">
        <f>'[1]SALARIOS'!$I$15</f>
        <v>19323.86</v>
      </c>
      <c r="F80" s="46">
        <f>'[1]SALARIOS'!$I$15</f>
        <v>19323.86</v>
      </c>
      <c r="G80" s="104">
        <f t="shared" si="1"/>
        <v>96619.3</v>
      </c>
    </row>
    <row r="81" spans="1:7" ht="12.75">
      <c r="A81" s="121" t="s">
        <v>194</v>
      </c>
      <c r="B81" s="46">
        <v>485</v>
      </c>
      <c r="C81" s="46">
        <f>B81*1.05</f>
        <v>509.25</v>
      </c>
      <c r="D81" s="46">
        <f>C81*1.05</f>
        <v>534.7125</v>
      </c>
      <c r="E81" s="46">
        <f>D81*1.05</f>
        <v>561.448125</v>
      </c>
      <c r="F81" s="46">
        <f>E81*1.05</f>
        <v>589.52053125</v>
      </c>
      <c r="G81" s="104">
        <f>SUM(B81:F81)</f>
        <v>2679.9311562499997</v>
      </c>
    </row>
    <row r="82" spans="1:7" ht="12.75">
      <c r="A82" s="103" t="s">
        <v>31</v>
      </c>
      <c r="B82" s="46">
        <f>'DEP. Y AMORT.'!B59</f>
        <v>13673.5136</v>
      </c>
      <c r="C82" s="46">
        <f>'DEP. Y AMORT.'!C59</f>
        <v>13673.5136</v>
      </c>
      <c r="D82" s="46">
        <f>'DEP. Y AMORT.'!D59</f>
        <v>13673.5136</v>
      </c>
      <c r="E82" s="46">
        <f>'DEP. Y AMORT.'!E59</f>
        <v>10791.5136</v>
      </c>
      <c r="F82" s="46">
        <f>'DEP. Y AMORT.'!F59</f>
        <v>10791.5136</v>
      </c>
      <c r="G82" s="104">
        <f aca="true" t="shared" si="2" ref="G82:G88">SUM(B82:F82)</f>
        <v>62603.568</v>
      </c>
    </row>
    <row r="83" spans="1:7" ht="12.75">
      <c r="A83" s="103" t="s">
        <v>32</v>
      </c>
      <c r="B83" s="46">
        <f>'DEP. Y AMORT.'!B84</f>
        <v>572</v>
      </c>
      <c r="C83" s="46">
        <f>'DEP. Y AMORT.'!C84</f>
        <v>572</v>
      </c>
      <c r="D83" s="46">
        <f>'DEP. Y AMORT.'!D84</f>
        <v>572</v>
      </c>
      <c r="E83" s="46">
        <f>'DEP. Y AMORT.'!E84</f>
        <v>572</v>
      </c>
      <c r="F83" s="46">
        <f>'DEP. Y AMORT.'!F84</f>
        <v>572</v>
      </c>
      <c r="G83" s="104">
        <f>SUM(B83:F83)</f>
        <v>2860</v>
      </c>
    </row>
    <row r="84" spans="1:7" ht="12.75">
      <c r="A84" s="105" t="s">
        <v>76</v>
      </c>
      <c r="B84" s="76">
        <f>SUM(B75:B83)</f>
        <v>223497.73360000004</v>
      </c>
      <c r="C84" s="76">
        <f>SUM(C75:C83)</f>
        <v>224005.98360000004</v>
      </c>
      <c r="D84" s="76">
        <f>SUM(D75:D83)</f>
        <v>224539.64609999998</v>
      </c>
      <c r="E84" s="76">
        <f>SUM(E75:E83)</f>
        <v>222217.99172500003</v>
      </c>
      <c r="F84" s="76">
        <f>SUM(F75:F83)</f>
        <v>222806.35463125003</v>
      </c>
      <c r="G84" s="106">
        <f>SUM(B84:F84)</f>
        <v>1117067.7096562502</v>
      </c>
    </row>
    <row r="85" spans="1:7" ht="12.75">
      <c r="A85" s="105" t="s">
        <v>74</v>
      </c>
      <c r="B85" s="76">
        <f>B84+B73</f>
        <v>343482.73360000004</v>
      </c>
      <c r="C85" s="76">
        <f>C84+C73</f>
        <v>352048.31616000005</v>
      </c>
      <c r="D85" s="76">
        <f>D84+D73</f>
        <v>361200.2673873177</v>
      </c>
      <c r="E85" s="76">
        <f>E84+E73</f>
        <v>368098.07227179303</v>
      </c>
      <c r="F85" s="76">
        <f>F84+F73</f>
        <v>378550.22815072874</v>
      </c>
      <c r="G85" s="106">
        <f t="shared" si="2"/>
        <v>1803379.6175698396</v>
      </c>
    </row>
    <row r="86" spans="1:8" ht="12.75">
      <c r="A86" s="105" t="s">
        <v>33</v>
      </c>
      <c r="B86" s="46">
        <f>SUM(B67-B85)</f>
        <v>49219.765399999975</v>
      </c>
      <c r="C86" s="46">
        <f>SUM(C67-C85)</f>
        <v>69437.70520670392</v>
      </c>
      <c r="D86" s="46">
        <f>SUM(D67-D85)</f>
        <v>91178.9934014802</v>
      </c>
      <c r="E86" s="46">
        <f>SUM(E67-E85)</f>
        <v>117438.77881578065</v>
      </c>
      <c r="F86" s="46">
        <f>SUM(F67-F85)</f>
        <v>142574.53197415965</v>
      </c>
      <c r="G86" s="104">
        <f t="shared" si="2"/>
        <v>469849.7747981244</v>
      </c>
      <c r="H86" s="236"/>
    </row>
    <row r="87" spans="1:13" ht="12.75">
      <c r="A87" s="103" t="s">
        <v>34</v>
      </c>
      <c r="B87" s="46">
        <f>B86*0.15</f>
        <v>7382.964809999996</v>
      </c>
      <c r="C87" s="46">
        <f>C86*0.15</f>
        <v>10415.655781005587</v>
      </c>
      <c r="D87" s="46">
        <f>D86*0.15</f>
        <v>13676.84901022203</v>
      </c>
      <c r="E87" s="46">
        <f>E86*0.15</f>
        <v>17615.8168223671</v>
      </c>
      <c r="F87" s="46">
        <f>F86*0.15</f>
        <v>21386.179796123946</v>
      </c>
      <c r="G87" s="104">
        <f>SUM(B87:F87)</f>
        <v>70477.46621971866</v>
      </c>
      <c r="H87" s="21"/>
      <c r="I87" s="21"/>
      <c r="J87" s="21"/>
      <c r="K87" s="21"/>
      <c r="L87" s="21"/>
      <c r="M87" s="21"/>
    </row>
    <row r="88" spans="1:13" ht="12.75">
      <c r="A88" s="105" t="s">
        <v>60</v>
      </c>
      <c r="B88" s="46">
        <f>SUM(B86-B87)</f>
        <v>41836.80058999998</v>
      </c>
      <c r="C88" s="46">
        <f>SUM(C86-C87)</f>
        <v>59022.04942569833</v>
      </c>
      <c r="D88" s="46">
        <f>SUM(D86-D87)</f>
        <v>77502.14439125817</v>
      </c>
      <c r="E88" s="46">
        <f>SUM(E86-E87)</f>
        <v>99822.96199341356</v>
      </c>
      <c r="F88" s="46">
        <f>SUM(F86-F87)</f>
        <v>121188.3521780357</v>
      </c>
      <c r="G88" s="104">
        <f t="shared" si="2"/>
        <v>399372.30857840576</v>
      </c>
      <c r="H88" s="21"/>
      <c r="I88" s="21"/>
      <c r="J88" s="21"/>
      <c r="K88" s="21"/>
      <c r="L88" s="21"/>
      <c r="M88" s="21"/>
    </row>
    <row r="89" spans="1:7" ht="12.75">
      <c r="A89" s="103" t="s">
        <v>37</v>
      </c>
      <c r="B89" s="46">
        <f>B88*0.25</f>
        <v>10459.200147499994</v>
      </c>
      <c r="C89" s="46">
        <f aca="true" t="shared" si="3" ref="C89:H89">C88*0.25</f>
        <v>14755.512356424582</v>
      </c>
      <c r="D89" s="46">
        <f t="shared" si="3"/>
        <v>19375.536097814544</v>
      </c>
      <c r="E89" s="46">
        <f t="shared" si="3"/>
        <v>24955.74049835339</v>
      </c>
      <c r="F89" s="46">
        <f t="shared" si="3"/>
        <v>30297.088044508924</v>
      </c>
      <c r="G89" s="104">
        <f t="shared" si="3"/>
        <v>99843.07714460144</v>
      </c>
    </row>
    <row r="90" spans="1:7" ht="15">
      <c r="A90" s="117" t="s">
        <v>35</v>
      </c>
      <c r="B90" s="78">
        <f>SUM(B88-B89)</f>
        <v>31377.600442499985</v>
      </c>
      <c r="C90" s="78">
        <f>SUM(C88-C89)</f>
        <v>44266.53706927375</v>
      </c>
      <c r="D90" s="78">
        <f>SUM(D88-D89)</f>
        <v>58126.60829344363</v>
      </c>
      <c r="E90" s="78">
        <f>SUM(E88-E89)</f>
        <v>74867.22149506016</v>
      </c>
      <c r="F90" s="78">
        <f>SUM(F88-F89)</f>
        <v>90891.26413352677</v>
      </c>
      <c r="G90" s="120">
        <f>SUM(B90:F90)</f>
        <v>299529.23143380426</v>
      </c>
    </row>
    <row r="91" spans="1:7" ht="13.5" thickBot="1">
      <c r="A91" s="122" t="s">
        <v>36</v>
      </c>
      <c r="B91" s="123">
        <f>SUM(B90/B67)</f>
        <v>0.07990170809302638</v>
      </c>
      <c r="C91" s="123">
        <f>SUM(C90/C67)</f>
        <v>0.10502492330762422</v>
      </c>
      <c r="D91" s="123">
        <f>SUM(D90/D67)</f>
        <v>0.12849087774733592</v>
      </c>
      <c r="E91" s="123">
        <f>SUM(E90/E67)</f>
        <v>0.15419472554423425</v>
      </c>
      <c r="F91" s="123">
        <f>SUM(F90/F67)</f>
        <v>0.17441363582828906</v>
      </c>
      <c r="G91" s="124"/>
    </row>
    <row r="94" spans="1:7" ht="18">
      <c r="A94" s="292" t="s">
        <v>96</v>
      </c>
      <c r="B94" s="292"/>
      <c r="C94" s="292"/>
      <c r="D94" s="292"/>
      <c r="E94" s="292"/>
      <c r="F94" s="292"/>
      <c r="G94" s="292"/>
    </row>
    <row r="95" spans="1:7" ht="12.75">
      <c r="A95" s="70"/>
      <c r="B95" s="176" t="s">
        <v>100</v>
      </c>
      <c r="C95" s="176">
        <v>2009</v>
      </c>
      <c r="D95" s="176">
        <v>2010</v>
      </c>
      <c r="E95" s="176">
        <v>2011</v>
      </c>
      <c r="F95" s="176">
        <v>2012</v>
      </c>
      <c r="G95" s="176">
        <v>2013</v>
      </c>
    </row>
    <row r="96" spans="1:7" ht="12.75">
      <c r="A96" s="173" t="s">
        <v>72</v>
      </c>
      <c r="B96" s="174"/>
      <c r="C96" s="174"/>
      <c r="D96" s="174"/>
      <c r="E96" s="174"/>
      <c r="F96" s="174"/>
      <c r="G96" s="174"/>
    </row>
    <row r="97" spans="1:7" ht="12.75">
      <c r="A97" s="70" t="s">
        <v>20</v>
      </c>
      <c r="B97" s="46"/>
      <c r="C97" s="46">
        <f>$B48</f>
        <v>600000</v>
      </c>
      <c r="D97" s="46">
        <f>$B49</f>
        <v>648000</v>
      </c>
      <c r="E97" s="46">
        <f>$B50</f>
        <v>699840</v>
      </c>
      <c r="F97" s="46">
        <f>$B51</f>
        <v>755827.2</v>
      </c>
      <c r="G97" s="46">
        <f>$B52</f>
        <v>816293.3759999999</v>
      </c>
    </row>
    <row r="98" spans="1:7" ht="12.75">
      <c r="A98" s="237" t="s">
        <v>127</v>
      </c>
      <c r="B98" s="241"/>
      <c r="C98" s="241">
        <f>C101-(C101*0.1178)</f>
        <v>1851958.35</v>
      </c>
      <c r="D98" s="241">
        <f>D101-(D101*0.1178)</f>
        <v>1987699.4892216</v>
      </c>
      <c r="E98" s="241">
        <f>E101-(E101*0.1178)</f>
        <v>2133389.910983586</v>
      </c>
      <c r="F98" s="241">
        <f>F101-(F101*0.1178)</f>
        <v>2289758.8578990395</v>
      </c>
      <c r="G98" s="241">
        <f>G101-(G101*0.1178)</f>
        <v>2457589.023147607</v>
      </c>
    </row>
    <row r="99" spans="1:7" ht="12.75">
      <c r="A99" s="71" t="s">
        <v>126</v>
      </c>
      <c r="B99" s="76"/>
      <c r="C99" s="76">
        <f>SUM(C97:C98)</f>
        <v>2451958.35</v>
      </c>
      <c r="D99" s="76">
        <f>SUM(D97:D98)</f>
        <v>2635699.4892216</v>
      </c>
      <c r="E99" s="76">
        <f>SUM(E97:E98)</f>
        <v>2833229.910983586</v>
      </c>
      <c r="F99" s="76">
        <f>SUM(F97:F98)</f>
        <v>3045586.0578990392</v>
      </c>
      <c r="G99" s="76">
        <f>SUM(G97:G98)</f>
        <v>3273882.3991476074</v>
      </c>
    </row>
    <row r="100" spans="1:7" ht="12.75">
      <c r="A100" s="173" t="s">
        <v>97</v>
      </c>
      <c r="B100" s="174"/>
      <c r="C100" s="174"/>
      <c r="D100" s="174"/>
      <c r="E100" s="174"/>
      <c r="F100" s="174"/>
      <c r="G100" s="174"/>
    </row>
    <row r="101" spans="1:7" ht="12.75">
      <c r="A101" s="70" t="s">
        <v>102</v>
      </c>
      <c r="B101" s="46"/>
      <c r="C101" s="46">
        <f>F27</f>
        <v>2099250</v>
      </c>
      <c r="D101" s="46">
        <f>F28</f>
        <v>2253116.628</v>
      </c>
      <c r="E101" s="46">
        <f>F29</f>
        <v>2418261.064365888</v>
      </c>
      <c r="F101" s="46">
        <f>F30</f>
        <v>2595509.92733965</v>
      </c>
      <c r="G101" s="46">
        <f>F31</f>
        <v>2785750.422973937</v>
      </c>
    </row>
    <row r="102" spans="1:7" ht="12.75">
      <c r="A102" s="70" t="s">
        <v>21</v>
      </c>
      <c r="B102" s="46"/>
      <c r="C102" s="250">
        <v>3000</v>
      </c>
      <c r="D102" s="46">
        <v>3000</v>
      </c>
      <c r="E102" s="46">
        <v>3000</v>
      </c>
      <c r="F102" s="46">
        <v>3000</v>
      </c>
      <c r="G102" s="46">
        <v>3000</v>
      </c>
    </row>
    <row r="103" spans="1:7" ht="12.75">
      <c r="A103" s="70" t="s">
        <v>24</v>
      </c>
      <c r="B103" s="46"/>
      <c r="C103" s="250">
        <v>1800</v>
      </c>
      <c r="D103" s="46">
        <v>1800</v>
      </c>
      <c r="E103" s="46">
        <v>1800</v>
      </c>
      <c r="F103" s="46">
        <v>1800</v>
      </c>
      <c r="G103" s="46">
        <v>1800</v>
      </c>
    </row>
    <row r="104" spans="1:7" ht="12.75">
      <c r="A104" s="71" t="s">
        <v>128</v>
      </c>
      <c r="B104" s="76"/>
      <c r="C104" s="76">
        <f>SUM(C101:C103)</f>
        <v>2104050</v>
      </c>
      <c r="D104" s="76">
        <f>SUM(D101:D103)</f>
        <v>2257916.628</v>
      </c>
      <c r="E104" s="76">
        <f>SUM(E101:E103)</f>
        <v>2423061.064365888</v>
      </c>
      <c r="F104" s="76">
        <f>SUM(F101:F103)</f>
        <v>2600309.92733965</v>
      </c>
      <c r="G104" s="76">
        <f>SUM(G101:G103)</f>
        <v>2790550.422973937</v>
      </c>
    </row>
    <row r="105" spans="1:7" ht="12.75">
      <c r="A105" s="71" t="s">
        <v>129</v>
      </c>
      <c r="B105" s="76"/>
      <c r="C105" s="76">
        <f>B86</f>
        <v>49219.765399999975</v>
      </c>
      <c r="D105" s="76">
        <f aca="true" t="shared" si="4" ref="D105:G108">C86</f>
        <v>69437.70520670392</v>
      </c>
      <c r="E105" s="76">
        <f t="shared" si="4"/>
        <v>91178.9934014802</v>
      </c>
      <c r="F105" s="76">
        <f t="shared" si="4"/>
        <v>117438.77881578065</v>
      </c>
      <c r="G105" s="76">
        <f t="shared" si="4"/>
        <v>142574.53197415965</v>
      </c>
    </row>
    <row r="106" spans="1:7" ht="12.75">
      <c r="A106" s="70" t="s">
        <v>22</v>
      </c>
      <c r="B106" s="46"/>
      <c r="C106" s="46">
        <f>B87</f>
        <v>7382.964809999996</v>
      </c>
      <c r="D106" s="46">
        <f t="shared" si="4"/>
        <v>10415.655781005587</v>
      </c>
      <c r="E106" s="46">
        <f t="shared" si="4"/>
        <v>13676.84901022203</v>
      </c>
      <c r="F106" s="46">
        <f t="shared" si="4"/>
        <v>17615.8168223671</v>
      </c>
      <c r="G106" s="46">
        <f t="shared" si="4"/>
        <v>21386.179796123946</v>
      </c>
    </row>
    <row r="107" spans="1:7" ht="12.75">
      <c r="A107" s="71" t="s">
        <v>130</v>
      </c>
      <c r="B107" s="76"/>
      <c r="C107" s="76">
        <f>B88</f>
        <v>41836.80058999998</v>
      </c>
      <c r="D107" s="76">
        <f t="shared" si="4"/>
        <v>59022.04942569833</v>
      </c>
      <c r="E107" s="76">
        <f t="shared" si="4"/>
        <v>77502.14439125817</v>
      </c>
      <c r="F107" s="76">
        <f t="shared" si="4"/>
        <v>99822.96199341356</v>
      </c>
      <c r="G107" s="76">
        <f t="shared" si="4"/>
        <v>121188.3521780357</v>
      </c>
    </row>
    <row r="108" spans="1:7" ht="12.75">
      <c r="A108" s="70" t="s">
        <v>23</v>
      </c>
      <c r="B108" s="46"/>
      <c r="C108" s="46">
        <f>B89</f>
        <v>10459.200147499994</v>
      </c>
      <c r="D108" s="46">
        <f t="shared" si="4"/>
        <v>14755.512356424582</v>
      </c>
      <c r="E108" s="46">
        <f t="shared" si="4"/>
        <v>19375.536097814544</v>
      </c>
      <c r="F108" s="46">
        <f t="shared" si="4"/>
        <v>24955.74049835339</v>
      </c>
      <c r="G108" s="46">
        <f t="shared" si="4"/>
        <v>30297.088044508924</v>
      </c>
    </row>
    <row r="109" spans="1:7" ht="12.75">
      <c r="A109" s="71" t="s">
        <v>131</v>
      </c>
      <c r="B109" s="76"/>
      <c r="C109" s="76">
        <f>C107-C108</f>
        <v>31377.600442499985</v>
      </c>
      <c r="D109" s="76">
        <f>D107-D108</f>
        <v>44266.53706927375</v>
      </c>
      <c r="E109" s="76">
        <f>E107-E108</f>
        <v>58126.60829344363</v>
      </c>
      <c r="F109" s="76">
        <f>F107-F108</f>
        <v>74867.22149506016</v>
      </c>
      <c r="G109" s="76">
        <f>G107-G108</f>
        <v>90891.26413352677</v>
      </c>
    </row>
    <row r="110" spans="1:7" ht="12.75">
      <c r="A110" s="77" t="s">
        <v>185</v>
      </c>
      <c r="B110" s="46"/>
      <c r="C110" s="46">
        <v>13673.5136</v>
      </c>
      <c r="D110" s="46">
        <v>13673.5136</v>
      </c>
      <c r="E110" s="46">
        <v>13673.5136</v>
      </c>
      <c r="F110" s="46">
        <v>10791.5136</v>
      </c>
      <c r="G110" s="46">
        <v>10791.5136</v>
      </c>
    </row>
    <row r="111" spans="1:7" ht="12.75">
      <c r="A111" s="70" t="s">
        <v>132</v>
      </c>
      <c r="B111" s="46"/>
      <c r="C111" s="46">
        <v>572</v>
      </c>
      <c r="D111" s="46">
        <v>572</v>
      </c>
      <c r="E111" s="46">
        <v>572</v>
      </c>
      <c r="F111" s="46">
        <v>572</v>
      </c>
      <c r="G111" s="46">
        <v>572</v>
      </c>
    </row>
    <row r="112" spans="1:7" ht="12.75">
      <c r="A112" s="77" t="s">
        <v>133</v>
      </c>
      <c r="B112" s="46"/>
      <c r="C112" s="46"/>
      <c r="D112" s="46"/>
      <c r="E112" s="46"/>
      <c r="F112" s="46"/>
      <c r="G112" s="46">
        <v>36177.568</v>
      </c>
    </row>
    <row r="113" spans="1:7" ht="25.5">
      <c r="A113" s="218" t="s">
        <v>229</v>
      </c>
      <c r="B113" s="46">
        <v>-1500000</v>
      </c>
      <c r="C113" s="46"/>
      <c r="D113" s="46"/>
      <c r="E113" s="46"/>
      <c r="F113" s="46"/>
      <c r="G113" s="46"/>
    </row>
    <row r="114" spans="1:7" ht="12.75">
      <c r="A114" s="173" t="s">
        <v>110</v>
      </c>
      <c r="B114" s="175">
        <f>B113</f>
        <v>-1500000</v>
      </c>
      <c r="C114" s="175">
        <f>C99-C104+C109+C110+C111+C113</f>
        <v>393531.46404250007</v>
      </c>
      <c r="D114" s="175">
        <f>D99-D104+D109+D110+D111+D113</f>
        <v>436294.9118908736</v>
      </c>
      <c r="E114" s="175">
        <f>E99-E104+E109+E110+E111+E113</f>
        <v>482540.96851114184</v>
      </c>
      <c r="F114" s="175">
        <f>F99-F104+F109+F110+F111+F113</f>
        <v>531506.8656544491</v>
      </c>
      <c r="G114" s="175">
        <f>G99-G104+G109+G110+G111+G113-G112</f>
        <v>549409.1859071972</v>
      </c>
    </row>
    <row r="115" spans="1:7" ht="12.75">
      <c r="A115" s="178" t="s">
        <v>98</v>
      </c>
      <c r="B115" s="179">
        <f>B124</f>
        <v>297690.7451104983</v>
      </c>
      <c r="C115" s="5"/>
      <c r="D115" s="5"/>
      <c r="E115" s="5"/>
      <c r="F115" s="5"/>
      <c r="G115" s="5"/>
    </row>
    <row r="116" spans="1:7" ht="12.75">
      <c r="A116" s="178" t="s">
        <v>99</v>
      </c>
      <c r="B116" s="179">
        <f>IRR(B114:G114)*100</f>
        <v>16.743039763309547</v>
      </c>
      <c r="C116" s="5"/>
      <c r="D116" s="5"/>
      <c r="E116" s="5"/>
      <c r="F116" s="5"/>
      <c r="G116" s="5"/>
    </row>
    <row r="118" ht="13.5" thickBot="1"/>
    <row r="119" spans="1:7" ht="12.75">
      <c r="A119" s="293" t="s">
        <v>114</v>
      </c>
      <c r="B119" s="294"/>
      <c r="C119" s="294"/>
      <c r="D119" s="294"/>
      <c r="E119" s="294"/>
      <c r="F119" s="294"/>
      <c r="G119" s="295"/>
    </row>
    <row r="120" spans="1:7" ht="12.75">
      <c r="A120" s="70" t="s">
        <v>115</v>
      </c>
      <c r="B120" s="170">
        <v>0.0974</v>
      </c>
      <c r="C120" s="70"/>
      <c r="D120" s="70"/>
      <c r="E120" s="70"/>
      <c r="F120" s="70"/>
      <c r="G120" s="70"/>
    </row>
    <row r="121" spans="1:7" ht="12.75">
      <c r="A121" s="70" t="s">
        <v>116</v>
      </c>
      <c r="B121" s="71">
        <v>0</v>
      </c>
      <c r="C121" s="71">
        <v>1</v>
      </c>
      <c r="D121" s="71">
        <v>2</v>
      </c>
      <c r="E121" s="71">
        <v>3</v>
      </c>
      <c r="F121" s="71">
        <v>4</v>
      </c>
      <c r="G121" s="71">
        <v>5</v>
      </c>
    </row>
    <row r="122" spans="1:7" ht="12.75">
      <c r="A122" s="70" t="s">
        <v>117</v>
      </c>
      <c r="B122" s="46">
        <f aca="true" t="shared" si="5" ref="B122:G122">B114</f>
        <v>-1500000</v>
      </c>
      <c r="C122" s="46">
        <f t="shared" si="5"/>
        <v>393531.46404250007</v>
      </c>
      <c r="D122" s="46">
        <f t="shared" si="5"/>
        <v>436294.9118908736</v>
      </c>
      <c r="E122" s="46">
        <f t="shared" si="5"/>
        <v>482540.96851114184</v>
      </c>
      <c r="F122" s="46">
        <f t="shared" si="5"/>
        <v>531506.8656544491</v>
      </c>
      <c r="G122" s="46">
        <f t="shared" si="5"/>
        <v>549409.1859071972</v>
      </c>
    </row>
    <row r="123" spans="1:7" ht="12.75">
      <c r="A123" s="71" t="s">
        <v>118</v>
      </c>
      <c r="B123" s="76">
        <f>(B122)/(1+$B$29)^B121</f>
        <v>-1500000</v>
      </c>
      <c r="C123" s="76">
        <f>(C122)/(1+$B$120)^C121</f>
        <v>358603.48463869153</v>
      </c>
      <c r="D123" s="76">
        <f>(D122)/(1+$B$120)^D121</f>
        <v>362284.90288382286</v>
      </c>
      <c r="E123" s="76">
        <f>(E122)/(1+$B$120)^E121</f>
        <v>365123.11171338893</v>
      </c>
      <c r="F123" s="76">
        <f>(F122)/(1+$B$120)^F121</f>
        <v>366478.9676475066</v>
      </c>
      <c r="G123" s="76">
        <f>(G122)/(1+$B$120)^G121</f>
        <v>345200.2782270883</v>
      </c>
    </row>
    <row r="124" spans="1:7" ht="12.75">
      <c r="A124" s="171" t="s">
        <v>98</v>
      </c>
      <c r="B124" s="172">
        <f>C123+D123+E123+F123+G123+H123+I123+J123+K123+L123+B123</f>
        <v>297690.7451104983</v>
      </c>
      <c r="C124" s="46"/>
      <c r="D124" s="46"/>
      <c r="E124" s="46"/>
      <c r="F124" s="46"/>
      <c r="G124" s="46"/>
    </row>
    <row r="136" spans="1:2" ht="12.75">
      <c r="A136" s="19" t="s">
        <v>3</v>
      </c>
      <c r="B136" s="19"/>
    </row>
    <row r="137" spans="1:2" ht="12.75">
      <c r="A137" s="20"/>
      <c r="B137" s="20"/>
    </row>
    <row r="138" spans="1:2" ht="12.75">
      <c r="A138" s="20" t="s">
        <v>3</v>
      </c>
      <c r="B138" s="20"/>
    </row>
    <row r="139" spans="1:2" ht="12.75">
      <c r="A139" s="20"/>
      <c r="B139" s="20"/>
    </row>
    <row r="140" spans="1:2" ht="12.75">
      <c r="A140" s="20" t="s">
        <v>3</v>
      </c>
      <c r="B140" s="20"/>
    </row>
    <row r="141" spans="1:2" ht="12.75">
      <c r="A141" s="20" t="s">
        <v>3</v>
      </c>
      <c r="B141" s="20"/>
    </row>
  </sheetData>
  <sheetProtection/>
  <mergeCells count="9">
    <mergeCell ref="A61:G61"/>
    <mergeCell ref="A94:G94"/>
    <mergeCell ref="A119:G119"/>
    <mergeCell ref="A3:C3"/>
    <mergeCell ref="A18:F18"/>
    <mergeCell ref="B24:B26"/>
    <mergeCell ref="C24:C26"/>
    <mergeCell ref="A57:H57"/>
    <mergeCell ref="A60:G60"/>
  </mergeCells>
  <printOptions/>
  <pageMargins left="0.75" right="0.75" top="1" bottom="1" header="0" footer="0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V141"/>
  <sheetViews>
    <sheetView zoomScalePageLayoutView="0" workbookViewId="0" topLeftCell="A86">
      <selection activeCell="B115" sqref="B115:B116"/>
    </sheetView>
  </sheetViews>
  <sheetFormatPr defaultColWidth="11.421875" defaultRowHeight="12.75"/>
  <cols>
    <col min="1" max="1" width="31.140625" style="0" customWidth="1"/>
    <col min="2" max="2" width="17.7109375" style="0" customWidth="1"/>
    <col min="3" max="3" width="12.57421875" style="0" customWidth="1"/>
    <col min="4" max="4" width="13.140625" style="0" customWidth="1"/>
    <col min="5" max="5" width="14.7109375" style="0" customWidth="1"/>
    <col min="6" max="6" width="12.00390625" style="0" customWidth="1"/>
    <col min="7" max="7" width="12.421875" style="0" customWidth="1"/>
    <col min="8" max="8" width="11.7109375" style="0" bestFit="1" customWidth="1"/>
    <col min="9" max="9" width="13.8515625" style="0" customWidth="1"/>
    <col min="10" max="10" width="15.57421875" style="0" customWidth="1"/>
    <col min="11" max="11" width="13.00390625" style="0" customWidth="1"/>
    <col min="12" max="12" width="12.140625" style="0" customWidth="1"/>
    <col min="13" max="13" width="11.7109375" style="0" bestFit="1" customWidth="1"/>
    <col min="14" max="14" width="11.7109375" style="0" customWidth="1"/>
    <col min="15" max="15" width="11.7109375" style="0" bestFit="1" customWidth="1"/>
  </cols>
  <sheetData>
    <row r="2" spans="1:7" ht="15" thickBot="1">
      <c r="A2" s="8" t="s">
        <v>3</v>
      </c>
      <c r="B2" s="8"/>
      <c r="C2" s="8"/>
      <c r="D2" s="26"/>
      <c r="E2" s="26"/>
      <c r="F2" s="26"/>
      <c r="G2" s="8"/>
    </row>
    <row r="3" spans="1:6" ht="12.75">
      <c r="A3" s="280" t="s">
        <v>65</v>
      </c>
      <c r="B3" s="281"/>
      <c r="C3" s="282"/>
      <c r="D3" s="27"/>
      <c r="E3" s="27"/>
      <c r="F3" s="27"/>
    </row>
    <row r="4" spans="1:6" s="185" customFormat="1" ht="14.25">
      <c r="A4" s="231" t="s">
        <v>186</v>
      </c>
      <c r="B4" s="193"/>
      <c r="C4" s="194">
        <v>8000</v>
      </c>
      <c r="D4" s="27"/>
      <c r="E4" s="27"/>
      <c r="F4" s="27"/>
    </row>
    <row r="5" spans="1:3" ht="12.75" customHeight="1">
      <c r="A5" s="28" t="s">
        <v>187</v>
      </c>
      <c r="B5" s="24"/>
      <c r="C5" s="29">
        <v>22000</v>
      </c>
    </row>
    <row r="6" spans="1:3" ht="13.5" customHeight="1">
      <c r="A6" s="186" t="s">
        <v>190</v>
      </c>
      <c r="B6" s="25"/>
      <c r="C6" s="30">
        <v>36671.22</v>
      </c>
    </row>
    <row r="7" spans="1:3" ht="14.25">
      <c r="A7" s="31" t="s">
        <v>189</v>
      </c>
      <c r="B7" s="22"/>
      <c r="C7" s="32"/>
    </row>
    <row r="8" spans="1:3" ht="14.25">
      <c r="A8" s="28" t="s">
        <v>188</v>
      </c>
      <c r="B8" s="24"/>
      <c r="C8" s="29">
        <v>36780</v>
      </c>
    </row>
    <row r="9" spans="1:3" ht="13.5" thickBot="1">
      <c r="A9" s="33" t="s">
        <v>15</v>
      </c>
      <c r="B9" s="88"/>
      <c r="C9" s="34">
        <f>C5+C6+C8</f>
        <v>95451.22</v>
      </c>
    </row>
    <row r="10" spans="1:2" ht="12.75">
      <c r="A10" s="20"/>
      <c r="B10" s="20"/>
    </row>
    <row r="11" spans="1:22" ht="14.25">
      <c r="A11" s="8" t="s">
        <v>183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5" thickBo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5" ht="13.5" thickBot="1">
      <c r="A13" s="35" t="s">
        <v>66</v>
      </c>
      <c r="B13" s="89"/>
      <c r="C13" s="187">
        <v>1500000</v>
      </c>
      <c r="E13" s="5"/>
    </row>
    <row r="14" spans="1:5" ht="12.75">
      <c r="A14" s="20"/>
      <c r="B14" s="20"/>
      <c r="C14" s="17"/>
      <c r="D14" s="23"/>
      <c r="E14" s="5"/>
    </row>
    <row r="15" spans="1:5" ht="12.75">
      <c r="A15" s="20"/>
      <c r="B15" s="20"/>
      <c r="E15" s="5"/>
    </row>
    <row r="16" spans="1:4" ht="18">
      <c r="A16" s="180" t="s">
        <v>230</v>
      </c>
      <c r="B16" s="10"/>
      <c r="C16" s="10"/>
      <c r="D16" s="10"/>
    </row>
    <row r="17" spans="1:3" ht="15.75" thickBot="1">
      <c r="A17" s="9"/>
      <c r="B17" s="9"/>
      <c r="C17" s="10"/>
    </row>
    <row r="18" spans="1:6" ht="13.5" thickBot="1">
      <c r="A18" s="283" t="s">
        <v>68</v>
      </c>
      <c r="B18" s="284"/>
      <c r="C18" s="284"/>
      <c r="D18" s="284"/>
      <c r="E18" s="284"/>
      <c r="F18" s="285"/>
    </row>
    <row r="19" spans="1:9" ht="14.25">
      <c r="A19" s="37" t="s">
        <v>0</v>
      </c>
      <c r="B19" s="38"/>
      <c r="C19" s="38"/>
      <c r="D19" s="38"/>
      <c r="E19" s="38"/>
      <c r="F19" s="39">
        <v>450</v>
      </c>
      <c r="G19" s="1" t="s">
        <v>3</v>
      </c>
      <c r="H19" s="329">
        <f>0.026+0.01</f>
        <v>0.036</v>
      </c>
      <c r="I19" s="306"/>
    </row>
    <row r="20" spans="1:9" ht="14.25">
      <c r="A20" s="40" t="s">
        <v>4</v>
      </c>
      <c r="B20" s="36"/>
      <c r="C20" s="36"/>
      <c r="D20" s="36"/>
      <c r="E20" s="36"/>
      <c r="F20" s="257">
        <v>0.046</v>
      </c>
      <c r="G20" s="2" t="s">
        <v>3</v>
      </c>
      <c r="H20" s="311">
        <f>0.026+0.02</f>
        <v>0.046</v>
      </c>
      <c r="I20" s="306"/>
    </row>
    <row r="21" spans="1:7" ht="14.25">
      <c r="A21" s="40" t="s">
        <v>1</v>
      </c>
      <c r="B21" s="36"/>
      <c r="C21" s="36"/>
      <c r="D21" s="36"/>
      <c r="E21" s="36"/>
      <c r="F21" s="42" t="s">
        <v>2</v>
      </c>
      <c r="G21" s="3" t="s">
        <v>3</v>
      </c>
    </row>
    <row r="22" spans="1:7" ht="15.75" thickBot="1">
      <c r="A22" s="43" t="s">
        <v>67</v>
      </c>
      <c r="B22" s="44"/>
      <c r="C22" s="44"/>
      <c r="D22" s="44"/>
      <c r="E22" s="44"/>
      <c r="F22" s="45">
        <v>0.046</v>
      </c>
      <c r="G22" s="2" t="s">
        <v>3</v>
      </c>
    </row>
    <row r="23" ht="12.75">
      <c r="G23" s="2" t="s">
        <v>3</v>
      </c>
    </row>
    <row r="24" spans="1:9" ht="12.75">
      <c r="A24" s="53"/>
      <c r="B24" s="286" t="s">
        <v>92</v>
      </c>
      <c r="C24" s="286" t="s">
        <v>91</v>
      </c>
      <c r="D24" s="54" t="s">
        <v>93</v>
      </c>
      <c r="E24" s="55" t="s">
        <v>94</v>
      </c>
      <c r="F24" s="54" t="s">
        <v>8</v>
      </c>
      <c r="G24" s="56"/>
      <c r="H24" s="57">
        <v>0.02</v>
      </c>
      <c r="I24" s="58"/>
    </row>
    <row r="25" spans="1:9" ht="12.75">
      <c r="A25" s="59" t="s">
        <v>3</v>
      </c>
      <c r="B25" s="287"/>
      <c r="C25" s="287"/>
      <c r="D25" s="60" t="s">
        <v>17</v>
      </c>
      <c r="E25" s="61" t="s">
        <v>95</v>
      </c>
      <c r="F25" s="60" t="s">
        <v>9</v>
      </c>
      <c r="G25" s="61" t="s">
        <v>13</v>
      </c>
      <c r="H25" s="60" t="s">
        <v>56</v>
      </c>
      <c r="I25" s="62" t="s">
        <v>61</v>
      </c>
    </row>
    <row r="26" spans="1:9" ht="12.75">
      <c r="A26" s="63" t="s">
        <v>5</v>
      </c>
      <c r="B26" s="288"/>
      <c r="C26" s="288"/>
      <c r="D26" s="64" t="s">
        <v>6</v>
      </c>
      <c r="E26" s="65" t="s">
        <v>7</v>
      </c>
      <c r="F26" s="64" t="s">
        <v>10</v>
      </c>
      <c r="G26" s="65" t="s">
        <v>17</v>
      </c>
      <c r="H26" s="64" t="s">
        <v>57</v>
      </c>
      <c r="I26" s="66" t="s">
        <v>62</v>
      </c>
    </row>
    <row r="27" spans="1:9" s="51" customFormat="1" ht="12">
      <c r="A27" s="47">
        <v>2009</v>
      </c>
      <c r="B27" s="210">
        <v>933</v>
      </c>
      <c r="C27" s="47">
        <v>5</v>
      </c>
      <c r="D27" s="49">
        <v>450</v>
      </c>
      <c r="E27" s="49">
        <f>D27*C27</f>
        <v>2250</v>
      </c>
      <c r="F27" s="49">
        <f>B27*E27</f>
        <v>2099250</v>
      </c>
      <c r="G27" s="50">
        <f>F27*0.18</f>
        <v>377865</v>
      </c>
      <c r="H27" s="50">
        <f>F27*2/100</f>
        <v>41985</v>
      </c>
      <c r="I27" s="50">
        <f>(F27*0.1178)*0.06</f>
        <v>14837.499</v>
      </c>
    </row>
    <row r="28" spans="1:9" s="51" customFormat="1" ht="12">
      <c r="A28" s="47">
        <v>2010</v>
      </c>
      <c r="B28" s="211">
        <f>B27+(B27*$F$20)</f>
        <v>975.918</v>
      </c>
      <c r="C28" s="52">
        <v>5</v>
      </c>
      <c r="D28" s="49">
        <f>D27+(D27*$F$20)</f>
        <v>470.7</v>
      </c>
      <c r="E28" s="49">
        <f>D28*C28</f>
        <v>2353.5</v>
      </c>
      <c r="F28" s="49">
        <f>(E28*B28)</f>
        <v>2296823.013</v>
      </c>
      <c r="G28" s="50">
        <f>F28*0.18</f>
        <v>413428.14233999996</v>
      </c>
      <c r="H28" s="50">
        <f>F28*2/100</f>
        <v>45936.46025999999</v>
      </c>
      <c r="I28" s="50">
        <f>(F28*0.1178)*0.06</f>
        <v>16233.945055883998</v>
      </c>
    </row>
    <row r="29" spans="1:9" s="51" customFormat="1" ht="12">
      <c r="A29" s="47">
        <v>2011</v>
      </c>
      <c r="B29" s="211">
        <f>B28+(B28*$F$20)</f>
        <v>1020.810228</v>
      </c>
      <c r="C29" s="52">
        <v>5</v>
      </c>
      <c r="D29" s="49">
        <f>D28+(D28*$F$20)</f>
        <v>492.3522</v>
      </c>
      <c r="E29" s="49">
        <f>D29*C29</f>
        <v>2461.761</v>
      </c>
      <c r="F29" s="49">
        <f>(E29*B29)</f>
        <v>2512990.807691508</v>
      </c>
      <c r="G29" s="50">
        <f>F29*0.18</f>
        <v>452338.3453844714</v>
      </c>
      <c r="H29" s="50">
        <f>F29*2/100</f>
        <v>50259.81615383016</v>
      </c>
      <c r="I29" s="50">
        <f>(F29*0.1178)*0.06</f>
        <v>17761.819028763577</v>
      </c>
    </row>
    <row r="30" spans="1:9" s="51" customFormat="1" ht="12">
      <c r="A30" s="47">
        <v>2012</v>
      </c>
      <c r="B30" s="211">
        <f>B29+(B29*$F$20)</f>
        <v>1067.767498488</v>
      </c>
      <c r="C30" s="52">
        <v>5</v>
      </c>
      <c r="D30" s="49">
        <f>D29+(D29*$F$20)</f>
        <v>515.0004011999999</v>
      </c>
      <c r="E30" s="49">
        <f>D30*C30</f>
        <v>2575.0020059999997</v>
      </c>
      <c r="F30" s="49">
        <f>(E30*B30)</f>
        <v>2749503.450548202</v>
      </c>
      <c r="G30" s="50">
        <f>F30*0.18</f>
        <v>494910.6210986763</v>
      </c>
      <c r="H30" s="50">
        <f>F30*2/100</f>
        <v>54990.069010964035</v>
      </c>
      <c r="I30" s="50">
        <f>(F30*0.1178)*0.06</f>
        <v>19433.49038847469</v>
      </c>
    </row>
    <row r="31" spans="1:9" s="51" customFormat="1" ht="12">
      <c r="A31" s="47">
        <v>2013</v>
      </c>
      <c r="B31" s="211">
        <f>B30+(B30*$F$20)</f>
        <v>1116.884803418448</v>
      </c>
      <c r="C31" s="52">
        <v>5</v>
      </c>
      <c r="D31" s="49">
        <f>D30+(D30*$F$20)</f>
        <v>538.6904196551999</v>
      </c>
      <c r="E31" s="49">
        <f>D31*C31</f>
        <v>2693.4520982759996</v>
      </c>
      <c r="F31" s="49">
        <f>(E31*B31)</f>
        <v>3008275.717299996</v>
      </c>
      <c r="G31" s="50">
        <f>F31*0.18</f>
        <v>541489.6291139992</v>
      </c>
      <c r="H31" s="50">
        <f>F31*2/100</f>
        <v>60165.514345999916</v>
      </c>
      <c r="I31" s="50">
        <f>(F31*0.1178)*0.06</f>
        <v>21262.49276987637</v>
      </c>
    </row>
    <row r="32" spans="1:9" s="51" customFormat="1" ht="12">
      <c r="A32" s="67" t="s">
        <v>69</v>
      </c>
      <c r="B32" s="68"/>
      <c r="C32" s="69"/>
      <c r="D32" s="68"/>
      <c r="E32" s="68"/>
      <c r="F32" s="83">
        <f>SUM(F27:F31)</f>
        <v>12666842.988539705</v>
      </c>
      <c r="G32" s="83">
        <f>SUM(G27:G31)</f>
        <v>2280031.737937147</v>
      </c>
      <c r="H32" s="83">
        <f>SUM(H27:H31)</f>
        <v>253336.8597707941</v>
      </c>
      <c r="I32" s="83">
        <f>SUM(I27:I31)</f>
        <v>89529.24624299863</v>
      </c>
    </row>
    <row r="33" spans="4:8" ht="12.75">
      <c r="D33" s="4"/>
      <c r="G33" s="5"/>
      <c r="H33" s="5"/>
    </row>
    <row r="34" spans="1:8" ht="14.25">
      <c r="A34" s="7" t="s">
        <v>18</v>
      </c>
      <c r="B34" s="7"/>
      <c r="C34" s="7"/>
      <c r="D34" s="11"/>
      <c r="E34" s="7"/>
      <c r="F34" s="7"/>
      <c r="G34" s="12"/>
      <c r="H34" s="12"/>
    </row>
    <row r="35" spans="1:8" ht="14.25">
      <c r="A35" s="7" t="s">
        <v>103</v>
      </c>
      <c r="B35" s="7"/>
      <c r="C35" s="7"/>
      <c r="D35" s="11"/>
      <c r="E35" s="7"/>
      <c r="F35" s="7"/>
      <c r="G35" s="12"/>
      <c r="H35" s="12"/>
    </row>
    <row r="36" spans="1:8" ht="14.25">
      <c r="A36" s="7" t="s">
        <v>59</v>
      </c>
      <c r="B36" s="7"/>
      <c r="C36" s="7"/>
      <c r="D36" s="11"/>
      <c r="E36" s="7"/>
      <c r="F36" s="7"/>
      <c r="G36" s="12"/>
      <c r="H36" s="12"/>
    </row>
    <row r="37" spans="1:8" ht="15">
      <c r="A37" s="8" t="s">
        <v>184</v>
      </c>
      <c r="B37" s="7"/>
      <c r="C37" s="7"/>
      <c r="D37" s="11"/>
      <c r="E37" s="7"/>
      <c r="F37" s="7"/>
      <c r="G37" s="235"/>
      <c r="H37" s="235"/>
    </row>
    <row r="38" spans="1:8" ht="14.25">
      <c r="A38" s="7" t="s">
        <v>58</v>
      </c>
      <c r="B38" s="7"/>
      <c r="C38" s="7"/>
      <c r="D38" s="11"/>
      <c r="E38" s="7"/>
      <c r="F38" s="7"/>
      <c r="G38" s="12"/>
      <c r="H38" s="12"/>
    </row>
    <row r="39" spans="1:8" ht="14.25">
      <c r="A39" s="7"/>
      <c r="B39" s="7"/>
      <c r="C39" s="7"/>
      <c r="D39" s="11"/>
      <c r="E39" s="7"/>
      <c r="F39" s="7"/>
      <c r="G39" s="12"/>
      <c r="H39" s="12"/>
    </row>
    <row r="41" spans="1:4" ht="18">
      <c r="A41" s="180" t="s">
        <v>11</v>
      </c>
      <c r="B41" s="10"/>
      <c r="C41" s="10"/>
      <c r="D41" s="10"/>
    </row>
    <row r="43" spans="1:8" ht="14.25">
      <c r="A43" s="7" t="s">
        <v>16</v>
      </c>
      <c r="B43" s="7"/>
      <c r="C43" s="7"/>
      <c r="D43" s="7"/>
      <c r="E43" s="7"/>
      <c r="F43" s="7"/>
      <c r="G43" s="7"/>
      <c r="H43" s="7"/>
    </row>
    <row r="44" spans="1:8" ht="14.25">
      <c r="A44" s="7" t="s">
        <v>113</v>
      </c>
      <c r="B44" s="7"/>
      <c r="C44" s="7"/>
      <c r="D44" s="7"/>
      <c r="E44" s="325">
        <v>0.09</v>
      </c>
      <c r="F44" s="7"/>
      <c r="G44" s="7"/>
      <c r="H44" s="7"/>
    </row>
    <row r="45" spans="1:6" ht="14.25">
      <c r="A45" s="7" t="s">
        <v>63</v>
      </c>
      <c r="B45" s="7"/>
      <c r="C45" s="7" t="s">
        <v>3</v>
      </c>
      <c r="D45" s="7"/>
      <c r="E45" s="7"/>
      <c r="F45" s="7"/>
    </row>
    <row r="47" spans="1:4" ht="12.75">
      <c r="A47" s="72" t="s">
        <v>5</v>
      </c>
      <c r="B47" s="72" t="s">
        <v>12</v>
      </c>
      <c r="C47" s="72" t="s">
        <v>14</v>
      </c>
      <c r="D47" s="72" t="s">
        <v>13</v>
      </c>
    </row>
    <row r="48" spans="1:4" s="51" customFormat="1" ht="12">
      <c r="A48" s="47">
        <v>2009</v>
      </c>
      <c r="B48" s="49">
        <v>600000</v>
      </c>
      <c r="C48" s="326">
        <v>0.06</v>
      </c>
      <c r="D48" s="49">
        <f>B48*0.06</f>
        <v>36000</v>
      </c>
    </row>
    <row r="49" spans="1:4" s="51" customFormat="1" ht="12">
      <c r="A49" s="47">
        <v>2010</v>
      </c>
      <c r="B49" s="49">
        <f>B48+(B48*$E$44)</f>
        <v>654000</v>
      </c>
      <c r="C49" s="326">
        <v>0.06</v>
      </c>
      <c r="D49" s="49">
        <f>B49*0.06</f>
        <v>39240</v>
      </c>
    </row>
    <row r="50" spans="1:4" s="51" customFormat="1" ht="12">
      <c r="A50" s="47">
        <v>2011</v>
      </c>
      <c r="B50" s="49">
        <f>B49+(B49*$E$44)</f>
        <v>712860</v>
      </c>
      <c r="C50" s="326">
        <v>0.06</v>
      </c>
      <c r="D50" s="49">
        <f>B50*0.06</f>
        <v>42771.6</v>
      </c>
    </row>
    <row r="51" spans="1:4" s="51" customFormat="1" ht="12">
      <c r="A51" s="47">
        <v>2012</v>
      </c>
      <c r="B51" s="49">
        <f>B50+(B50*$E$44)</f>
        <v>777017.4</v>
      </c>
      <c r="C51" s="326">
        <v>0.06</v>
      </c>
      <c r="D51" s="49">
        <f>B51*0.06</f>
        <v>46621.044</v>
      </c>
    </row>
    <row r="52" spans="1:5" s="51" customFormat="1" ht="12">
      <c r="A52" s="47">
        <v>2013</v>
      </c>
      <c r="B52" s="49">
        <f>B51+(B51*$E$44)</f>
        <v>846948.966</v>
      </c>
      <c r="C52" s="326">
        <v>0.06</v>
      </c>
      <c r="D52" s="49">
        <f>B52*0.06</f>
        <v>50816.937959999996</v>
      </c>
      <c r="E52" s="51" t="s">
        <v>228</v>
      </c>
    </row>
    <row r="53" spans="1:4" s="51" customFormat="1" ht="12">
      <c r="A53" s="73" t="s">
        <v>15</v>
      </c>
      <c r="B53" s="74">
        <f>SUM(B48:B52)</f>
        <v>3590826.366</v>
      </c>
      <c r="C53" s="75"/>
      <c r="D53" s="74">
        <f>SUM(D48:D52)</f>
        <v>215449.58195999998</v>
      </c>
    </row>
    <row r="54" spans="3:5" ht="12.75">
      <c r="C54" s="6"/>
      <c r="E54" s="6"/>
    </row>
    <row r="55" spans="1:5" ht="12.75">
      <c r="A55" s="16"/>
      <c r="B55" s="16"/>
      <c r="C55" s="16"/>
      <c r="D55" s="16"/>
      <c r="E55" s="16"/>
    </row>
    <row r="56" ht="12.75">
      <c r="D56" s="14"/>
    </row>
    <row r="57" spans="1:8" ht="19.5">
      <c r="A57" s="279" t="s">
        <v>64</v>
      </c>
      <c r="B57" s="279"/>
      <c r="C57" s="279"/>
      <c r="D57" s="279"/>
      <c r="E57" s="279"/>
      <c r="F57" s="279"/>
      <c r="G57" s="279"/>
      <c r="H57" s="279"/>
    </row>
    <row r="58" spans="1:8" ht="19.5">
      <c r="A58" s="184"/>
      <c r="B58" s="184"/>
      <c r="C58" s="184"/>
      <c r="D58" s="184"/>
      <c r="E58" s="184"/>
      <c r="F58" s="184"/>
      <c r="G58" s="184"/>
      <c r="H58" s="184"/>
    </row>
    <row r="59" spans="9:14" ht="13.5" thickBot="1">
      <c r="I59" s="16"/>
      <c r="J59" s="81"/>
      <c r="K59" s="81"/>
      <c r="L59" s="81"/>
      <c r="M59" s="81"/>
      <c r="N59" s="81"/>
    </row>
    <row r="60" spans="1:14" ht="18">
      <c r="A60" s="289" t="s">
        <v>70</v>
      </c>
      <c r="B60" s="290"/>
      <c r="C60" s="290"/>
      <c r="D60" s="290"/>
      <c r="E60" s="290"/>
      <c r="F60" s="290"/>
      <c r="G60" s="291"/>
      <c r="H60" s="188"/>
      <c r="I60" s="16"/>
      <c r="J60" s="81"/>
      <c r="K60" s="81"/>
      <c r="L60" s="81"/>
      <c r="M60" s="81"/>
      <c r="N60" s="81"/>
    </row>
    <row r="61" spans="1:14" ht="12.75">
      <c r="A61" s="276" t="s">
        <v>77</v>
      </c>
      <c r="B61" s="277"/>
      <c r="C61" s="277"/>
      <c r="D61" s="277"/>
      <c r="E61" s="277"/>
      <c r="F61" s="277"/>
      <c r="G61" s="278"/>
      <c r="H61" s="189"/>
      <c r="I61" s="16"/>
      <c r="J61" s="16"/>
      <c r="K61" s="16"/>
      <c r="L61" s="16"/>
      <c r="M61" s="16"/>
      <c r="N61" s="16"/>
    </row>
    <row r="62" spans="1:14" ht="12.75">
      <c r="A62" s="114"/>
      <c r="B62" s="65"/>
      <c r="C62" s="65"/>
      <c r="D62" s="65"/>
      <c r="E62" s="65"/>
      <c r="F62" s="65"/>
      <c r="G62" s="115"/>
      <c r="H62" s="190"/>
      <c r="I62" s="16"/>
      <c r="J62" s="16"/>
      <c r="K62" s="16"/>
      <c r="L62" s="16"/>
      <c r="M62" s="16"/>
      <c r="N62" s="16"/>
    </row>
    <row r="63" spans="1:13" ht="12.75">
      <c r="A63" s="103"/>
      <c r="B63" s="80">
        <v>2009</v>
      </c>
      <c r="C63" s="80">
        <v>2010</v>
      </c>
      <c r="D63" s="80">
        <v>2011</v>
      </c>
      <c r="E63" s="80">
        <v>2012</v>
      </c>
      <c r="F63" s="80">
        <v>2013</v>
      </c>
      <c r="G63" s="116" t="s">
        <v>8</v>
      </c>
      <c r="H63" s="16"/>
      <c r="I63" s="16"/>
      <c r="J63" s="16"/>
      <c r="K63" s="16"/>
      <c r="L63" s="16"/>
      <c r="M63" s="16"/>
    </row>
    <row r="64" spans="1:13" ht="15">
      <c r="A64" s="117" t="s">
        <v>72</v>
      </c>
      <c r="B64" s="79"/>
      <c r="C64" s="79"/>
      <c r="D64" s="79"/>
      <c r="E64" s="79"/>
      <c r="F64" s="79"/>
      <c r="G64" s="118"/>
      <c r="H64" s="16"/>
      <c r="I64" s="16"/>
      <c r="J64" s="16"/>
      <c r="K64" s="16"/>
      <c r="L64" s="16"/>
      <c r="M64" s="16"/>
    </row>
    <row r="65" spans="1:13" ht="12.75">
      <c r="A65" s="245" t="s">
        <v>25</v>
      </c>
      <c r="B65" s="241">
        <f>G27</f>
        <v>377865</v>
      </c>
      <c r="C65" s="241">
        <f>G28</f>
        <v>413428.14233999996</v>
      </c>
      <c r="D65" s="241">
        <f>G29</f>
        <v>452338.3453844714</v>
      </c>
      <c r="E65" s="241">
        <f>G30</f>
        <v>494910.6210986763</v>
      </c>
      <c r="F65" s="241">
        <f>G31</f>
        <v>541489.6291139992</v>
      </c>
      <c r="G65" s="246">
        <f>SUM(B65:F65)</f>
        <v>2280031.737937147</v>
      </c>
      <c r="H65" s="232"/>
      <c r="I65" s="16"/>
      <c r="J65" s="16"/>
      <c r="K65" s="16"/>
      <c r="L65" s="16"/>
      <c r="M65" s="16"/>
    </row>
    <row r="66" spans="1:13" ht="12.75">
      <c r="A66" s="119" t="s">
        <v>26</v>
      </c>
      <c r="B66" s="46">
        <f>I27</f>
        <v>14837.499</v>
      </c>
      <c r="C66" s="46">
        <f>I28</f>
        <v>16233.945055883998</v>
      </c>
      <c r="D66" s="46">
        <f>I29</f>
        <v>17761.819028763577</v>
      </c>
      <c r="E66" s="46">
        <f>I30</f>
        <v>19433.49038847469</v>
      </c>
      <c r="F66" s="46">
        <f>I31</f>
        <v>21262.49276987637</v>
      </c>
      <c r="G66" s="104">
        <f>SUM(B66:F66)</f>
        <v>89529.24624299863</v>
      </c>
      <c r="H66" s="16"/>
      <c r="I66" s="168"/>
      <c r="J66" s="181"/>
      <c r="K66" s="16"/>
      <c r="L66" s="16"/>
      <c r="M66" s="16"/>
    </row>
    <row r="67" spans="1:13" ht="12.75">
      <c r="A67" s="105" t="s">
        <v>73</v>
      </c>
      <c r="B67" s="76">
        <f>SUM(B65:B66)</f>
        <v>392702.499</v>
      </c>
      <c r="C67" s="76">
        <f>SUM(C65:C66)</f>
        <v>429662.087395884</v>
      </c>
      <c r="D67" s="76">
        <f>SUM(D65:D66)</f>
        <v>470100.164413235</v>
      </c>
      <c r="E67" s="76">
        <f>SUM(E65:E66)</f>
        <v>514344.111487151</v>
      </c>
      <c r="F67" s="76">
        <f>SUM(F65:F66)</f>
        <v>562752.1218838756</v>
      </c>
      <c r="G67" s="106">
        <f>SUM(B67:F67)</f>
        <v>2369560.9841801454</v>
      </c>
      <c r="H67" s="16"/>
      <c r="I67" s="168"/>
      <c r="J67" s="182"/>
      <c r="K67" s="16"/>
      <c r="L67" s="16"/>
      <c r="M67" s="16"/>
    </row>
    <row r="68" spans="1:13" ht="15">
      <c r="A68" s="117" t="s">
        <v>71</v>
      </c>
      <c r="B68" s="78"/>
      <c r="C68" s="78"/>
      <c r="D68" s="78"/>
      <c r="E68" s="78"/>
      <c r="F68" s="78"/>
      <c r="G68" s="120"/>
      <c r="H68" s="16"/>
      <c r="I68" s="168"/>
      <c r="J68" s="183"/>
      <c r="K68" s="16"/>
      <c r="L68" s="16"/>
      <c r="M68" s="16"/>
    </row>
    <row r="69" spans="1:13" ht="12.75">
      <c r="A69" s="105" t="s">
        <v>106</v>
      </c>
      <c r="B69" s="46"/>
      <c r="C69" s="46"/>
      <c r="D69" s="46"/>
      <c r="E69" s="46"/>
      <c r="F69" s="46"/>
      <c r="G69" s="104" t="s">
        <v>3</v>
      </c>
      <c r="H69" s="16"/>
      <c r="I69" s="168"/>
      <c r="J69" s="102"/>
      <c r="K69" s="16"/>
      <c r="L69" s="16"/>
      <c r="M69" s="16"/>
    </row>
    <row r="70" spans="1:13" ht="12.75">
      <c r="A70" s="103" t="s">
        <v>125</v>
      </c>
      <c r="B70" s="46">
        <f>D48</f>
        <v>36000</v>
      </c>
      <c r="C70" s="46">
        <f>D49</f>
        <v>39240</v>
      </c>
      <c r="D70" s="46">
        <f>D50</f>
        <v>42771.6</v>
      </c>
      <c r="E70" s="46">
        <f>D51</f>
        <v>46621.044</v>
      </c>
      <c r="F70" s="46">
        <f>D52</f>
        <v>50816.937959999996</v>
      </c>
      <c r="G70" s="104">
        <f>SUM(B70:F70)</f>
        <v>215449.58195999998</v>
      </c>
      <c r="H70" s="16"/>
      <c r="I70" s="16"/>
      <c r="J70" s="16"/>
      <c r="K70" s="16"/>
      <c r="L70" s="16"/>
      <c r="M70" s="16"/>
    </row>
    <row r="71" spans="1:7" ht="12.75">
      <c r="A71" s="245" t="s">
        <v>193</v>
      </c>
      <c r="B71" s="241">
        <f>H27</f>
        <v>41985</v>
      </c>
      <c r="C71" s="241">
        <f>H28</f>
        <v>45936.46025999999</v>
      </c>
      <c r="D71" s="241">
        <f>H29</f>
        <v>50259.81615383016</v>
      </c>
      <c r="E71" s="241">
        <f>H30</f>
        <v>54990.069010964035</v>
      </c>
      <c r="F71" s="241">
        <f>H31</f>
        <v>60165.514345999916</v>
      </c>
      <c r="G71" s="246">
        <f>SUM(B71:F71)</f>
        <v>253336.8597707941</v>
      </c>
    </row>
    <row r="72" spans="1:9" ht="12.75">
      <c r="A72" s="245" t="s">
        <v>27</v>
      </c>
      <c r="B72" s="241">
        <f>3500*12</f>
        <v>42000</v>
      </c>
      <c r="C72" s="241">
        <f>B72*1.05</f>
        <v>44100</v>
      </c>
      <c r="D72" s="241">
        <f>C72*1.05</f>
        <v>46305</v>
      </c>
      <c r="E72" s="241">
        <f>D72*1.05</f>
        <v>48620.25</v>
      </c>
      <c r="F72" s="241">
        <f>E72*1.05</f>
        <v>51051.262500000004</v>
      </c>
      <c r="G72" s="246">
        <f>SUM(B72:F72)</f>
        <v>232076.5125</v>
      </c>
      <c r="H72" s="233"/>
      <c r="I72" s="234"/>
    </row>
    <row r="73" spans="1:7" ht="12.75">
      <c r="A73" s="105" t="s">
        <v>30</v>
      </c>
      <c r="B73" s="76">
        <f>SUM(B70:B72)</f>
        <v>119985</v>
      </c>
      <c r="C73" s="76">
        <f>SUM(C70:C72)</f>
        <v>129276.46025999999</v>
      </c>
      <c r="D73" s="76">
        <f>SUM(D70:D72)</f>
        <v>139336.41615383016</v>
      </c>
      <c r="E73" s="76">
        <f>SUM(E70:E72)</f>
        <v>150231.36301096404</v>
      </c>
      <c r="F73" s="76">
        <f>SUM(F70:F72)</f>
        <v>162033.71480599992</v>
      </c>
      <c r="G73" s="106">
        <f>SUM(G70:G72)</f>
        <v>700862.9542307941</v>
      </c>
    </row>
    <row r="74" spans="1:7" ht="12.75">
      <c r="A74" s="105" t="s">
        <v>107</v>
      </c>
      <c r="B74" s="46"/>
      <c r="C74" s="46"/>
      <c r="D74" s="46"/>
      <c r="E74" s="46"/>
      <c r="F74" s="46"/>
      <c r="G74" s="104"/>
    </row>
    <row r="75" spans="1:7" ht="12.75">
      <c r="A75" s="245" t="s">
        <v>192</v>
      </c>
      <c r="B75" s="241">
        <v>5000</v>
      </c>
      <c r="C75" s="241">
        <f>B75*1.05</f>
        <v>5250</v>
      </c>
      <c r="D75" s="241">
        <f aca="true" t="shared" si="0" ref="D75:F76">C75*1.05</f>
        <v>5512.5</v>
      </c>
      <c r="E75" s="241">
        <f t="shared" si="0"/>
        <v>5788.125</v>
      </c>
      <c r="F75" s="241">
        <f t="shared" si="0"/>
        <v>6077.53125</v>
      </c>
      <c r="G75" s="246">
        <f aca="true" t="shared" si="1" ref="G75:G80">SUM(B75:F75)</f>
        <v>27628.15625</v>
      </c>
    </row>
    <row r="76" spans="1:7" ht="12.75">
      <c r="A76" s="103" t="s">
        <v>104</v>
      </c>
      <c r="B76" s="46">
        <v>4680</v>
      </c>
      <c r="C76" s="46">
        <f>B76*1.05</f>
        <v>4914</v>
      </c>
      <c r="D76" s="46">
        <f t="shared" si="0"/>
        <v>5159.7</v>
      </c>
      <c r="E76" s="46">
        <f t="shared" si="0"/>
        <v>5417.685</v>
      </c>
      <c r="F76" s="46">
        <f t="shared" si="0"/>
        <v>5688.5692500000005</v>
      </c>
      <c r="G76" s="104">
        <f t="shared" si="1"/>
        <v>25859.954250000003</v>
      </c>
    </row>
    <row r="77" spans="1:8" ht="12.75">
      <c r="A77" s="245" t="s">
        <v>75</v>
      </c>
      <c r="B77" s="241">
        <v>32400</v>
      </c>
      <c r="C77" s="241">
        <v>32400</v>
      </c>
      <c r="D77" s="241">
        <v>32400</v>
      </c>
      <c r="E77" s="241">
        <v>32400</v>
      </c>
      <c r="F77" s="241">
        <v>32400</v>
      </c>
      <c r="G77" s="246">
        <f t="shared" si="1"/>
        <v>162000</v>
      </c>
      <c r="H77" s="233"/>
    </row>
    <row r="78" spans="1:13" s="21" customFormat="1" ht="12.75">
      <c r="A78" s="245" t="s">
        <v>101</v>
      </c>
      <c r="B78" s="241">
        <f>700*12</f>
        <v>8400</v>
      </c>
      <c r="C78" s="241">
        <f>700*12</f>
        <v>8400</v>
      </c>
      <c r="D78" s="241">
        <f>700*12</f>
        <v>8400</v>
      </c>
      <c r="E78" s="241">
        <f>700*12</f>
        <v>8400</v>
      </c>
      <c r="F78" s="241">
        <f>700*12</f>
        <v>8400</v>
      </c>
      <c r="G78" s="246">
        <f t="shared" si="1"/>
        <v>42000</v>
      </c>
      <c r="H78"/>
      <c r="I78"/>
      <c r="J78"/>
      <c r="K78"/>
      <c r="L78"/>
      <c r="M78"/>
    </row>
    <row r="79" spans="1:13" s="21" customFormat="1" ht="12.75">
      <c r="A79" s="245" t="s">
        <v>28</v>
      </c>
      <c r="B79" s="241">
        <f>'[1]SALARIOS'!$F$29</f>
        <v>138963.36000000002</v>
      </c>
      <c r="C79" s="241">
        <f>'[1]SALARIOS'!$F$29</f>
        <v>138963.36000000002</v>
      </c>
      <c r="D79" s="241">
        <f>'[1]SALARIOS'!$F$29</f>
        <v>138963.36000000002</v>
      </c>
      <c r="E79" s="241">
        <f>'[1]SALARIOS'!$F$29</f>
        <v>138963.36000000002</v>
      </c>
      <c r="F79" s="241">
        <f>'[1]SALARIOS'!$F$29</f>
        <v>138963.36000000002</v>
      </c>
      <c r="G79" s="246">
        <f t="shared" si="1"/>
        <v>694816.8</v>
      </c>
      <c r="H79" s="233"/>
      <c r="I79"/>
      <c r="J79"/>
      <c r="K79"/>
      <c r="L79"/>
      <c r="M79"/>
    </row>
    <row r="80" spans="1:7" ht="12.75">
      <c r="A80" s="103" t="s">
        <v>29</v>
      </c>
      <c r="B80" s="46">
        <f>'[1]SALARIOS'!$I$15</f>
        <v>19323.86</v>
      </c>
      <c r="C80" s="46">
        <f>'[1]SALARIOS'!$I$15</f>
        <v>19323.86</v>
      </c>
      <c r="D80" s="46">
        <f>'[1]SALARIOS'!$I$15</f>
        <v>19323.86</v>
      </c>
      <c r="E80" s="46">
        <f>'[1]SALARIOS'!$I$15</f>
        <v>19323.86</v>
      </c>
      <c r="F80" s="46">
        <f>'[1]SALARIOS'!$I$15</f>
        <v>19323.86</v>
      </c>
      <c r="G80" s="104">
        <f t="shared" si="1"/>
        <v>96619.3</v>
      </c>
    </row>
    <row r="81" spans="1:7" ht="12.75">
      <c r="A81" s="121" t="s">
        <v>194</v>
      </c>
      <c r="B81" s="46">
        <v>485</v>
      </c>
      <c r="C81" s="46">
        <f>B81*1.05</f>
        <v>509.25</v>
      </c>
      <c r="D81" s="46">
        <f>C81*1.05</f>
        <v>534.7125</v>
      </c>
      <c r="E81" s="46">
        <f>D81*1.05</f>
        <v>561.448125</v>
      </c>
      <c r="F81" s="46">
        <f>E81*1.05</f>
        <v>589.52053125</v>
      </c>
      <c r="G81" s="104">
        <f>SUM(B81:F81)</f>
        <v>2679.9311562499997</v>
      </c>
    </row>
    <row r="82" spans="1:7" ht="12.75">
      <c r="A82" s="103" t="s">
        <v>31</v>
      </c>
      <c r="B82" s="46">
        <f>'DEP. Y AMORT.'!B59</f>
        <v>13673.5136</v>
      </c>
      <c r="C82" s="46">
        <f>'DEP. Y AMORT.'!C59</f>
        <v>13673.5136</v>
      </c>
      <c r="D82" s="46">
        <f>'DEP. Y AMORT.'!D59</f>
        <v>13673.5136</v>
      </c>
      <c r="E82" s="46">
        <f>'DEP. Y AMORT.'!E59</f>
        <v>10791.5136</v>
      </c>
      <c r="F82" s="46">
        <f>'DEP. Y AMORT.'!F59</f>
        <v>10791.5136</v>
      </c>
      <c r="G82" s="104">
        <f aca="true" t="shared" si="2" ref="G82:G88">SUM(B82:F82)</f>
        <v>62603.568</v>
      </c>
    </row>
    <row r="83" spans="1:7" ht="12.75">
      <c r="A83" s="103" t="s">
        <v>32</v>
      </c>
      <c r="B83" s="46">
        <f>'DEP. Y AMORT.'!B84</f>
        <v>572</v>
      </c>
      <c r="C83" s="46">
        <f>'DEP. Y AMORT.'!C84</f>
        <v>572</v>
      </c>
      <c r="D83" s="46">
        <f>'DEP. Y AMORT.'!D84</f>
        <v>572</v>
      </c>
      <c r="E83" s="46">
        <f>'DEP. Y AMORT.'!E84</f>
        <v>572</v>
      </c>
      <c r="F83" s="46">
        <f>'DEP. Y AMORT.'!F84</f>
        <v>572</v>
      </c>
      <c r="G83" s="104">
        <f>SUM(B83:F83)</f>
        <v>2860</v>
      </c>
    </row>
    <row r="84" spans="1:7" ht="12.75">
      <c r="A84" s="105" t="s">
        <v>76</v>
      </c>
      <c r="B84" s="76">
        <f>SUM(B75:B83)</f>
        <v>223497.73360000004</v>
      </c>
      <c r="C84" s="76">
        <f>SUM(C75:C83)</f>
        <v>224005.98360000004</v>
      </c>
      <c r="D84" s="76">
        <f>SUM(D75:D83)</f>
        <v>224539.64609999998</v>
      </c>
      <c r="E84" s="76">
        <f>SUM(E75:E83)</f>
        <v>222217.99172500003</v>
      </c>
      <c r="F84" s="76">
        <f>SUM(F75:F83)</f>
        <v>222806.35463125003</v>
      </c>
      <c r="G84" s="106">
        <f>SUM(B84:F84)</f>
        <v>1117067.7096562502</v>
      </c>
    </row>
    <row r="85" spans="1:7" ht="12.75">
      <c r="A85" s="105" t="s">
        <v>74</v>
      </c>
      <c r="B85" s="76">
        <f>B84+B73</f>
        <v>343482.73360000004</v>
      </c>
      <c r="C85" s="76">
        <f>C84+C73</f>
        <v>353282.44386</v>
      </c>
      <c r="D85" s="76">
        <f>D84+D73</f>
        <v>363876.06225383014</v>
      </c>
      <c r="E85" s="76">
        <f>E84+E73</f>
        <v>372449.3547359641</v>
      </c>
      <c r="F85" s="76">
        <f>F84+F73</f>
        <v>384840.0694372499</v>
      </c>
      <c r="G85" s="106">
        <f t="shared" si="2"/>
        <v>1817930.6638870444</v>
      </c>
    </row>
    <row r="86" spans="1:8" ht="12.75">
      <c r="A86" s="105" t="s">
        <v>33</v>
      </c>
      <c r="B86" s="46">
        <f>SUM(B67-B85)</f>
        <v>49219.765399999975</v>
      </c>
      <c r="C86" s="46">
        <f>SUM(C67-C85)</f>
        <v>76379.64353588398</v>
      </c>
      <c r="D86" s="46">
        <f>SUM(D67-D85)</f>
        <v>106224.10215940484</v>
      </c>
      <c r="E86" s="46">
        <f>SUM(E67-E85)</f>
        <v>141894.7567511869</v>
      </c>
      <c r="F86" s="46">
        <f>SUM(F67-F85)</f>
        <v>177912.05244662566</v>
      </c>
      <c r="G86" s="104">
        <f t="shared" si="2"/>
        <v>551630.3202931014</v>
      </c>
      <c r="H86" s="236"/>
    </row>
    <row r="87" spans="1:13" ht="12.75">
      <c r="A87" s="103" t="s">
        <v>34</v>
      </c>
      <c r="B87" s="46">
        <f>B86*0.15</f>
        <v>7382.964809999996</v>
      </c>
      <c r="C87" s="46">
        <f>C86*0.15</f>
        <v>11456.946530382596</v>
      </c>
      <c r="D87" s="46">
        <f>D86*0.15</f>
        <v>15933.615323910724</v>
      </c>
      <c r="E87" s="46">
        <f>E86*0.15</f>
        <v>21284.213512678038</v>
      </c>
      <c r="F87" s="46">
        <f>F86*0.15</f>
        <v>26686.807866993848</v>
      </c>
      <c r="G87" s="104">
        <f>SUM(B87:F87)</f>
        <v>82744.54804396519</v>
      </c>
      <c r="H87" s="21"/>
      <c r="I87" s="21"/>
      <c r="J87" s="21"/>
      <c r="K87" s="21"/>
      <c r="L87" s="21"/>
      <c r="M87" s="21"/>
    </row>
    <row r="88" spans="1:13" ht="12.75">
      <c r="A88" s="105" t="s">
        <v>60</v>
      </c>
      <c r="B88" s="46">
        <f>SUM(B86-B87)</f>
        <v>41836.80058999998</v>
      </c>
      <c r="C88" s="46">
        <f>SUM(C86-C87)</f>
        <v>64922.69700550138</v>
      </c>
      <c r="D88" s="46">
        <f>SUM(D86-D87)</f>
        <v>90290.48683549411</v>
      </c>
      <c r="E88" s="46">
        <f>SUM(E86-E87)</f>
        <v>120610.54323850888</v>
      </c>
      <c r="F88" s="46">
        <f>SUM(F86-F87)</f>
        <v>151225.2445796318</v>
      </c>
      <c r="G88" s="104">
        <f t="shared" si="2"/>
        <v>468885.7722491361</v>
      </c>
      <c r="H88" s="21"/>
      <c r="I88" s="21"/>
      <c r="J88" s="21"/>
      <c r="K88" s="21"/>
      <c r="L88" s="21"/>
      <c r="M88" s="21"/>
    </row>
    <row r="89" spans="1:7" ht="12.75">
      <c r="A89" s="103" t="s">
        <v>37</v>
      </c>
      <c r="B89" s="46">
        <f>B88*0.25</f>
        <v>10459.200147499994</v>
      </c>
      <c r="C89" s="46">
        <f aca="true" t="shared" si="3" ref="C89:H89">C88*0.25</f>
        <v>16230.674251375345</v>
      </c>
      <c r="D89" s="46">
        <f t="shared" si="3"/>
        <v>22572.62170887353</v>
      </c>
      <c r="E89" s="46">
        <f t="shared" si="3"/>
        <v>30152.63580962722</v>
      </c>
      <c r="F89" s="46">
        <f t="shared" si="3"/>
        <v>37806.31114490795</v>
      </c>
      <c r="G89" s="104">
        <f t="shared" si="3"/>
        <v>117221.44306228403</v>
      </c>
    </row>
    <row r="90" spans="1:7" ht="15">
      <c r="A90" s="117" t="s">
        <v>35</v>
      </c>
      <c r="B90" s="78">
        <f>SUM(B88-B89)</f>
        <v>31377.600442499985</v>
      </c>
      <c r="C90" s="78">
        <f>SUM(C88-C89)</f>
        <v>48692.02275412604</v>
      </c>
      <c r="D90" s="78">
        <f>SUM(D88-D89)</f>
        <v>67717.86512662059</v>
      </c>
      <c r="E90" s="78">
        <f>SUM(E88-E89)</f>
        <v>90457.90742888166</v>
      </c>
      <c r="F90" s="78">
        <f>SUM(F88-F89)</f>
        <v>113418.93343472385</v>
      </c>
      <c r="G90" s="120">
        <f>SUM(B90:F90)</f>
        <v>351664.3291868521</v>
      </c>
    </row>
    <row r="91" spans="1:7" ht="13.5" thickBot="1">
      <c r="A91" s="122" t="s">
        <v>36</v>
      </c>
      <c r="B91" s="123">
        <f>SUM(B90/B67)</f>
        <v>0.07990170809302638</v>
      </c>
      <c r="C91" s="123">
        <f>SUM(C90/C67)</f>
        <v>0.11332631894343045</v>
      </c>
      <c r="D91" s="123">
        <f>SUM(D90/D67)</f>
        <v>0.14404986480092813</v>
      </c>
      <c r="E91" s="123">
        <f>SUM(E90/E67)</f>
        <v>0.17587040545158728</v>
      </c>
      <c r="F91" s="123">
        <f>SUM(F90/F67)</f>
        <v>0.2015433243592957</v>
      </c>
      <c r="G91" s="124"/>
    </row>
    <row r="94" spans="1:7" ht="18">
      <c r="A94" s="292" t="s">
        <v>96</v>
      </c>
      <c r="B94" s="292"/>
      <c r="C94" s="292"/>
      <c r="D94" s="292"/>
      <c r="E94" s="292"/>
      <c r="F94" s="292"/>
      <c r="G94" s="292"/>
    </row>
    <row r="95" spans="1:7" ht="12.75">
      <c r="A95" s="70"/>
      <c r="B95" s="176" t="s">
        <v>100</v>
      </c>
      <c r="C95" s="176">
        <v>2009</v>
      </c>
      <c r="D95" s="176">
        <v>2010</v>
      </c>
      <c r="E95" s="176">
        <v>2011</v>
      </c>
      <c r="F95" s="176">
        <v>2012</v>
      </c>
      <c r="G95" s="176">
        <v>2013</v>
      </c>
    </row>
    <row r="96" spans="1:7" ht="12.75">
      <c r="A96" s="173" t="s">
        <v>72</v>
      </c>
      <c r="B96" s="174"/>
      <c r="C96" s="174"/>
      <c r="D96" s="174"/>
      <c r="E96" s="174"/>
      <c r="F96" s="174"/>
      <c r="G96" s="174"/>
    </row>
    <row r="97" spans="1:7" ht="12.75">
      <c r="A97" s="70" t="s">
        <v>20</v>
      </c>
      <c r="B97" s="46"/>
      <c r="C97" s="46">
        <f>$B48</f>
        <v>600000</v>
      </c>
      <c r="D97" s="46">
        <f>$B49</f>
        <v>654000</v>
      </c>
      <c r="E97" s="46">
        <f>$B50</f>
        <v>712860</v>
      </c>
      <c r="F97" s="46">
        <f>$B51</f>
        <v>777017.4</v>
      </c>
      <c r="G97" s="46">
        <f>$B52</f>
        <v>846948.966</v>
      </c>
    </row>
    <row r="98" spans="1:7" ht="12.75">
      <c r="A98" s="237" t="s">
        <v>127</v>
      </c>
      <c r="B98" s="241"/>
      <c r="C98" s="241">
        <f>C101-(C101*0.1178)</f>
        <v>1851958.35</v>
      </c>
      <c r="D98" s="241">
        <f>D101-(D101*0.1178)</f>
        <v>2026257.2620686</v>
      </c>
      <c r="E98" s="241">
        <f>E101-(E101*0.1178)</f>
        <v>2216960.4905454484</v>
      </c>
      <c r="F98" s="241">
        <f>F101-(F101*0.1178)</f>
        <v>2425611.9440736235</v>
      </c>
      <c r="G98" s="241">
        <f>G101-(G101*0.1178)</f>
        <v>2653900.837802056</v>
      </c>
    </row>
    <row r="99" spans="1:7" ht="12.75">
      <c r="A99" s="71" t="s">
        <v>126</v>
      </c>
      <c r="B99" s="76"/>
      <c r="C99" s="76">
        <f>SUM(C97:C98)</f>
        <v>2451958.35</v>
      </c>
      <c r="D99" s="76">
        <f>SUM(D97:D98)</f>
        <v>2680257.2620686</v>
      </c>
      <c r="E99" s="76">
        <f>SUM(E97:E98)</f>
        <v>2929820.4905454484</v>
      </c>
      <c r="F99" s="76">
        <f>SUM(F97:F98)</f>
        <v>3202629.3440736234</v>
      </c>
      <c r="G99" s="76">
        <f>SUM(G97:G98)</f>
        <v>3500849.8038020562</v>
      </c>
    </row>
    <row r="100" spans="1:7" ht="12.75">
      <c r="A100" s="173" t="s">
        <v>97</v>
      </c>
      <c r="B100" s="174"/>
      <c r="C100" s="174"/>
      <c r="D100" s="174"/>
      <c r="E100" s="174"/>
      <c r="F100" s="174"/>
      <c r="G100" s="174"/>
    </row>
    <row r="101" spans="1:7" ht="12.75">
      <c r="A101" s="70" t="s">
        <v>102</v>
      </c>
      <c r="B101" s="46"/>
      <c r="C101" s="46">
        <f>F27</f>
        <v>2099250</v>
      </c>
      <c r="D101" s="46">
        <f>F28</f>
        <v>2296823.013</v>
      </c>
      <c r="E101" s="46">
        <f>F29</f>
        <v>2512990.807691508</v>
      </c>
      <c r="F101" s="46">
        <f>F30</f>
        <v>2749503.450548202</v>
      </c>
      <c r="G101" s="46">
        <f>F31</f>
        <v>3008275.717299996</v>
      </c>
    </row>
    <row r="102" spans="1:7" ht="12.75">
      <c r="A102" s="70" t="s">
        <v>21</v>
      </c>
      <c r="B102" s="46"/>
      <c r="C102" s="250">
        <v>3000</v>
      </c>
      <c r="D102" s="46">
        <v>3000</v>
      </c>
      <c r="E102" s="46">
        <v>3000</v>
      </c>
      <c r="F102" s="46">
        <v>3000</v>
      </c>
      <c r="G102" s="46">
        <v>3000</v>
      </c>
    </row>
    <row r="103" spans="1:7" ht="12.75">
      <c r="A103" s="70" t="s">
        <v>24</v>
      </c>
      <c r="B103" s="46"/>
      <c r="C103" s="250">
        <v>1800</v>
      </c>
      <c r="D103" s="46">
        <v>1800</v>
      </c>
      <c r="E103" s="46">
        <v>1800</v>
      </c>
      <c r="F103" s="46">
        <v>1800</v>
      </c>
      <c r="G103" s="46">
        <v>1800</v>
      </c>
    </row>
    <row r="104" spans="1:7" ht="12.75">
      <c r="A104" s="71" t="s">
        <v>128</v>
      </c>
      <c r="B104" s="76"/>
      <c r="C104" s="76">
        <f>SUM(C101:C103)</f>
        <v>2104050</v>
      </c>
      <c r="D104" s="76">
        <f>SUM(D101:D103)</f>
        <v>2301623.013</v>
      </c>
      <c r="E104" s="76">
        <f>SUM(E101:E103)</f>
        <v>2517790.807691508</v>
      </c>
      <c r="F104" s="76">
        <f>SUM(F101:F103)</f>
        <v>2754303.450548202</v>
      </c>
      <c r="G104" s="76">
        <f>SUM(G101:G103)</f>
        <v>3013075.717299996</v>
      </c>
    </row>
    <row r="105" spans="1:7" ht="12.75">
      <c r="A105" s="71" t="s">
        <v>129</v>
      </c>
      <c r="B105" s="76"/>
      <c r="C105" s="76">
        <f>B86</f>
        <v>49219.765399999975</v>
      </c>
      <c r="D105" s="76">
        <f aca="true" t="shared" si="4" ref="D105:G108">C86</f>
        <v>76379.64353588398</v>
      </c>
      <c r="E105" s="76">
        <f t="shared" si="4"/>
        <v>106224.10215940484</v>
      </c>
      <c r="F105" s="76">
        <f t="shared" si="4"/>
        <v>141894.7567511869</v>
      </c>
      <c r="G105" s="76">
        <f t="shared" si="4"/>
        <v>177912.05244662566</v>
      </c>
    </row>
    <row r="106" spans="1:7" ht="12.75">
      <c r="A106" s="70" t="s">
        <v>22</v>
      </c>
      <c r="B106" s="46"/>
      <c r="C106" s="46">
        <f>B87</f>
        <v>7382.964809999996</v>
      </c>
      <c r="D106" s="46">
        <f t="shared" si="4"/>
        <v>11456.946530382596</v>
      </c>
      <c r="E106" s="46">
        <f t="shared" si="4"/>
        <v>15933.615323910724</v>
      </c>
      <c r="F106" s="46">
        <f t="shared" si="4"/>
        <v>21284.213512678038</v>
      </c>
      <c r="G106" s="46">
        <f t="shared" si="4"/>
        <v>26686.807866993848</v>
      </c>
    </row>
    <row r="107" spans="1:7" ht="12.75">
      <c r="A107" s="71" t="s">
        <v>130</v>
      </c>
      <c r="B107" s="76"/>
      <c r="C107" s="76">
        <f>B88</f>
        <v>41836.80058999998</v>
      </c>
      <c r="D107" s="76">
        <f t="shared" si="4"/>
        <v>64922.69700550138</v>
      </c>
      <c r="E107" s="76">
        <f t="shared" si="4"/>
        <v>90290.48683549411</v>
      </c>
      <c r="F107" s="76">
        <f t="shared" si="4"/>
        <v>120610.54323850888</v>
      </c>
      <c r="G107" s="76">
        <f t="shared" si="4"/>
        <v>151225.2445796318</v>
      </c>
    </row>
    <row r="108" spans="1:7" ht="12.75">
      <c r="A108" s="70" t="s">
        <v>23</v>
      </c>
      <c r="B108" s="46"/>
      <c r="C108" s="46">
        <f>B89</f>
        <v>10459.200147499994</v>
      </c>
      <c r="D108" s="46">
        <f t="shared" si="4"/>
        <v>16230.674251375345</v>
      </c>
      <c r="E108" s="46">
        <f t="shared" si="4"/>
        <v>22572.62170887353</v>
      </c>
      <c r="F108" s="46">
        <f t="shared" si="4"/>
        <v>30152.63580962722</v>
      </c>
      <c r="G108" s="46">
        <f t="shared" si="4"/>
        <v>37806.31114490795</v>
      </c>
    </row>
    <row r="109" spans="1:7" ht="12.75">
      <c r="A109" s="71" t="s">
        <v>131</v>
      </c>
      <c r="B109" s="76"/>
      <c r="C109" s="76">
        <f>C107-C108</f>
        <v>31377.600442499985</v>
      </c>
      <c r="D109" s="76">
        <f>D107-D108</f>
        <v>48692.02275412604</v>
      </c>
      <c r="E109" s="76">
        <f>E107-E108</f>
        <v>67717.86512662059</v>
      </c>
      <c r="F109" s="76">
        <f>F107-F108</f>
        <v>90457.90742888166</v>
      </c>
      <c r="G109" s="76">
        <f>G107-G108</f>
        <v>113418.93343472385</v>
      </c>
    </row>
    <row r="110" spans="1:7" ht="12.75">
      <c r="A110" s="77" t="s">
        <v>185</v>
      </c>
      <c r="B110" s="46"/>
      <c r="C110" s="46">
        <v>13673.5136</v>
      </c>
      <c r="D110" s="46">
        <v>13673.5136</v>
      </c>
      <c r="E110" s="46">
        <v>13673.5136</v>
      </c>
      <c r="F110" s="46">
        <v>10791.5136</v>
      </c>
      <c r="G110" s="46">
        <v>10791.5136</v>
      </c>
    </row>
    <row r="111" spans="1:7" ht="12.75">
      <c r="A111" s="70" t="s">
        <v>132</v>
      </c>
      <c r="B111" s="46"/>
      <c r="C111" s="46">
        <v>572</v>
      </c>
      <c r="D111" s="46">
        <v>572</v>
      </c>
      <c r="E111" s="46">
        <v>572</v>
      </c>
      <c r="F111" s="46">
        <v>572</v>
      </c>
      <c r="G111" s="46">
        <v>572</v>
      </c>
    </row>
    <row r="112" spans="1:7" ht="12.75">
      <c r="A112" s="77" t="s">
        <v>133</v>
      </c>
      <c r="B112" s="46"/>
      <c r="C112" s="46"/>
      <c r="D112" s="46"/>
      <c r="E112" s="46"/>
      <c r="F112" s="46"/>
      <c r="G112" s="46">
        <v>36177.568</v>
      </c>
    </row>
    <row r="113" spans="1:7" ht="25.5">
      <c r="A113" s="218" t="s">
        <v>229</v>
      </c>
      <c r="B113" s="46">
        <v>-1500000</v>
      </c>
      <c r="C113" s="46"/>
      <c r="D113" s="46"/>
      <c r="E113" s="46"/>
      <c r="F113" s="46"/>
      <c r="G113" s="46"/>
    </row>
    <row r="114" spans="1:7" ht="12.75">
      <c r="A114" s="173" t="s">
        <v>110</v>
      </c>
      <c r="B114" s="175">
        <f>B113</f>
        <v>-1500000</v>
      </c>
      <c r="C114" s="175">
        <f>C99-C104+C109+C110+C111+C113</f>
        <v>393531.46404250007</v>
      </c>
      <c r="D114" s="175">
        <f>D99-D104+D109+D110+D111+D113</f>
        <v>441571.7854227262</v>
      </c>
      <c r="E114" s="175">
        <f>E99-E104+E109+E110+E111+E113</f>
        <v>493993.061580561</v>
      </c>
      <c r="F114" s="175">
        <f>F99-F104+F109+F110+F111+F113</f>
        <v>550147.3145543032</v>
      </c>
      <c r="G114" s="175">
        <f>G99-G104+G109+G110+G111+G113-G112</f>
        <v>576378.9655367841</v>
      </c>
    </row>
    <row r="115" spans="1:7" ht="12.75">
      <c r="A115" s="178" t="s">
        <v>98</v>
      </c>
      <c r="B115" s="179">
        <f>B124</f>
        <v>340536.10975584807</v>
      </c>
      <c r="C115" s="5"/>
      <c r="D115" s="5"/>
      <c r="E115" s="5"/>
      <c r="F115" s="5"/>
      <c r="G115" s="5"/>
    </row>
    <row r="116" spans="1:7" ht="12.75">
      <c r="A116" s="178" t="s">
        <v>99</v>
      </c>
      <c r="B116" s="179">
        <f>IRR(B114:G114)*100</f>
        <v>17.642517088012855</v>
      </c>
      <c r="C116" s="5"/>
      <c r="D116" s="5"/>
      <c r="E116" s="5"/>
      <c r="F116" s="5"/>
      <c r="G116" s="5"/>
    </row>
    <row r="118" ht="13.5" thickBot="1"/>
    <row r="119" spans="1:7" ht="12.75">
      <c r="A119" s="293" t="s">
        <v>114</v>
      </c>
      <c r="B119" s="294"/>
      <c r="C119" s="294"/>
      <c r="D119" s="294"/>
      <c r="E119" s="294"/>
      <c r="F119" s="294"/>
      <c r="G119" s="295"/>
    </row>
    <row r="120" spans="1:7" ht="12.75">
      <c r="A120" s="70" t="s">
        <v>115</v>
      </c>
      <c r="B120" s="170">
        <v>0.0974</v>
      </c>
      <c r="C120" s="70"/>
      <c r="D120" s="70"/>
      <c r="E120" s="70"/>
      <c r="F120" s="70"/>
      <c r="G120" s="70"/>
    </row>
    <row r="121" spans="1:7" ht="12.75">
      <c r="A121" s="70" t="s">
        <v>116</v>
      </c>
      <c r="B121" s="71">
        <v>0</v>
      </c>
      <c r="C121" s="71">
        <v>1</v>
      </c>
      <c r="D121" s="71">
        <v>2</v>
      </c>
      <c r="E121" s="71">
        <v>3</v>
      </c>
      <c r="F121" s="71">
        <v>4</v>
      </c>
      <c r="G121" s="71">
        <v>5</v>
      </c>
    </row>
    <row r="122" spans="1:7" ht="12.75">
      <c r="A122" s="70" t="s">
        <v>117</v>
      </c>
      <c r="B122" s="46">
        <f aca="true" t="shared" si="5" ref="B122:G122">B114</f>
        <v>-1500000</v>
      </c>
      <c r="C122" s="46">
        <f t="shared" si="5"/>
        <v>393531.46404250007</v>
      </c>
      <c r="D122" s="46">
        <f t="shared" si="5"/>
        <v>441571.7854227262</v>
      </c>
      <c r="E122" s="46">
        <f t="shared" si="5"/>
        <v>493993.061580561</v>
      </c>
      <c r="F122" s="46">
        <f t="shared" si="5"/>
        <v>550147.3145543032</v>
      </c>
      <c r="G122" s="46">
        <f t="shared" si="5"/>
        <v>576378.9655367841</v>
      </c>
    </row>
    <row r="123" spans="1:7" ht="12.75">
      <c r="A123" s="71" t="s">
        <v>118</v>
      </c>
      <c r="B123" s="76">
        <f>(B122)/(1+$B$29)^B121</f>
        <v>-1500000</v>
      </c>
      <c r="C123" s="76">
        <f>(C122)/(1+$B$120)^C121</f>
        <v>358603.48463869153</v>
      </c>
      <c r="D123" s="76">
        <f>(D122)/(1+$B$120)^D121</f>
        <v>366666.64459777524</v>
      </c>
      <c r="E123" s="76">
        <f>(E122)/(1+$B$120)^E121</f>
        <v>373788.5393765348</v>
      </c>
      <c r="F123" s="76">
        <f>(F122)/(1+$B$120)^F121</f>
        <v>379331.73194979486</v>
      </c>
      <c r="G123" s="76">
        <f>(G122)/(1+$B$120)^G121</f>
        <v>362145.7091930519</v>
      </c>
    </row>
    <row r="124" spans="1:7" ht="12.75">
      <c r="A124" s="171" t="s">
        <v>98</v>
      </c>
      <c r="B124" s="172">
        <f>C123+D123+E123+F123+G123+H123+I123+J123+K123+L123+B123</f>
        <v>340536.10975584807</v>
      </c>
      <c r="C124" s="46"/>
      <c r="D124" s="46"/>
      <c r="E124" s="46"/>
      <c r="F124" s="46"/>
      <c r="G124" s="46"/>
    </row>
    <row r="136" spans="1:2" ht="12.75">
      <c r="A136" s="19" t="s">
        <v>3</v>
      </c>
      <c r="B136" s="19"/>
    </row>
    <row r="137" spans="1:2" ht="12.75">
      <c r="A137" s="20"/>
      <c r="B137" s="20"/>
    </row>
    <row r="138" spans="1:2" ht="12.75">
      <c r="A138" s="20" t="s">
        <v>3</v>
      </c>
      <c r="B138" s="20"/>
    </row>
    <row r="139" spans="1:2" ht="12.75">
      <c r="A139" s="20"/>
      <c r="B139" s="20"/>
    </row>
    <row r="140" spans="1:2" ht="12.75">
      <c r="A140" s="20" t="s">
        <v>3</v>
      </c>
      <c r="B140" s="20"/>
    </row>
    <row r="141" spans="1:2" ht="12.75">
      <c r="A141" s="20" t="s">
        <v>3</v>
      </c>
      <c r="B141" s="20"/>
    </row>
  </sheetData>
  <sheetProtection/>
  <mergeCells count="9">
    <mergeCell ref="A61:G61"/>
    <mergeCell ref="A94:G94"/>
    <mergeCell ref="A119:G119"/>
    <mergeCell ref="A3:C3"/>
    <mergeCell ref="A18:F18"/>
    <mergeCell ref="B24:B26"/>
    <mergeCell ref="C24:C26"/>
    <mergeCell ref="A57:H57"/>
    <mergeCell ref="A60:G60"/>
  </mergeCells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41"/>
  <sheetViews>
    <sheetView zoomScalePageLayoutView="0" workbookViewId="0" topLeftCell="A76">
      <selection activeCell="D30" sqref="D30"/>
    </sheetView>
  </sheetViews>
  <sheetFormatPr defaultColWidth="11.421875" defaultRowHeight="12.75"/>
  <cols>
    <col min="1" max="1" width="31.140625" style="0" customWidth="1"/>
    <col min="2" max="2" width="17.7109375" style="0" customWidth="1"/>
    <col min="3" max="3" width="12.57421875" style="0" customWidth="1"/>
    <col min="4" max="4" width="13.140625" style="0" customWidth="1"/>
    <col min="5" max="5" width="14.7109375" style="0" customWidth="1"/>
    <col min="6" max="6" width="12.00390625" style="0" customWidth="1"/>
    <col min="7" max="7" width="12.421875" style="0" customWidth="1"/>
    <col min="8" max="8" width="11.7109375" style="0" bestFit="1" customWidth="1"/>
    <col min="9" max="9" width="13.8515625" style="0" customWidth="1"/>
    <col min="10" max="10" width="15.57421875" style="0" customWidth="1"/>
    <col min="11" max="11" width="13.00390625" style="0" customWidth="1"/>
    <col min="12" max="12" width="12.140625" style="0" customWidth="1"/>
    <col min="13" max="13" width="11.7109375" style="0" bestFit="1" customWidth="1"/>
    <col min="14" max="14" width="11.7109375" style="0" customWidth="1"/>
    <col min="15" max="15" width="11.7109375" style="0" bestFit="1" customWidth="1"/>
  </cols>
  <sheetData>
    <row r="2" spans="1:7" ht="15" thickBot="1">
      <c r="A2" s="8" t="s">
        <v>3</v>
      </c>
      <c r="B2" s="8"/>
      <c r="C2" s="8"/>
      <c r="D2" s="26"/>
      <c r="E2" s="26"/>
      <c r="F2" s="26"/>
      <c r="G2" s="8"/>
    </row>
    <row r="3" spans="1:6" ht="12.75">
      <c r="A3" s="280" t="s">
        <v>65</v>
      </c>
      <c r="B3" s="281"/>
      <c r="C3" s="282"/>
      <c r="D3" s="27"/>
      <c r="E3" s="27"/>
      <c r="F3" s="27"/>
    </row>
    <row r="4" spans="1:6" s="185" customFormat="1" ht="14.25">
      <c r="A4" s="231" t="s">
        <v>186</v>
      </c>
      <c r="B4" s="193"/>
      <c r="C4" s="194">
        <v>8000</v>
      </c>
      <c r="D4" s="27"/>
      <c r="E4" s="27"/>
      <c r="F4" s="27"/>
    </row>
    <row r="5" spans="1:3" ht="12.75" customHeight="1">
      <c r="A5" s="28" t="s">
        <v>187</v>
      </c>
      <c r="B5" s="24"/>
      <c r="C5" s="29">
        <v>22000</v>
      </c>
    </row>
    <row r="6" spans="1:3" ht="13.5" customHeight="1">
      <c r="A6" s="186" t="s">
        <v>190</v>
      </c>
      <c r="B6" s="25"/>
      <c r="C6" s="30">
        <v>36671.22</v>
      </c>
    </row>
    <row r="7" spans="1:3" ht="14.25">
      <c r="A7" s="31" t="s">
        <v>189</v>
      </c>
      <c r="B7" s="22"/>
      <c r="C7" s="32"/>
    </row>
    <row r="8" spans="1:3" ht="14.25">
      <c r="A8" s="28" t="s">
        <v>188</v>
      </c>
      <c r="B8" s="24"/>
      <c r="C8" s="29">
        <v>36780</v>
      </c>
    </row>
    <row r="9" spans="1:3" ht="13.5" thickBot="1">
      <c r="A9" s="33" t="s">
        <v>15</v>
      </c>
      <c r="B9" s="88"/>
      <c r="C9" s="34">
        <f>C5+C6+C8</f>
        <v>95451.22</v>
      </c>
    </row>
    <row r="10" spans="1:2" ht="12.75">
      <c r="A10" s="20"/>
      <c r="B10" s="20"/>
    </row>
    <row r="11" spans="1:22" ht="14.25">
      <c r="A11" s="8" t="s">
        <v>183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5" thickBo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5" ht="13.5" thickBot="1">
      <c r="A13" s="35" t="s">
        <v>66</v>
      </c>
      <c r="B13" s="89"/>
      <c r="C13" s="187">
        <v>1500000</v>
      </c>
      <c r="E13" s="5"/>
    </row>
    <row r="14" spans="1:5" ht="12.75">
      <c r="A14" s="20"/>
      <c r="B14" s="20"/>
      <c r="C14" s="17"/>
      <c r="D14" s="23"/>
      <c r="E14" s="5"/>
    </row>
    <row r="15" spans="1:5" ht="12.75">
      <c r="A15" s="20"/>
      <c r="B15" s="20"/>
      <c r="E15" s="5"/>
    </row>
    <row r="16" spans="1:4" ht="18">
      <c r="A16" s="180" t="s">
        <v>230</v>
      </c>
      <c r="B16" s="10"/>
      <c r="C16" s="10"/>
      <c r="D16" s="10"/>
    </row>
    <row r="17" spans="1:3" ht="15.75" thickBot="1">
      <c r="A17" s="9"/>
      <c r="B17" s="9"/>
      <c r="C17" s="10"/>
    </row>
    <row r="18" spans="1:6" ht="13.5" thickBot="1">
      <c r="A18" s="283" t="s">
        <v>68</v>
      </c>
      <c r="B18" s="284"/>
      <c r="C18" s="284"/>
      <c r="D18" s="284"/>
      <c r="E18" s="284"/>
      <c r="F18" s="285"/>
    </row>
    <row r="19" spans="1:7" ht="14.25">
      <c r="A19" s="37" t="s">
        <v>0</v>
      </c>
      <c r="B19" s="38"/>
      <c r="C19" s="38"/>
      <c r="D19" s="38"/>
      <c r="E19" s="38"/>
      <c r="F19" s="39">
        <v>450</v>
      </c>
      <c r="G19" s="1" t="s">
        <v>3</v>
      </c>
    </row>
    <row r="20" spans="1:7" ht="14.25">
      <c r="A20" s="40" t="s">
        <v>4</v>
      </c>
      <c r="B20" s="36"/>
      <c r="C20" s="36"/>
      <c r="D20" s="36"/>
      <c r="E20" s="36"/>
      <c r="F20" s="41">
        <v>0.026</v>
      </c>
      <c r="G20" s="2" t="s">
        <v>3</v>
      </c>
    </row>
    <row r="21" spans="1:7" ht="14.25">
      <c r="A21" s="40" t="s">
        <v>1</v>
      </c>
      <c r="B21" s="36"/>
      <c r="C21" s="36"/>
      <c r="D21" s="36"/>
      <c r="E21" s="36"/>
      <c r="F21" s="42" t="s">
        <v>2</v>
      </c>
      <c r="G21" s="3" t="s">
        <v>3</v>
      </c>
    </row>
    <row r="22" spans="1:7" ht="15.75" thickBot="1">
      <c r="A22" s="43" t="s">
        <v>67</v>
      </c>
      <c r="B22" s="44"/>
      <c r="C22" s="44"/>
      <c r="D22" s="44"/>
      <c r="E22" s="44"/>
      <c r="F22" s="45">
        <v>0.026</v>
      </c>
      <c r="G22" s="2" t="s">
        <v>3</v>
      </c>
    </row>
    <row r="23" ht="12.75">
      <c r="G23" s="2" t="s">
        <v>3</v>
      </c>
    </row>
    <row r="24" spans="1:9" ht="12.75">
      <c r="A24" s="53"/>
      <c r="B24" s="286" t="s">
        <v>92</v>
      </c>
      <c r="C24" s="286" t="s">
        <v>91</v>
      </c>
      <c r="D24" s="54" t="s">
        <v>93</v>
      </c>
      <c r="E24" s="55" t="s">
        <v>94</v>
      </c>
      <c r="F24" s="54" t="s">
        <v>8</v>
      </c>
      <c r="G24" s="56"/>
      <c r="H24" s="57">
        <v>0.02</v>
      </c>
      <c r="I24" s="58"/>
    </row>
    <row r="25" spans="1:9" ht="12.75">
      <c r="A25" s="59" t="s">
        <v>3</v>
      </c>
      <c r="B25" s="287"/>
      <c r="C25" s="287"/>
      <c r="D25" s="60" t="s">
        <v>17</v>
      </c>
      <c r="E25" s="61" t="s">
        <v>95</v>
      </c>
      <c r="F25" s="60" t="s">
        <v>9</v>
      </c>
      <c r="G25" s="61" t="s">
        <v>13</v>
      </c>
      <c r="H25" s="60" t="s">
        <v>56</v>
      </c>
      <c r="I25" s="62" t="s">
        <v>61</v>
      </c>
    </row>
    <row r="26" spans="1:9" ht="12.75">
      <c r="A26" s="63" t="s">
        <v>5</v>
      </c>
      <c r="B26" s="288"/>
      <c r="C26" s="288"/>
      <c r="D26" s="64" t="s">
        <v>6</v>
      </c>
      <c r="E26" s="65" t="s">
        <v>7</v>
      </c>
      <c r="F26" s="64" t="s">
        <v>10</v>
      </c>
      <c r="G26" s="65" t="s">
        <v>17</v>
      </c>
      <c r="H26" s="64" t="s">
        <v>57</v>
      </c>
      <c r="I26" s="66" t="s">
        <v>62</v>
      </c>
    </row>
    <row r="27" spans="1:9" s="51" customFormat="1" ht="12">
      <c r="A27" s="47">
        <v>2009</v>
      </c>
      <c r="B27" s="48">
        <v>933</v>
      </c>
      <c r="C27" s="47">
        <v>5</v>
      </c>
      <c r="D27" s="49">
        <v>450</v>
      </c>
      <c r="E27" s="49">
        <f>D27*C27</f>
        <v>2250</v>
      </c>
      <c r="F27" s="49">
        <f>B27*E27</f>
        <v>2099250</v>
      </c>
      <c r="G27" s="50">
        <f>F27*18/100</f>
        <v>377865</v>
      </c>
      <c r="H27" s="50">
        <f>F27*2/100</f>
        <v>41985</v>
      </c>
      <c r="I27" s="50">
        <f>(F27*0.1178)*0.06</f>
        <v>14837.499</v>
      </c>
    </row>
    <row r="28" spans="1:9" s="51" customFormat="1" ht="12">
      <c r="A28" s="47">
        <v>2010</v>
      </c>
      <c r="B28" s="52">
        <f>B27*2.6/100+B27</f>
        <v>957.258</v>
      </c>
      <c r="C28" s="52">
        <v>5</v>
      </c>
      <c r="D28" s="49">
        <f>D27*F20+D27</f>
        <v>461.7</v>
      </c>
      <c r="E28" s="49">
        <f>D28*C28</f>
        <v>2308.5</v>
      </c>
      <c r="F28" s="49">
        <f>(E28*B28)</f>
        <v>2209830.093</v>
      </c>
      <c r="G28" s="50">
        <f>F28*18/100</f>
        <v>397769.41673999996</v>
      </c>
      <c r="H28" s="50">
        <f>F28*2/100</f>
        <v>44196.601859999995</v>
      </c>
      <c r="I28" s="50">
        <f>(F28*0.1178)*0.06</f>
        <v>15619.079097324</v>
      </c>
    </row>
    <row r="29" spans="1:9" s="51" customFormat="1" ht="12">
      <c r="A29" s="47">
        <v>2011</v>
      </c>
      <c r="B29" s="52">
        <f>B28*2.6/100+B28</f>
        <v>982.146708</v>
      </c>
      <c r="C29" s="52">
        <v>5</v>
      </c>
      <c r="D29" s="49">
        <f>D28*F20+D28</f>
        <v>473.7042</v>
      </c>
      <c r="E29" s="49">
        <f>D29*C29</f>
        <v>2368.521</v>
      </c>
      <c r="F29" s="49">
        <f>(E29*B29)</f>
        <v>2326235.102978868</v>
      </c>
      <c r="G29" s="50">
        <f>F29*18/100</f>
        <v>418722.3185361962</v>
      </c>
      <c r="H29" s="50">
        <f>F29*2/100</f>
        <v>46524.70205957736</v>
      </c>
      <c r="I29" s="50">
        <f>(F29*0.1178)*0.06</f>
        <v>16441.82970785464</v>
      </c>
    </row>
    <row r="30" spans="1:9" s="51" customFormat="1" ht="12">
      <c r="A30" s="47">
        <v>2012</v>
      </c>
      <c r="B30" s="52">
        <f>B29*2.6/100+B29</f>
        <v>1007.682522408</v>
      </c>
      <c r="C30" s="52">
        <v>5</v>
      </c>
      <c r="D30" s="49">
        <f>D29*F20+D29</f>
        <v>486.0205092</v>
      </c>
      <c r="E30" s="49">
        <f>D30*C30</f>
        <v>2430.102546</v>
      </c>
      <c r="F30" s="49">
        <f>(E30*B30)</f>
        <v>2448771.863263383</v>
      </c>
      <c r="G30" s="50">
        <f>F30*18/100</f>
        <v>440778.93538740894</v>
      </c>
      <c r="H30" s="50">
        <f>F30*2/100</f>
        <v>48975.43726526766</v>
      </c>
      <c r="I30" s="50">
        <f>(F30*0.1178)*0.06</f>
        <v>17307.91952954559</v>
      </c>
    </row>
    <row r="31" spans="1:9" s="51" customFormat="1" ht="12">
      <c r="A31" s="47">
        <v>2013</v>
      </c>
      <c r="B31" s="52">
        <f>B30*2.6/100+B30</f>
        <v>1033.882267990608</v>
      </c>
      <c r="C31" s="52">
        <v>5</v>
      </c>
      <c r="D31" s="49">
        <f>D30*F20+D30</f>
        <v>498.6570424392</v>
      </c>
      <c r="E31" s="49">
        <f>D31*C31</f>
        <v>2493.285212196</v>
      </c>
      <c r="F31" s="49">
        <f>(E31*B31)</f>
        <v>2577763.3699326445</v>
      </c>
      <c r="G31" s="50">
        <f>F31*18/100</f>
        <v>463997.40658787603</v>
      </c>
      <c r="H31" s="50">
        <f>F31*2/100</f>
        <v>51555.26739865289</v>
      </c>
      <c r="I31" s="50">
        <f>(F31*0.1178)*0.06</f>
        <v>18219.63149868393</v>
      </c>
    </row>
    <row r="32" spans="1:9" s="51" customFormat="1" ht="12">
      <c r="A32" s="67" t="s">
        <v>69</v>
      </c>
      <c r="B32" s="68"/>
      <c r="C32" s="69"/>
      <c r="D32" s="68"/>
      <c r="E32" s="68"/>
      <c r="F32" s="83">
        <f>SUM(F27:F31)</f>
        <v>11661850.429174896</v>
      </c>
      <c r="G32" s="83">
        <f>SUM(G27:G31)</f>
        <v>2099133.077251481</v>
      </c>
      <c r="H32" s="83">
        <f>SUM(H27:H31)</f>
        <v>233237.0085834979</v>
      </c>
      <c r="I32" s="83">
        <f>SUM(I27:I31)</f>
        <v>82425.95883340815</v>
      </c>
    </row>
    <row r="33" spans="4:8" ht="12.75">
      <c r="D33" s="4"/>
      <c r="G33" s="5"/>
      <c r="H33" s="5"/>
    </row>
    <row r="34" spans="1:8" ht="14.25">
      <c r="A34" s="7" t="s">
        <v>18</v>
      </c>
      <c r="B34" s="7"/>
      <c r="C34" s="7"/>
      <c r="D34" s="11"/>
      <c r="E34" s="7"/>
      <c r="F34" s="7"/>
      <c r="G34" s="12"/>
      <c r="H34" s="12"/>
    </row>
    <row r="35" spans="1:8" ht="14.25">
      <c r="A35" s="7" t="s">
        <v>103</v>
      </c>
      <c r="B35" s="7"/>
      <c r="C35" s="7"/>
      <c r="D35" s="11"/>
      <c r="E35" s="7"/>
      <c r="F35" s="7"/>
      <c r="G35" s="12"/>
      <c r="H35" s="12"/>
    </row>
    <row r="36" spans="1:9" ht="14.25">
      <c r="A36" s="7" t="s">
        <v>59</v>
      </c>
      <c r="B36" s="7"/>
      <c r="C36" s="7"/>
      <c r="D36" s="11"/>
      <c r="E36" s="7"/>
      <c r="F36" s="7"/>
      <c r="G36" s="12"/>
      <c r="H36" s="12"/>
      <c r="I36" s="310"/>
    </row>
    <row r="37" spans="1:8" ht="15">
      <c r="A37" s="8" t="s">
        <v>184</v>
      </c>
      <c r="B37" s="7"/>
      <c r="C37" s="7"/>
      <c r="D37" s="11"/>
      <c r="E37" s="7"/>
      <c r="F37" s="7"/>
      <c r="G37" s="235"/>
      <c r="H37" s="235"/>
    </row>
    <row r="38" spans="1:8" ht="14.25">
      <c r="A38" s="7" t="s">
        <v>58</v>
      </c>
      <c r="B38" s="7"/>
      <c r="C38" s="7"/>
      <c r="D38" s="11"/>
      <c r="E38" s="7"/>
      <c r="F38" s="7"/>
      <c r="G38" s="12"/>
      <c r="H38" s="12"/>
    </row>
    <row r="39" spans="1:8" ht="14.25">
      <c r="A39" s="7"/>
      <c r="B39" s="7"/>
      <c r="C39" s="7"/>
      <c r="D39" s="11"/>
      <c r="E39" s="7"/>
      <c r="F39" s="7"/>
      <c r="G39" s="12"/>
      <c r="H39" s="12"/>
    </row>
    <row r="41" spans="1:4" ht="18">
      <c r="A41" s="180" t="s">
        <v>11</v>
      </c>
      <c r="B41" s="10"/>
      <c r="C41" s="10"/>
      <c r="D41" s="10"/>
    </row>
    <row r="43" spans="1:8" ht="14.25">
      <c r="A43" s="7" t="s">
        <v>16</v>
      </c>
      <c r="B43" s="7"/>
      <c r="C43" s="7"/>
      <c r="D43" s="7"/>
      <c r="E43" s="7"/>
      <c r="F43" s="7"/>
      <c r="G43" s="7"/>
      <c r="H43" s="7"/>
    </row>
    <row r="44" spans="1:8" ht="14.25">
      <c r="A44" s="7" t="s">
        <v>113</v>
      </c>
      <c r="B44" s="7"/>
      <c r="C44" s="7"/>
      <c r="D44" s="7"/>
      <c r="E44" s="18">
        <v>0.07</v>
      </c>
      <c r="F44" s="7"/>
      <c r="G44" s="7"/>
      <c r="H44" s="7"/>
    </row>
    <row r="45" spans="1:6" ht="14.25">
      <c r="A45" s="7" t="s">
        <v>63</v>
      </c>
      <c r="B45" s="7"/>
      <c r="C45" s="7" t="s">
        <v>3</v>
      </c>
      <c r="D45" s="7"/>
      <c r="E45" s="7"/>
      <c r="F45" s="7"/>
    </row>
    <row r="47" spans="1:4" ht="12.75">
      <c r="A47" s="72" t="s">
        <v>5</v>
      </c>
      <c r="B47" s="72" t="s">
        <v>12</v>
      </c>
      <c r="C47" s="72" t="s">
        <v>14</v>
      </c>
      <c r="D47" s="72" t="s">
        <v>13</v>
      </c>
    </row>
    <row r="48" spans="1:4" s="51" customFormat="1" ht="12">
      <c r="A48" s="47">
        <v>2009</v>
      </c>
      <c r="B48" s="49">
        <v>600000</v>
      </c>
      <c r="C48" s="47">
        <v>6</v>
      </c>
      <c r="D48" s="49">
        <f>B48*C48/100</f>
        <v>36000</v>
      </c>
    </row>
    <row r="49" spans="1:4" s="51" customFormat="1" ht="12">
      <c r="A49" s="47">
        <v>2010</v>
      </c>
      <c r="B49" s="49">
        <f>B48*E44+B48</f>
        <v>642000</v>
      </c>
      <c r="C49" s="47">
        <v>6</v>
      </c>
      <c r="D49" s="49">
        <f>B49*C49/100</f>
        <v>38520</v>
      </c>
    </row>
    <row r="50" spans="1:4" s="51" customFormat="1" ht="12">
      <c r="A50" s="47">
        <v>2011</v>
      </c>
      <c r="B50" s="49">
        <f>B49*E44+B49</f>
        <v>686940</v>
      </c>
      <c r="C50" s="47">
        <v>6</v>
      </c>
      <c r="D50" s="49">
        <f>B50*C50/100</f>
        <v>41216.4</v>
      </c>
    </row>
    <row r="51" spans="1:4" s="51" customFormat="1" ht="12">
      <c r="A51" s="47">
        <v>2012</v>
      </c>
      <c r="B51" s="49">
        <f>B50*E44+B50</f>
        <v>735025.8</v>
      </c>
      <c r="C51" s="47">
        <v>6</v>
      </c>
      <c r="D51" s="49">
        <f>B51*C51/100</f>
        <v>44101.54800000001</v>
      </c>
    </row>
    <row r="52" spans="1:5" s="51" customFormat="1" ht="12">
      <c r="A52" s="47">
        <v>2013</v>
      </c>
      <c r="B52" s="49">
        <f>B51*E44+B51</f>
        <v>786477.606</v>
      </c>
      <c r="C52" s="47">
        <v>6</v>
      </c>
      <c r="D52" s="49">
        <f>B52*C52/100</f>
        <v>47188.65636</v>
      </c>
      <c r="E52" s="51" t="s">
        <v>228</v>
      </c>
    </row>
    <row r="53" spans="1:4" s="51" customFormat="1" ht="12">
      <c r="A53" s="73" t="s">
        <v>15</v>
      </c>
      <c r="B53" s="74">
        <f>SUM(B48:B52)</f>
        <v>3450443.406</v>
      </c>
      <c r="C53" s="75"/>
      <c r="D53" s="74">
        <f>SUM(D48:D52)</f>
        <v>207026.60436</v>
      </c>
    </row>
    <row r="54" spans="3:5" ht="12.75">
      <c r="C54" s="6"/>
      <c r="E54" s="6"/>
    </row>
    <row r="55" spans="1:5" ht="12.75">
      <c r="A55" s="16"/>
      <c r="B55" s="16"/>
      <c r="C55" s="16"/>
      <c r="D55" s="16"/>
      <c r="E55" s="16"/>
    </row>
    <row r="56" ht="12.75">
      <c r="D56" s="14"/>
    </row>
    <row r="57" spans="1:8" ht="19.5">
      <c r="A57" s="279" t="s">
        <v>64</v>
      </c>
      <c r="B57" s="279"/>
      <c r="C57" s="279"/>
      <c r="D57" s="279"/>
      <c r="E57" s="279"/>
      <c r="F57" s="279"/>
      <c r="G57" s="279"/>
      <c r="H57" s="279"/>
    </row>
    <row r="58" spans="1:8" ht="19.5">
      <c r="A58" s="184"/>
      <c r="B58" s="184"/>
      <c r="C58" s="184"/>
      <c r="D58" s="184"/>
      <c r="E58" s="184"/>
      <c r="F58" s="184"/>
      <c r="G58" s="184"/>
      <c r="H58" s="184"/>
    </row>
    <row r="59" spans="9:14" ht="13.5" thickBot="1">
      <c r="I59" s="16"/>
      <c r="J59" s="81"/>
      <c r="K59" s="81"/>
      <c r="L59" s="81"/>
      <c r="M59" s="81"/>
      <c r="N59" s="81"/>
    </row>
    <row r="60" spans="1:14" ht="18">
      <c r="A60" s="289" t="s">
        <v>70</v>
      </c>
      <c r="B60" s="290"/>
      <c r="C60" s="290"/>
      <c r="D60" s="290"/>
      <c r="E60" s="290"/>
      <c r="F60" s="290"/>
      <c r="G60" s="291"/>
      <c r="H60" s="188"/>
      <c r="I60" s="16"/>
      <c r="J60" s="81"/>
      <c r="K60" s="81"/>
      <c r="L60" s="81"/>
      <c r="M60" s="81"/>
      <c r="N60" s="81"/>
    </row>
    <row r="61" spans="1:14" ht="12.75">
      <c r="A61" s="276" t="s">
        <v>77</v>
      </c>
      <c r="B61" s="277"/>
      <c r="C61" s="277"/>
      <c r="D61" s="277"/>
      <c r="E61" s="277"/>
      <c r="F61" s="277"/>
      <c r="G61" s="278"/>
      <c r="H61" s="189"/>
      <c r="I61" s="16"/>
      <c r="J61" s="16"/>
      <c r="K61" s="16"/>
      <c r="L61" s="16"/>
      <c r="M61" s="16"/>
      <c r="N61" s="16"/>
    </row>
    <row r="62" spans="1:14" ht="12.75">
      <c r="A62" s="114"/>
      <c r="B62" s="65"/>
      <c r="C62" s="65"/>
      <c r="D62" s="65"/>
      <c r="E62" s="65"/>
      <c r="F62" s="65"/>
      <c r="G62" s="115"/>
      <c r="H62" s="190"/>
      <c r="I62" s="16"/>
      <c r="J62" s="16"/>
      <c r="K62" s="16"/>
      <c r="L62" s="16"/>
      <c r="M62" s="16"/>
      <c r="N62" s="16"/>
    </row>
    <row r="63" spans="1:13" ht="12.75">
      <c r="A63" s="103"/>
      <c r="B63" s="80">
        <v>2009</v>
      </c>
      <c r="C63" s="80">
        <v>2010</v>
      </c>
      <c r="D63" s="80">
        <v>2011</v>
      </c>
      <c r="E63" s="80">
        <v>2012</v>
      </c>
      <c r="F63" s="80">
        <v>2013</v>
      </c>
      <c r="G63" s="116" t="s">
        <v>8</v>
      </c>
      <c r="H63" s="16"/>
      <c r="I63" s="16"/>
      <c r="J63" s="16"/>
      <c r="K63" s="16"/>
      <c r="L63" s="16"/>
      <c r="M63" s="16"/>
    </row>
    <row r="64" spans="1:13" ht="15">
      <c r="A64" s="117" t="s">
        <v>72</v>
      </c>
      <c r="B64" s="79"/>
      <c r="C64" s="79"/>
      <c r="D64" s="79"/>
      <c r="E64" s="79"/>
      <c r="F64" s="79"/>
      <c r="G64" s="118"/>
      <c r="H64" s="16"/>
      <c r="I64" s="16"/>
      <c r="J64" s="16"/>
      <c r="K64" s="16"/>
      <c r="L64" s="16"/>
      <c r="M64" s="16"/>
    </row>
    <row r="65" spans="1:13" ht="12.75">
      <c r="A65" s="245" t="s">
        <v>25</v>
      </c>
      <c r="B65" s="241">
        <f>G27</f>
        <v>377865</v>
      </c>
      <c r="C65" s="241">
        <f>G28</f>
        <v>397769.41673999996</v>
      </c>
      <c r="D65" s="241">
        <f>G29</f>
        <v>418722.3185361962</v>
      </c>
      <c r="E65" s="241">
        <f>G30</f>
        <v>440778.93538740894</v>
      </c>
      <c r="F65" s="241">
        <f>G31</f>
        <v>463997.40658787603</v>
      </c>
      <c r="G65" s="246">
        <f>SUM(B65:F65)</f>
        <v>2099133.077251481</v>
      </c>
      <c r="H65" s="232"/>
      <c r="I65" s="16"/>
      <c r="J65" s="16"/>
      <c r="K65" s="16"/>
      <c r="L65" s="16"/>
      <c r="M65" s="16"/>
    </row>
    <row r="66" spans="1:13" ht="12.75">
      <c r="A66" s="119" t="s">
        <v>26</v>
      </c>
      <c r="B66" s="46">
        <f>I27</f>
        <v>14837.499</v>
      </c>
      <c r="C66" s="46">
        <f>I28</f>
        <v>15619.079097324</v>
      </c>
      <c r="D66" s="46">
        <f>I29</f>
        <v>16441.82970785464</v>
      </c>
      <c r="E66" s="46">
        <f>I30</f>
        <v>17307.91952954559</v>
      </c>
      <c r="F66" s="46">
        <f>I31</f>
        <v>18219.63149868393</v>
      </c>
      <c r="G66" s="104">
        <f>SUM(B66:F66)</f>
        <v>82425.95883340815</v>
      </c>
      <c r="H66" s="16"/>
      <c r="I66" s="168"/>
      <c r="J66" s="181"/>
      <c r="K66" s="16"/>
      <c r="L66" s="16"/>
      <c r="M66" s="16"/>
    </row>
    <row r="67" spans="1:13" ht="12.75">
      <c r="A67" s="105" t="s">
        <v>73</v>
      </c>
      <c r="B67" s="76">
        <f>SUM(B65:B66)</f>
        <v>392702.499</v>
      </c>
      <c r="C67" s="76">
        <f>SUM(C65:C66)</f>
        <v>413388.49583732395</v>
      </c>
      <c r="D67" s="76">
        <f>SUM(D65:D66)</f>
        <v>435164.14824405086</v>
      </c>
      <c r="E67" s="76">
        <f>SUM(E65:E66)</f>
        <v>458086.85491695453</v>
      </c>
      <c r="F67" s="76">
        <f>SUM(F65:F66)</f>
        <v>482217.03808656</v>
      </c>
      <c r="G67" s="106">
        <f>SUM(B67:F67)</f>
        <v>2181559.0360848894</v>
      </c>
      <c r="H67" s="16"/>
      <c r="I67" s="168"/>
      <c r="J67" s="182"/>
      <c r="K67" s="16"/>
      <c r="L67" s="16"/>
      <c r="M67" s="16"/>
    </row>
    <row r="68" spans="1:13" ht="15">
      <c r="A68" s="117" t="s">
        <v>71</v>
      </c>
      <c r="B68" s="78"/>
      <c r="C68" s="78"/>
      <c r="D68" s="78"/>
      <c r="E68" s="78"/>
      <c r="F68" s="78"/>
      <c r="G68" s="120"/>
      <c r="H68" s="16"/>
      <c r="I68" s="168"/>
      <c r="J68" s="183"/>
      <c r="K68" s="16"/>
      <c r="L68" s="16"/>
      <c r="M68" s="16"/>
    </row>
    <row r="69" spans="1:13" ht="12.75">
      <c r="A69" s="105" t="s">
        <v>106</v>
      </c>
      <c r="B69" s="46"/>
      <c r="C69" s="46"/>
      <c r="D69" s="46"/>
      <c r="E69" s="46"/>
      <c r="F69" s="46"/>
      <c r="G69" s="104" t="s">
        <v>3</v>
      </c>
      <c r="H69" s="16"/>
      <c r="I69" s="168"/>
      <c r="J69" s="102"/>
      <c r="K69" s="16"/>
      <c r="L69" s="16"/>
      <c r="M69" s="16"/>
    </row>
    <row r="70" spans="1:13" ht="12.75">
      <c r="A70" s="103" t="s">
        <v>125</v>
      </c>
      <c r="B70" s="46">
        <f>D48</f>
        <v>36000</v>
      </c>
      <c r="C70" s="46">
        <f>D49</f>
        <v>38520</v>
      </c>
      <c r="D70" s="46">
        <f>D50</f>
        <v>41216.4</v>
      </c>
      <c r="E70" s="46">
        <f>D51</f>
        <v>44101.54800000001</v>
      </c>
      <c r="F70" s="46">
        <f>D52</f>
        <v>47188.65636</v>
      </c>
      <c r="G70" s="104">
        <f>SUM(B70:F70)</f>
        <v>207026.60436</v>
      </c>
      <c r="H70" s="16"/>
      <c r="I70" s="16"/>
      <c r="J70" s="16"/>
      <c r="K70" s="16"/>
      <c r="L70" s="16"/>
      <c r="M70" s="16"/>
    </row>
    <row r="71" spans="1:7" ht="12.75">
      <c r="A71" s="245" t="s">
        <v>193</v>
      </c>
      <c r="B71" s="241">
        <f>H27</f>
        <v>41985</v>
      </c>
      <c r="C71" s="241">
        <f>H28</f>
        <v>44196.601859999995</v>
      </c>
      <c r="D71" s="241">
        <f>H29</f>
        <v>46524.70205957736</v>
      </c>
      <c r="E71" s="241">
        <f>H30</f>
        <v>48975.43726526766</v>
      </c>
      <c r="F71" s="241">
        <f>H31</f>
        <v>51555.26739865289</v>
      </c>
      <c r="G71" s="246">
        <f>SUM(B71:F71)</f>
        <v>233237.0085834979</v>
      </c>
    </row>
    <row r="72" spans="1:9" ht="12.75">
      <c r="A72" s="245" t="s">
        <v>27</v>
      </c>
      <c r="B72" s="241">
        <f>3500*12</f>
        <v>42000</v>
      </c>
      <c r="C72" s="241">
        <f>B72*1.05</f>
        <v>44100</v>
      </c>
      <c r="D72" s="241">
        <f>C72*1.05</f>
        <v>46305</v>
      </c>
      <c r="E72" s="241">
        <f>D72*1.05</f>
        <v>48620.25</v>
      </c>
      <c r="F72" s="241">
        <f>E72*1.05</f>
        <v>51051.262500000004</v>
      </c>
      <c r="G72" s="246">
        <f>SUM(B72:F72)</f>
        <v>232076.5125</v>
      </c>
      <c r="H72" s="233"/>
      <c r="I72" s="234"/>
    </row>
    <row r="73" spans="1:7" ht="12.75">
      <c r="A73" s="105" t="s">
        <v>30</v>
      </c>
      <c r="B73" s="76">
        <f aca="true" t="shared" si="0" ref="B73:G73">SUM(B70:B72)</f>
        <v>119985</v>
      </c>
      <c r="C73" s="76">
        <f t="shared" si="0"/>
        <v>126816.60186</v>
      </c>
      <c r="D73" s="76">
        <f t="shared" si="0"/>
        <v>134046.10205957736</v>
      </c>
      <c r="E73" s="76">
        <f t="shared" si="0"/>
        <v>141697.23526526766</v>
      </c>
      <c r="F73" s="76">
        <f t="shared" si="0"/>
        <v>149795.1862586529</v>
      </c>
      <c r="G73" s="106">
        <f t="shared" si="0"/>
        <v>672340.1254434979</v>
      </c>
    </row>
    <row r="74" spans="1:7" ht="12.75">
      <c r="A74" s="105" t="s">
        <v>107</v>
      </c>
      <c r="B74" s="46"/>
      <c r="C74" s="46"/>
      <c r="D74" s="46"/>
      <c r="E74" s="46"/>
      <c r="F74" s="46"/>
      <c r="G74" s="104"/>
    </row>
    <row r="75" spans="1:7" ht="12.75">
      <c r="A75" s="245" t="s">
        <v>192</v>
      </c>
      <c r="B75" s="241">
        <v>5000</v>
      </c>
      <c r="C75" s="241">
        <f aca="true" t="shared" si="1" ref="C75:F76">B75*1.05</f>
        <v>5250</v>
      </c>
      <c r="D75" s="241">
        <f t="shared" si="1"/>
        <v>5512.5</v>
      </c>
      <c r="E75" s="241">
        <f t="shared" si="1"/>
        <v>5788.125</v>
      </c>
      <c r="F75" s="241">
        <f t="shared" si="1"/>
        <v>6077.53125</v>
      </c>
      <c r="G75" s="246">
        <f aca="true" t="shared" si="2" ref="G75:G80">SUM(B75:F75)</f>
        <v>27628.15625</v>
      </c>
    </row>
    <row r="76" spans="1:7" ht="12.75">
      <c r="A76" s="103" t="s">
        <v>104</v>
      </c>
      <c r="B76" s="46">
        <v>4680</v>
      </c>
      <c r="C76" s="46">
        <f t="shared" si="1"/>
        <v>4914</v>
      </c>
      <c r="D76" s="46">
        <f t="shared" si="1"/>
        <v>5159.7</v>
      </c>
      <c r="E76" s="46">
        <f t="shared" si="1"/>
        <v>5417.685</v>
      </c>
      <c r="F76" s="46">
        <f t="shared" si="1"/>
        <v>5688.5692500000005</v>
      </c>
      <c r="G76" s="104">
        <f t="shared" si="2"/>
        <v>25859.954250000003</v>
      </c>
    </row>
    <row r="77" spans="1:8" ht="12.75">
      <c r="A77" s="245" t="s">
        <v>75</v>
      </c>
      <c r="B77" s="241">
        <v>32400</v>
      </c>
      <c r="C77" s="241">
        <v>32400</v>
      </c>
      <c r="D77" s="241">
        <v>32400</v>
      </c>
      <c r="E77" s="241">
        <v>32400</v>
      </c>
      <c r="F77" s="241">
        <v>32400</v>
      </c>
      <c r="G77" s="246">
        <f t="shared" si="2"/>
        <v>162000</v>
      </c>
      <c r="H77" s="233"/>
    </row>
    <row r="78" spans="1:13" s="21" customFormat="1" ht="12.75">
      <c r="A78" s="245" t="s">
        <v>101</v>
      </c>
      <c r="B78" s="241">
        <f>700*12</f>
        <v>8400</v>
      </c>
      <c r="C78" s="241">
        <f>700*12</f>
        <v>8400</v>
      </c>
      <c r="D78" s="241">
        <f>700*12</f>
        <v>8400</v>
      </c>
      <c r="E78" s="241">
        <f>700*12</f>
        <v>8400</v>
      </c>
      <c r="F78" s="241">
        <f>700*12</f>
        <v>8400</v>
      </c>
      <c r="G78" s="246">
        <f t="shared" si="2"/>
        <v>42000</v>
      </c>
      <c r="H78"/>
      <c r="I78"/>
      <c r="J78"/>
      <c r="K78"/>
      <c r="L78"/>
      <c r="M78"/>
    </row>
    <row r="79" spans="1:13" s="21" customFormat="1" ht="12.75">
      <c r="A79" s="245" t="s">
        <v>28</v>
      </c>
      <c r="B79" s="241">
        <f>'[1]SALARIOS'!$F$29</f>
        <v>138963.36000000002</v>
      </c>
      <c r="C79" s="241">
        <f>'[1]SALARIOS'!$F$29</f>
        <v>138963.36000000002</v>
      </c>
      <c r="D79" s="241">
        <f>'[1]SALARIOS'!$F$29</f>
        <v>138963.36000000002</v>
      </c>
      <c r="E79" s="241">
        <f>'[1]SALARIOS'!$F$29</f>
        <v>138963.36000000002</v>
      </c>
      <c r="F79" s="241">
        <f>'[1]SALARIOS'!$F$29</f>
        <v>138963.36000000002</v>
      </c>
      <c r="G79" s="246">
        <f t="shared" si="2"/>
        <v>694816.8</v>
      </c>
      <c r="H79" s="233"/>
      <c r="I79"/>
      <c r="J79"/>
      <c r="K79"/>
      <c r="L79"/>
      <c r="M79"/>
    </row>
    <row r="80" spans="1:7" ht="12.75">
      <c r="A80" s="103" t="s">
        <v>29</v>
      </c>
      <c r="B80" s="46">
        <f>'[1]SALARIOS'!$I$15</f>
        <v>19323.86</v>
      </c>
      <c r="C80" s="46">
        <f>'[1]SALARIOS'!$I$15</f>
        <v>19323.86</v>
      </c>
      <c r="D80" s="46">
        <f>'[1]SALARIOS'!$I$15</f>
        <v>19323.86</v>
      </c>
      <c r="E80" s="46">
        <f>'[1]SALARIOS'!$I$15</f>
        <v>19323.86</v>
      </c>
      <c r="F80" s="46">
        <f>'[1]SALARIOS'!$I$15</f>
        <v>19323.86</v>
      </c>
      <c r="G80" s="104">
        <f t="shared" si="2"/>
        <v>96619.3</v>
      </c>
    </row>
    <row r="81" spans="1:7" ht="12.75">
      <c r="A81" s="121" t="s">
        <v>194</v>
      </c>
      <c r="B81" s="46">
        <v>485</v>
      </c>
      <c r="C81" s="46">
        <f>B81*1.05</f>
        <v>509.25</v>
      </c>
      <c r="D81" s="46">
        <f>C81*1.05</f>
        <v>534.7125</v>
      </c>
      <c r="E81" s="46">
        <f>D81*1.05</f>
        <v>561.448125</v>
      </c>
      <c r="F81" s="46">
        <f>E81*1.05</f>
        <v>589.52053125</v>
      </c>
      <c r="G81" s="104">
        <f>SUM(B81:F81)</f>
        <v>2679.9311562499997</v>
      </c>
    </row>
    <row r="82" spans="1:7" ht="12.75">
      <c r="A82" s="103" t="s">
        <v>31</v>
      </c>
      <c r="B82" s="46">
        <f>'DEP. Y AMORT.'!B59</f>
        <v>13673.5136</v>
      </c>
      <c r="C82" s="46">
        <f>'DEP. Y AMORT.'!C59</f>
        <v>13673.5136</v>
      </c>
      <c r="D82" s="46">
        <f>'DEP. Y AMORT.'!D59</f>
        <v>13673.5136</v>
      </c>
      <c r="E82" s="46">
        <f>'DEP. Y AMORT.'!E59</f>
        <v>10791.5136</v>
      </c>
      <c r="F82" s="46">
        <f>'DEP. Y AMORT.'!F59</f>
        <v>10791.5136</v>
      </c>
      <c r="G82" s="104">
        <f aca="true" t="shared" si="3" ref="G82:G88">SUM(B82:F82)</f>
        <v>62603.568</v>
      </c>
    </row>
    <row r="83" spans="1:7" ht="12.75">
      <c r="A83" s="103" t="s">
        <v>32</v>
      </c>
      <c r="B83" s="46">
        <f>'DEP. Y AMORT.'!B84</f>
        <v>572</v>
      </c>
      <c r="C83" s="46">
        <f>'DEP. Y AMORT.'!C84</f>
        <v>572</v>
      </c>
      <c r="D83" s="46">
        <f>'DEP. Y AMORT.'!D84</f>
        <v>572</v>
      </c>
      <c r="E83" s="46">
        <f>'DEP. Y AMORT.'!E84</f>
        <v>572</v>
      </c>
      <c r="F83" s="46">
        <f>'DEP. Y AMORT.'!F84</f>
        <v>572</v>
      </c>
      <c r="G83" s="104">
        <f>SUM(B83:F83)</f>
        <v>2860</v>
      </c>
    </row>
    <row r="84" spans="1:7" ht="12.75">
      <c r="A84" s="105" t="s">
        <v>76</v>
      </c>
      <c r="B84" s="76">
        <f>SUM(B75:B83)</f>
        <v>223497.73360000004</v>
      </c>
      <c r="C84" s="76">
        <f>SUM(C75:C83)</f>
        <v>224005.98360000004</v>
      </c>
      <c r="D84" s="76">
        <f>SUM(D75:D83)</f>
        <v>224539.64609999998</v>
      </c>
      <c r="E84" s="76">
        <f>SUM(E75:E83)</f>
        <v>222217.99172500003</v>
      </c>
      <c r="F84" s="76">
        <f>SUM(F75:F83)</f>
        <v>222806.35463125003</v>
      </c>
      <c r="G84" s="106">
        <f>SUM(B84:F84)</f>
        <v>1117067.7096562502</v>
      </c>
    </row>
    <row r="85" spans="1:7" ht="12.75">
      <c r="A85" s="105" t="s">
        <v>74</v>
      </c>
      <c r="B85" s="76">
        <f>B84+B73</f>
        <v>343482.73360000004</v>
      </c>
      <c r="C85" s="76">
        <f>C84+C73</f>
        <v>350822.58546000003</v>
      </c>
      <c r="D85" s="76">
        <f>D84+D73</f>
        <v>358585.7481595774</v>
      </c>
      <c r="E85" s="76">
        <f>E84+E73</f>
        <v>363915.2269902677</v>
      </c>
      <c r="F85" s="76">
        <f>F84+F73</f>
        <v>372601.5408899029</v>
      </c>
      <c r="G85" s="106">
        <f t="shared" si="3"/>
        <v>1789407.835099748</v>
      </c>
    </row>
    <row r="86" spans="1:8" ht="12.75">
      <c r="A86" s="105" t="s">
        <v>33</v>
      </c>
      <c r="B86" s="46">
        <f>SUM(B67-B85)</f>
        <v>49219.765399999975</v>
      </c>
      <c r="C86" s="46">
        <f>SUM(C67-C85)</f>
        <v>62565.91037732392</v>
      </c>
      <c r="D86" s="46">
        <f>SUM(D67-D85)</f>
        <v>76578.40008447348</v>
      </c>
      <c r="E86" s="46">
        <f>SUM(E67-E85)</f>
        <v>94171.62792668684</v>
      </c>
      <c r="F86" s="46">
        <f>SUM(F67-F85)</f>
        <v>109615.49719665706</v>
      </c>
      <c r="G86" s="104">
        <f t="shared" si="3"/>
        <v>392151.2009851413</v>
      </c>
      <c r="H86" s="236"/>
    </row>
    <row r="87" spans="1:13" ht="12.75">
      <c r="A87" s="103" t="s">
        <v>34</v>
      </c>
      <c r="B87" s="46">
        <f>B86*0.15</f>
        <v>7382.964809999996</v>
      </c>
      <c r="C87" s="46">
        <f>C86*0.15</f>
        <v>9384.886556598587</v>
      </c>
      <c r="D87" s="46">
        <f>D86*0.15</f>
        <v>11486.760012671022</v>
      </c>
      <c r="E87" s="46">
        <f>E86*0.15</f>
        <v>14125.744189003026</v>
      </c>
      <c r="F87" s="46">
        <f>F86*0.15</f>
        <v>16442.32457949856</v>
      </c>
      <c r="G87" s="104">
        <f>SUM(B87:F87)</f>
        <v>58822.680147771185</v>
      </c>
      <c r="H87" s="21"/>
      <c r="I87" s="21"/>
      <c r="J87" s="21"/>
      <c r="K87" s="21"/>
      <c r="L87" s="21"/>
      <c r="M87" s="21"/>
    </row>
    <row r="88" spans="1:13" ht="12.75">
      <c r="A88" s="105" t="s">
        <v>60</v>
      </c>
      <c r="B88" s="46">
        <f>SUM(B86-B87)</f>
        <v>41836.80058999998</v>
      </c>
      <c r="C88" s="46">
        <f>SUM(C86-C87)</f>
        <v>53181.02382072533</v>
      </c>
      <c r="D88" s="46">
        <f>SUM(D86-D87)</f>
        <v>65091.64007180246</v>
      </c>
      <c r="E88" s="46">
        <f>SUM(E86-E87)</f>
        <v>80045.8837376838</v>
      </c>
      <c r="F88" s="46">
        <f>SUM(F86-F87)</f>
        <v>93173.1726171585</v>
      </c>
      <c r="G88" s="104">
        <f t="shared" si="3"/>
        <v>333328.5208373701</v>
      </c>
      <c r="H88" s="21"/>
      <c r="I88" s="21"/>
      <c r="J88" s="21"/>
      <c r="K88" s="21"/>
      <c r="L88" s="21"/>
      <c r="M88" s="21"/>
    </row>
    <row r="89" spans="1:7" ht="12.75">
      <c r="A89" s="103" t="s">
        <v>37</v>
      </c>
      <c r="B89" s="46">
        <f aca="true" t="shared" si="4" ref="B89:G89">B88*0.25</f>
        <v>10459.200147499994</v>
      </c>
      <c r="C89" s="46">
        <f t="shared" si="4"/>
        <v>13295.255955181332</v>
      </c>
      <c r="D89" s="46">
        <f t="shared" si="4"/>
        <v>16272.910017950615</v>
      </c>
      <c r="E89" s="46">
        <f t="shared" si="4"/>
        <v>20011.47093442095</v>
      </c>
      <c r="F89" s="46">
        <f t="shared" si="4"/>
        <v>23293.293154289626</v>
      </c>
      <c r="G89" s="104">
        <f t="shared" si="4"/>
        <v>83332.13020934252</v>
      </c>
    </row>
    <row r="90" spans="1:7" ht="15">
      <c r="A90" s="117" t="s">
        <v>35</v>
      </c>
      <c r="B90" s="78">
        <f>SUM(B88-B89)</f>
        <v>31377.600442499985</v>
      </c>
      <c r="C90" s="78">
        <f>SUM(C88-C89)</f>
        <v>39885.767865543996</v>
      </c>
      <c r="D90" s="78">
        <f>SUM(D88-D89)</f>
        <v>48818.73005385185</v>
      </c>
      <c r="E90" s="78">
        <f>SUM(E88-E89)</f>
        <v>60034.41280326285</v>
      </c>
      <c r="F90" s="78">
        <f>SUM(F88-F89)</f>
        <v>69879.87946286888</v>
      </c>
      <c r="G90" s="120">
        <f>SUM(B90:F90)</f>
        <v>249996.39062802756</v>
      </c>
    </row>
    <row r="91" spans="1:7" ht="13.5" thickBot="1">
      <c r="A91" s="122" t="s">
        <v>36</v>
      </c>
      <c r="B91" s="123">
        <f>SUM(B90/B67)</f>
        <v>0.07990170809302638</v>
      </c>
      <c r="C91" s="123">
        <f>SUM(C90/C67)</f>
        <v>0.09648494882460344</v>
      </c>
      <c r="D91" s="123">
        <f>SUM(D90/D67)</f>
        <v>0.11218463251359827</v>
      </c>
      <c r="E91" s="123">
        <f>SUM(E90/E67)</f>
        <v>0.1310546507913796</v>
      </c>
      <c r="F91" s="123">
        <f>SUM(F90/F67)</f>
        <v>0.14491375033149523</v>
      </c>
      <c r="G91" s="124"/>
    </row>
    <row r="136" spans="1:2" ht="12.75">
      <c r="A136" s="19" t="s">
        <v>3</v>
      </c>
      <c r="B136" s="19"/>
    </row>
    <row r="137" spans="1:2" ht="12.75">
      <c r="A137" s="20"/>
      <c r="B137" s="20"/>
    </row>
    <row r="138" spans="1:2" ht="12.75">
      <c r="A138" s="20" t="s">
        <v>3</v>
      </c>
      <c r="B138" s="20"/>
    </row>
    <row r="139" spans="1:2" ht="12.75">
      <c r="A139" s="20"/>
      <c r="B139" s="20"/>
    </row>
    <row r="140" spans="1:2" ht="12.75">
      <c r="A140" s="20" t="s">
        <v>3</v>
      </c>
      <c r="B140" s="20"/>
    </row>
    <row r="141" spans="1:2" ht="12.75">
      <c r="A141" s="20" t="s">
        <v>3</v>
      </c>
      <c r="B141" s="20"/>
    </row>
  </sheetData>
  <sheetProtection/>
  <mergeCells count="7">
    <mergeCell ref="A61:G61"/>
    <mergeCell ref="A57:H57"/>
    <mergeCell ref="A3:C3"/>
    <mergeCell ref="A18:F18"/>
    <mergeCell ref="B24:B26"/>
    <mergeCell ref="C24:C26"/>
    <mergeCell ref="A60:G60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52"/>
  <sheetViews>
    <sheetView zoomScalePageLayoutView="0" workbookViewId="0" topLeftCell="A4">
      <selection activeCell="B24" sqref="B24:B25"/>
    </sheetView>
  </sheetViews>
  <sheetFormatPr defaultColWidth="11.421875" defaultRowHeight="12.75"/>
  <cols>
    <col min="1" max="1" width="28.28125" style="0" customWidth="1"/>
    <col min="2" max="2" width="14.421875" style="0" customWidth="1"/>
    <col min="3" max="3" width="15.28125" style="0" customWidth="1"/>
    <col min="4" max="4" width="14.57421875" style="0" customWidth="1"/>
    <col min="5" max="5" width="14.7109375" style="0" customWidth="1"/>
    <col min="6" max="6" width="15.140625" style="0" customWidth="1"/>
    <col min="7" max="7" width="13.57421875" style="0" customWidth="1"/>
    <col min="8" max="8" width="11.7109375" style="0" bestFit="1" customWidth="1"/>
    <col min="9" max="9" width="11.421875" style="0" customWidth="1"/>
  </cols>
  <sheetData>
    <row r="3" spans="1:7" ht="18">
      <c r="A3" s="292" t="s">
        <v>96</v>
      </c>
      <c r="B3" s="292"/>
      <c r="C3" s="292"/>
      <c r="D3" s="292"/>
      <c r="E3" s="292"/>
      <c r="F3" s="292"/>
      <c r="G3" s="292"/>
    </row>
    <row r="4" spans="1:7" ht="12.75">
      <c r="A4" s="70"/>
      <c r="B4" s="176" t="s">
        <v>100</v>
      </c>
      <c r="C4" s="176">
        <v>2009</v>
      </c>
      <c r="D4" s="176">
        <v>2010</v>
      </c>
      <c r="E4" s="176">
        <v>2011</v>
      </c>
      <c r="F4" s="176">
        <v>2012</v>
      </c>
      <c r="G4" s="176">
        <v>2013</v>
      </c>
    </row>
    <row r="5" spans="1:7" ht="12.75">
      <c r="A5" s="173" t="s">
        <v>72</v>
      </c>
      <c r="B5" s="174"/>
      <c r="C5" s="174"/>
      <c r="D5" s="174"/>
      <c r="E5" s="174"/>
      <c r="F5" s="174"/>
      <c r="G5" s="174"/>
    </row>
    <row r="6" spans="1:7" ht="12.75">
      <c r="A6" s="70" t="s">
        <v>20</v>
      </c>
      <c r="B6" s="46"/>
      <c r="C6" s="46">
        <f>'Datos + PyG'!B48</f>
        <v>600000</v>
      </c>
      <c r="D6" s="46">
        <f>'Datos + PyG'!B49</f>
        <v>642000</v>
      </c>
      <c r="E6" s="46">
        <f>'Datos + PyG'!B50</f>
        <v>686940</v>
      </c>
      <c r="F6" s="46">
        <f>'Datos + PyG'!B51</f>
        <v>735025.8</v>
      </c>
      <c r="G6" s="46">
        <f>'Datos + PyG'!B52</f>
        <v>786477.606</v>
      </c>
    </row>
    <row r="7" spans="1:9" ht="12.75">
      <c r="A7" s="237" t="s">
        <v>127</v>
      </c>
      <c r="B7" s="241"/>
      <c r="C7" s="241">
        <f>C10-(C10*0.1178)</f>
        <v>1851958.35</v>
      </c>
      <c r="D7" s="241">
        <f>D10-(D10*0.1178)</f>
        <v>1949512.1080445999</v>
      </c>
      <c r="E7" s="241">
        <f>E10-(E10*0.1178)</f>
        <v>2052204.6078479574</v>
      </c>
      <c r="F7" s="241">
        <f>F10-(F10*0.1178)</f>
        <v>2160306.5377709568</v>
      </c>
      <c r="G7" s="241">
        <f>G10-(G10*0.1178)</f>
        <v>2274102.844954579</v>
      </c>
      <c r="H7" s="248"/>
      <c r="I7" s="17"/>
    </row>
    <row r="8" spans="1:7" ht="12.75">
      <c r="A8" s="71" t="s">
        <v>126</v>
      </c>
      <c r="B8" s="76"/>
      <c r="C8" s="76">
        <f>SUM(C6:C7)</f>
        <v>2451958.35</v>
      </c>
      <c r="D8" s="76">
        <f>SUM(D6:D7)</f>
        <v>2591512.1080446</v>
      </c>
      <c r="E8" s="76">
        <f>SUM(E6:E7)</f>
        <v>2739144.6078479574</v>
      </c>
      <c r="F8" s="76">
        <f>SUM(F6:F7)</f>
        <v>2895332.3377709566</v>
      </c>
      <c r="G8" s="76">
        <f>SUM(G6:G7)</f>
        <v>3060580.4509545793</v>
      </c>
    </row>
    <row r="9" spans="1:9" ht="12.75">
      <c r="A9" s="173" t="s">
        <v>97</v>
      </c>
      <c r="B9" s="174"/>
      <c r="C9" s="174"/>
      <c r="D9" s="174"/>
      <c r="E9" s="174"/>
      <c r="F9" s="174"/>
      <c r="G9" s="174"/>
      <c r="I9" s="5"/>
    </row>
    <row r="10" spans="1:9" ht="12.75">
      <c r="A10" s="70" t="s">
        <v>102</v>
      </c>
      <c r="B10" s="46"/>
      <c r="C10" s="46">
        <f>'Datos + PyG'!F27</f>
        <v>2099250</v>
      </c>
      <c r="D10" s="46">
        <f>'Datos + PyG'!F28</f>
        <v>2209830.093</v>
      </c>
      <c r="E10" s="46">
        <f>'Datos + PyG'!F29</f>
        <v>2326235.102978868</v>
      </c>
      <c r="F10" s="46">
        <f>'Datos + PyG'!F30</f>
        <v>2448771.863263383</v>
      </c>
      <c r="G10" s="46">
        <f>'Datos + PyG'!F31</f>
        <v>2577763.3699326445</v>
      </c>
      <c r="I10" s="5"/>
    </row>
    <row r="11" spans="1:7" ht="12.75">
      <c r="A11" s="70" t="s">
        <v>21</v>
      </c>
      <c r="B11" s="46"/>
      <c r="C11" s="250">
        <v>3000</v>
      </c>
      <c r="D11" s="46">
        <v>3000</v>
      </c>
      <c r="E11" s="46">
        <v>3000</v>
      </c>
      <c r="F11" s="46">
        <v>3000</v>
      </c>
      <c r="G11" s="46">
        <v>3000</v>
      </c>
    </row>
    <row r="12" spans="1:7" ht="12.75">
      <c r="A12" s="70" t="s">
        <v>24</v>
      </c>
      <c r="B12" s="46"/>
      <c r="C12" s="250">
        <v>1800</v>
      </c>
      <c r="D12" s="46">
        <v>1800</v>
      </c>
      <c r="E12" s="46">
        <v>1800</v>
      </c>
      <c r="F12" s="46">
        <v>1800</v>
      </c>
      <c r="G12" s="46">
        <v>1800</v>
      </c>
    </row>
    <row r="13" spans="1:9" ht="12.75">
      <c r="A13" s="71" t="s">
        <v>128</v>
      </c>
      <c r="B13" s="76"/>
      <c r="C13" s="76">
        <f>SUM(C10:C12)</f>
        <v>2104050</v>
      </c>
      <c r="D13" s="76">
        <f>SUM(D10:D12)</f>
        <v>2214630.093</v>
      </c>
      <c r="E13" s="76">
        <f>SUM(E10:E12)</f>
        <v>2331035.102978868</v>
      </c>
      <c r="F13" s="76">
        <f>SUM(F10:F12)</f>
        <v>2453571.863263383</v>
      </c>
      <c r="G13" s="76">
        <f>SUM(G10:G12)</f>
        <v>2582563.3699326445</v>
      </c>
      <c r="I13" s="5"/>
    </row>
    <row r="14" spans="1:7" ht="12.75">
      <c r="A14" s="71" t="s">
        <v>129</v>
      </c>
      <c r="B14" s="76"/>
      <c r="C14" s="76">
        <f>'Datos + PyG'!B86</f>
        <v>49219.765399999975</v>
      </c>
      <c r="D14" s="76">
        <f>'Datos + PyG'!C86</f>
        <v>62565.91037732392</v>
      </c>
      <c r="E14" s="76">
        <f>'Datos + PyG'!D86</f>
        <v>76578.40008447348</v>
      </c>
      <c r="F14" s="76">
        <f>'Datos + PyG'!E86</f>
        <v>94171.62792668684</v>
      </c>
      <c r="G14" s="76">
        <f>'Datos + PyG'!F86</f>
        <v>109615.49719665706</v>
      </c>
    </row>
    <row r="15" spans="1:7" ht="12.75">
      <c r="A15" s="70" t="s">
        <v>22</v>
      </c>
      <c r="B15" s="46"/>
      <c r="C15" s="46">
        <f>'Datos + PyG'!B87</f>
        <v>7382.964809999996</v>
      </c>
      <c r="D15" s="46">
        <f>'Datos + PyG'!C87</f>
        <v>9384.886556598587</v>
      </c>
      <c r="E15" s="46">
        <f>'Datos + PyG'!D87</f>
        <v>11486.760012671022</v>
      </c>
      <c r="F15" s="46">
        <f>'Datos + PyG'!E87</f>
        <v>14125.744189003026</v>
      </c>
      <c r="G15" s="46">
        <f>'Datos + PyG'!F87</f>
        <v>16442.32457949856</v>
      </c>
    </row>
    <row r="16" spans="1:7" ht="12.75">
      <c r="A16" s="71" t="s">
        <v>130</v>
      </c>
      <c r="B16" s="76"/>
      <c r="C16" s="76">
        <f>C14-C15</f>
        <v>41836.80058999998</v>
      </c>
      <c r="D16" s="76">
        <f>D14-D15</f>
        <v>53181.02382072533</v>
      </c>
      <c r="E16" s="76">
        <f>E14-E15</f>
        <v>65091.64007180246</v>
      </c>
      <c r="F16" s="76">
        <f>F14-F15</f>
        <v>80045.8837376838</v>
      </c>
      <c r="G16" s="76">
        <f>G14-G15</f>
        <v>93173.1726171585</v>
      </c>
    </row>
    <row r="17" spans="1:7" ht="12.75">
      <c r="A17" s="70" t="s">
        <v>23</v>
      </c>
      <c r="B17" s="46"/>
      <c r="C17" s="46">
        <f>'Datos + PyG'!B89</f>
        <v>10459.200147499994</v>
      </c>
      <c r="D17" s="46">
        <f>'Datos + PyG'!C89</f>
        <v>13295.255955181332</v>
      </c>
      <c r="E17" s="46">
        <f>'Datos + PyG'!D89</f>
        <v>16272.910017950615</v>
      </c>
      <c r="F17" s="46">
        <f>'Datos + PyG'!E89</f>
        <v>20011.47093442095</v>
      </c>
      <c r="G17" s="46">
        <f>'Datos + PyG'!F89</f>
        <v>23293.293154289626</v>
      </c>
    </row>
    <row r="18" spans="1:7" ht="12.75">
      <c r="A18" s="71" t="s">
        <v>131</v>
      </c>
      <c r="B18" s="76"/>
      <c r="C18" s="76">
        <f>C16-C17</f>
        <v>31377.600442499985</v>
      </c>
      <c r="D18" s="76">
        <f>D16-D17</f>
        <v>39885.767865543996</v>
      </c>
      <c r="E18" s="76">
        <f>E16-E17</f>
        <v>48818.73005385185</v>
      </c>
      <c r="F18" s="76">
        <f>F16-F17</f>
        <v>60034.41280326285</v>
      </c>
      <c r="G18" s="76">
        <f>G16-G17</f>
        <v>69879.87946286888</v>
      </c>
    </row>
    <row r="19" spans="1:7" ht="12.75">
      <c r="A19" s="77" t="s">
        <v>185</v>
      </c>
      <c r="B19" s="46"/>
      <c r="C19" s="46">
        <f>'DEP. Y AMORT.'!B59</f>
        <v>13673.5136</v>
      </c>
      <c r="D19" s="46">
        <f>'DEP. Y AMORT.'!C59</f>
        <v>13673.5136</v>
      </c>
      <c r="E19" s="46">
        <f>'DEP. Y AMORT.'!D59</f>
        <v>13673.5136</v>
      </c>
      <c r="F19" s="46">
        <f>'DEP. Y AMORT.'!E59</f>
        <v>10791.5136</v>
      </c>
      <c r="G19" s="46">
        <f>'DEP. Y AMORT.'!F59</f>
        <v>10791.5136</v>
      </c>
    </row>
    <row r="20" spans="1:7" ht="12.75">
      <c r="A20" s="70" t="s">
        <v>132</v>
      </c>
      <c r="B20" s="46"/>
      <c r="C20" s="46">
        <f>'DEP. Y AMORT.'!B84</f>
        <v>572</v>
      </c>
      <c r="D20" s="46">
        <f>C20</f>
        <v>572</v>
      </c>
      <c r="E20" s="46">
        <f>D20</f>
        <v>572</v>
      </c>
      <c r="F20" s="46">
        <f>E20</f>
        <v>572</v>
      </c>
      <c r="G20" s="46">
        <f>F20</f>
        <v>572</v>
      </c>
    </row>
    <row r="21" spans="1:7" ht="12.75">
      <c r="A21" s="77" t="s">
        <v>133</v>
      </c>
      <c r="B21" s="46"/>
      <c r="C21" s="46"/>
      <c r="D21" s="46"/>
      <c r="E21" s="46"/>
      <c r="F21" s="46"/>
      <c r="G21" s="46">
        <f>'DEP. Y AMORT.'!F60</f>
        <v>36177.568</v>
      </c>
    </row>
    <row r="22" spans="1:7" ht="25.5">
      <c r="A22" s="218" t="s">
        <v>229</v>
      </c>
      <c r="B22" s="46">
        <v>-1500000</v>
      </c>
      <c r="C22" s="46"/>
      <c r="D22" s="46"/>
      <c r="E22" s="46"/>
      <c r="F22" s="46"/>
      <c r="G22" s="46"/>
    </row>
    <row r="23" spans="1:7" ht="12.75">
      <c r="A23" s="173" t="s">
        <v>110</v>
      </c>
      <c r="B23" s="175">
        <f>B22</f>
        <v>-1500000</v>
      </c>
      <c r="C23" s="175">
        <f>C8-C13+C18+C19+C20+C22</f>
        <v>393531.46404250007</v>
      </c>
      <c r="D23" s="175">
        <f>D8-D13+D18+D19+D20+D22</f>
        <v>431013.29651014425</v>
      </c>
      <c r="E23" s="175">
        <f>E8-E13+E18+E19+E20+E22</f>
        <v>471173.7485229413</v>
      </c>
      <c r="F23" s="175">
        <f>F8-F13+F18+F19+F20+F22</f>
        <v>513158.40091083635</v>
      </c>
      <c r="G23" s="175">
        <f>G8-G13+G18+G19+G20+G22-G21</f>
        <v>523082.90608480363</v>
      </c>
    </row>
    <row r="24" spans="1:7" ht="12.75">
      <c r="A24" s="178" t="s">
        <v>98</v>
      </c>
      <c r="B24" s="179">
        <f>B33</f>
        <v>255511.30804013787</v>
      </c>
      <c r="C24" s="5"/>
      <c r="D24" s="5"/>
      <c r="E24" s="5"/>
      <c r="F24" s="5"/>
      <c r="G24" s="5"/>
    </row>
    <row r="25" spans="1:7" ht="12.75">
      <c r="A25" s="178" t="s">
        <v>99</v>
      </c>
      <c r="B25" s="179">
        <f>IRR(B23:G23)*100</f>
        <v>15.834192805923811</v>
      </c>
      <c r="C25" s="5"/>
      <c r="D25" s="5"/>
      <c r="E25" s="5"/>
      <c r="F25" s="5"/>
      <c r="G25" s="5"/>
    </row>
    <row r="27" ht="13.5" thickBot="1"/>
    <row r="28" spans="1:7" ht="12.75">
      <c r="A28" s="293" t="s">
        <v>114</v>
      </c>
      <c r="B28" s="294"/>
      <c r="C28" s="294"/>
      <c r="D28" s="294"/>
      <c r="E28" s="294"/>
      <c r="F28" s="294"/>
      <c r="G28" s="295"/>
    </row>
    <row r="29" spans="1:7" ht="12.75">
      <c r="A29" s="70" t="s">
        <v>115</v>
      </c>
      <c r="B29" s="170">
        <v>0.0974</v>
      </c>
      <c r="C29" s="70"/>
      <c r="D29" s="70"/>
      <c r="E29" s="70"/>
      <c r="F29" s="70"/>
      <c r="G29" s="70"/>
    </row>
    <row r="30" spans="1:7" ht="12.75">
      <c r="A30" s="70" t="s">
        <v>116</v>
      </c>
      <c r="B30" s="71">
        <v>0</v>
      </c>
      <c r="C30" s="71">
        <v>1</v>
      </c>
      <c r="D30" s="71">
        <v>2</v>
      </c>
      <c r="E30" s="71">
        <v>3</v>
      </c>
      <c r="F30" s="71">
        <v>4</v>
      </c>
      <c r="G30" s="71">
        <v>5</v>
      </c>
    </row>
    <row r="31" spans="1:7" ht="12.75">
      <c r="A31" s="70" t="s">
        <v>117</v>
      </c>
      <c r="B31" s="46">
        <f aca="true" t="shared" si="0" ref="B31:G31">B23</f>
        <v>-1500000</v>
      </c>
      <c r="C31" s="46">
        <f t="shared" si="0"/>
        <v>393531.46404250007</v>
      </c>
      <c r="D31" s="46">
        <f t="shared" si="0"/>
        <v>431013.29651014425</v>
      </c>
      <c r="E31" s="46">
        <f t="shared" si="0"/>
        <v>471173.7485229413</v>
      </c>
      <c r="F31" s="46">
        <f t="shared" si="0"/>
        <v>513158.40091083635</v>
      </c>
      <c r="G31" s="46">
        <f t="shared" si="0"/>
        <v>523082.90608480363</v>
      </c>
    </row>
    <row r="32" spans="1:7" ht="12.75">
      <c r="A32" s="71" t="s">
        <v>118</v>
      </c>
      <c r="B32" s="76">
        <f aca="true" t="shared" si="1" ref="B32:G32">(B31)/(1+$B$29)^B30</f>
        <v>-1500000</v>
      </c>
      <c r="C32" s="76">
        <f t="shared" si="1"/>
        <v>358603.48463869153</v>
      </c>
      <c r="D32" s="76">
        <f t="shared" si="1"/>
        <v>357899.22369498137</v>
      </c>
      <c r="E32" s="76">
        <f t="shared" si="1"/>
        <v>356521.9047600635</v>
      </c>
      <c r="F32" s="76">
        <f t="shared" si="1"/>
        <v>353827.5291587937</v>
      </c>
      <c r="G32" s="76">
        <f t="shared" si="1"/>
        <v>328659.1657876077</v>
      </c>
    </row>
    <row r="33" spans="1:7" ht="12.75">
      <c r="A33" s="171" t="s">
        <v>98</v>
      </c>
      <c r="B33" s="172">
        <f>C32+D32+E32+F32+G32+H32+I32+J32+K32+L32+B32</f>
        <v>255511.30804013787</v>
      </c>
      <c r="C33" s="46"/>
      <c r="D33" s="46"/>
      <c r="E33" s="46"/>
      <c r="F33" s="46"/>
      <c r="G33" s="46"/>
    </row>
    <row r="34" ht="13.5" thickBot="1"/>
    <row r="35" spans="1:7" ht="12.75">
      <c r="A35" s="293" t="s">
        <v>119</v>
      </c>
      <c r="B35" s="294"/>
      <c r="C35" s="294"/>
      <c r="D35" s="294"/>
      <c r="E35" s="294"/>
      <c r="F35" s="294"/>
      <c r="G35" s="295"/>
    </row>
    <row r="36" spans="1:7" ht="12.75">
      <c r="A36" s="70" t="s">
        <v>14</v>
      </c>
      <c r="B36" s="170">
        <v>0.0974</v>
      </c>
      <c r="C36" s="70"/>
      <c r="D36" s="70"/>
      <c r="E36" s="70"/>
      <c r="F36" s="70"/>
      <c r="G36" s="70"/>
    </row>
    <row r="37" spans="1:7" ht="12.75">
      <c r="A37" s="70" t="s">
        <v>116</v>
      </c>
      <c r="B37" s="71">
        <v>0</v>
      </c>
      <c r="C37" s="71">
        <v>1</v>
      </c>
      <c r="D37" s="71">
        <v>2</v>
      </c>
      <c r="E37" s="71">
        <v>3</v>
      </c>
      <c r="F37" s="71">
        <v>4</v>
      </c>
      <c r="G37" s="71">
        <v>5</v>
      </c>
    </row>
    <row r="38" spans="1:7" ht="12.75">
      <c r="A38" s="70" t="s">
        <v>117</v>
      </c>
      <c r="B38" s="46">
        <f aca="true" t="shared" si="2" ref="B38:G38">B23</f>
        <v>-1500000</v>
      </c>
      <c r="C38" s="46">
        <f t="shared" si="2"/>
        <v>393531.46404250007</v>
      </c>
      <c r="D38" s="46">
        <f t="shared" si="2"/>
        <v>431013.29651014425</v>
      </c>
      <c r="E38" s="46">
        <f t="shared" si="2"/>
        <v>471173.7485229413</v>
      </c>
      <c r="F38" s="46">
        <f t="shared" si="2"/>
        <v>513158.40091083635</v>
      </c>
      <c r="G38" s="46">
        <f t="shared" si="2"/>
        <v>523082.90608480363</v>
      </c>
    </row>
    <row r="39" spans="1:7" ht="12.75">
      <c r="A39" s="70" t="s">
        <v>118</v>
      </c>
      <c r="B39" s="46">
        <f aca="true" t="shared" si="3" ref="B39:G39">(B38)/(1+$B$36)^B37</f>
        <v>-1500000</v>
      </c>
      <c r="C39" s="46">
        <f t="shared" si="3"/>
        <v>358603.48463869153</v>
      </c>
      <c r="D39" s="46">
        <f t="shared" si="3"/>
        <v>357899.22369498137</v>
      </c>
      <c r="E39" s="46">
        <f t="shared" si="3"/>
        <v>356521.9047600635</v>
      </c>
      <c r="F39" s="46">
        <f t="shared" si="3"/>
        <v>353827.5291587937</v>
      </c>
      <c r="G39" s="46">
        <f t="shared" si="3"/>
        <v>328659.1657876077</v>
      </c>
    </row>
    <row r="40" spans="1:7" ht="12.75">
      <c r="A40" s="171" t="s">
        <v>120</v>
      </c>
      <c r="B40" s="177">
        <f>(C39+D39+E39+F39+G39+H39+I39+J39+K39+L42)/(B39*-1)</f>
        <v>1.1703408720267585</v>
      </c>
      <c r="C40" s="169"/>
      <c r="D40" s="169"/>
      <c r="E40" s="169"/>
      <c r="F40" s="169"/>
      <c r="G40" s="169"/>
    </row>
    <row r="42" ht="13.5" thickBot="1"/>
    <row r="43" spans="3:4" ht="12.75">
      <c r="C43" s="107" t="s">
        <v>121</v>
      </c>
      <c r="D43" s="108">
        <v>0.0974</v>
      </c>
    </row>
    <row r="44" spans="3:4" ht="12.75">
      <c r="C44" s="109" t="s">
        <v>122</v>
      </c>
      <c r="D44" s="110">
        <f>B33</f>
        <v>255511.30804013787</v>
      </c>
    </row>
    <row r="45" spans="3:4" ht="12.75">
      <c r="C45" s="111" t="s">
        <v>123</v>
      </c>
      <c r="D45" s="106">
        <f>B25</f>
        <v>15.834192805923811</v>
      </c>
    </row>
    <row r="46" spans="3:4" ht="13.5" thickBot="1">
      <c r="C46" s="112" t="s">
        <v>124</v>
      </c>
      <c r="D46" s="113">
        <f>B40</f>
        <v>1.1703408720267585</v>
      </c>
    </row>
    <row r="50" ht="12.75">
      <c r="C50">
        <v>104798</v>
      </c>
    </row>
    <row r="51" ht="12.75">
      <c r="C51">
        <v>97029</v>
      </c>
    </row>
    <row r="52" ht="12.75">
      <c r="C52">
        <f>C50-C51</f>
        <v>7769</v>
      </c>
    </row>
  </sheetData>
  <sheetProtection/>
  <mergeCells count="3">
    <mergeCell ref="A3:G3"/>
    <mergeCell ref="A28:G28"/>
    <mergeCell ref="A35:G35"/>
  </mergeCells>
  <printOptions/>
  <pageMargins left="0.35433070866141736" right="0.31496062992125984" top="0.4724409448818898" bottom="0.4330708661417323" header="0.31496062992125984" footer="0.31496062992125984"/>
  <pageSetup horizontalDpi="200" verticalDpi="2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N38"/>
  <sheetViews>
    <sheetView zoomScalePageLayoutView="0" workbookViewId="0" topLeftCell="A1">
      <selection activeCell="P24" sqref="P24"/>
    </sheetView>
  </sheetViews>
  <sheetFormatPr defaultColWidth="11.421875" defaultRowHeight="12.75"/>
  <cols>
    <col min="2" max="2" width="0" style="0" hidden="1" customWidth="1"/>
    <col min="3" max="3" width="34.7109375" style="0" hidden="1" customWidth="1"/>
    <col min="4" max="4" width="0" style="0" hidden="1" customWidth="1"/>
    <col min="5" max="6" width="11.7109375" style="0" hidden="1" customWidth="1"/>
    <col min="7" max="8" width="0" style="0" hidden="1" customWidth="1"/>
    <col min="10" max="10" width="34.7109375" style="0" customWidth="1"/>
    <col min="12" max="12" width="11.7109375" style="0" bestFit="1" customWidth="1"/>
  </cols>
  <sheetData>
    <row r="2" spans="3:12" ht="18">
      <c r="C2" s="296" t="s">
        <v>195</v>
      </c>
      <c r="D2" s="296"/>
      <c r="E2" s="296"/>
      <c r="J2" s="296" t="s">
        <v>195</v>
      </c>
      <c r="K2" s="296"/>
      <c r="L2" s="296"/>
    </row>
    <row r="3" spans="3:12" ht="12.75">
      <c r="C3" s="297" t="s">
        <v>78</v>
      </c>
      <c r="D3" s="297"/>
      <c r="E3" s="297"/>
      <c r="J3" s="297" t="s">
        <v>78</v>
      </c>
      <c r="K3" s="297"/>
      <c r="L3" s="297"/>
    </row>
    <row r="4" spans="3:12" ht="12.75">
      <c r="C4" s="84" t="s">
        <v>84</v>
      </c>
      <c r="D4" s="84"/>
      <c r="E4" s="85"/>
      <c r="J4" s="84" t="s">
        <v>84</v>
      </c>
      <c r="K4" s="84"/>
      <c r="L4" s="85"/>
    </row>
    <row r="5" spans="3:11" ht="12.75">
      <c r="C5" s="10" t="s">
        <v>81</v>
      </c>
      <c r="D5" s="10"/>
      <c r="F5" s="5"/>
      <c r="J5" s="10" t="s">
        <v>81</v>
      </c>
      <c r="K5" s="10"/>
    </row>
    <row r="6" spans="3:12" ht="12.75">
      <c r="C6" s="233" t="s">
        <v>237</v>
      </c>
      <c r="E6" s="5"/>
      <c r="F6" s="5"/>
      <c r="J6" s="233" t="s">
        <v>237</v>
      </c>
      <c r="L6" s="5">
        <v>240250.793</v>
      </c>
    </row>
    <row r="7" spans="3:12" ht="12.75">
      <c r="C7" t="s">
        <v>38</v>
      </c>
      <c r="E7" s="5">
        <f>'Datos + PyG'!F27</f>
        <v>2099250</v>
      </c>
      <c r="H7">
        <v>1851958.35</v>
      </c>
      <c r="J7" t="s">
        <v>38</v>
      </c>
      <c r="L7" s="5">
        <v>1851958.35</v>
      </c>
    </row>
    <row r="8" spans="3:12" ht="12.75">
      <c r="C8" t="s">
        <v>79</v>
      </c>
      <c r="E8" s="82">
        <f>'Datos + PyG'!H27</f>
        <v>41985</v>
      </c>
      <c r="J8" t="s">
        <v>79</v>
      </c>
      <c r="L8" s="82">
        <v>41985</v>
      </c>
    </row>
    <row r="9" spans="3:12" ht="12.75">
      <c r="C9" s="10" t="s">
        <v>39</v>
      </c>
      <c r="D9" s="10"/>
      <c r="E9" s="13">
        <f>E6+E7-E8</f>
        <v>2057265</v>
      </c>
      <c r="J9" s="10" t="s">
        <v>39</v>
      </c>
      <c r="K9" s="10"/>
      <c r="L9" s="13">
        <f>L7-L8+L6</f>
        <v>2050224.1430000002</v>
      </c>
    </row>
    <row r="10" spans="3:12" ht="12.75">
      <c r="C10" s="10" t="s">
        <v>82</v>
      </c>
      <c r="D10" s="10"/>
      <c r="E10" s="5"/>
      <c r="J10" s="10" t="s">
        <v>82</v>
      </c>
      <c r="K10" s="10"/>
      <c r="L10" s="5"/>
    </row>
    <row r="11" spans="3:12" s="191" customFormat="1" ht="12.75">
      <c r="C11" s="191" t="s">
        <v>191</v>
      </c>
      <c r="E11" s="192">
        <v>8000</v>
      </c>
      <c r="J11" s="191" t="s">
        <v>191</v>
      </c>
      <c r="L11" s="192">
        <v>8000</v>
      </c>
    </row>
    <row r="12" spans="3:12" ht="12.75">
      <c r="C12" t="s">
        <v>40</v>
      </c>
      <c r="E12" s="5">
        <f>'[1]inversiones'!$C$7</f>
        <v>22000</v>
      </c>
      <c r="J12" t="s">
        <v>40</v>
      </c>
      <c r="L12" s="5">
        <v>22000</v>
      </c>
    </row>
    <row r="13" spans="3:12" ht="12.75">
      <c r="C13" t="s">
        <v>41</v>
      </c>
      <c r="E13" s="5">
        <f>'[1]MUEBLES'!$E$29</f>
        <v>23355.136</v>
      </c>
      <c r="J13" t="s">
        <v>41</v>
      </c>
      <c r="L13" s="5">
        <v>23355.136</v>
      </c>
    </row>
    <row r="14" spans="3:12" ht="12.75">
      <c r="C14" t="s">
        <v>42</v>
      </c>
      <c r="E14" s="5">
        <f>'[1]equipo de oficina'!$E$9+'[1]eq comunicacion'!$E$7</f>
        <v>3710</v>
      </c>
      <c r="J14" t="s">
        <v>42</v>
      </c>
      <c r="L14" s="5">
        <v>3710</v>
      </c>
    </row>
    <row r="15" spans="3:12" ht="12.75">
      <c r="C15" t="s">
        <v>43</v>
      </c>
      <c r="E15" s="5">
        <v>36780</v>
      </c>
      <c r="J15" t="s">
        <v>43</v>
      </c>
      <c r="L15" s="5">
        <v>36780</v>
      </c>
    </row>
    <row r="16" spans="3:12" ht="12.75">
      <c r="C16" t="s">
        <v>44</v>
      </c>
      <c r="E16" s="5">
        <f>'[1]eq. computacion'!$F$10</f>
        <v>24936</v>
      </c>
      <c r="J16" t="s">
        <v>44</v>
      </c>
      <c r="L16" s="5">
        <v>24936</v>
      </c>
    </row>
    <row r="17" spans="3:12" ht="12.75">
      <c r="C17" t="s">
        <v>45</v>
      </c>
      <c r="E17" s="82">
        <f>'DEP. Y AMORT.'!B59</f>
        <v>13673.5136</v>
      </c>
      <c r="J17" t="s">
        <v>45</v>
      </c>
      <c r="L17" s="82">
        <v>13673.5136</v>
      </c>
    </row>
    <row r="18" spans="3:12" ht="12.75">
      <c r="C18" s="10" t="s">
        <v>46</v>
      </c>
      <c r="D18" s="10"/>
      <c r="E18" s="13">
        <f>SUM(E11+E12+E13+E14+E15+E16-E17)</f>
        <v>105107.6224</v>
      </c>
      <c r="J18" s="10" t="s">
        <v>46</v>
      </c>
      <c r="K18" s="10"/>
      <c r="L18" s="13">
        <f>E18</f>
        <v>105107.6224</v>
      </c>
    </row>
    <row r="19" spans="3:12" ht="12.75">
      <c r="C19" s="10" t="s">
        <v>83</v>
      </c>
      <c r="D19" s="10"/>
      <c r="E19" s="5"/>
      <c r="J19" s="10" t="s">
        <v>83</v>
      </c>
      <c r="K19" s="10"/>
      <c r="L19" s="5"/>
    </row>
    <row r="20" spans="3:12" ht="12.75">
      <c r="C20" t="s">
        <v>47</v>
      </c>
      <c r="E20" s="5">
        <v>1440</v>
      </c>
      <c r="J20" t="s">
        <v>47</v>
      </c>
      <c r="L20" s="5">
        <v>1440</v>
      </c>
    </row>
    <row r="21" spans="3:12" ht="12.75">
      <c r="C21" t="s">
        <v>48</v>
      </c>
      <c r="E21" s="5">
        <v>1420</v>
      </c>
      <c r="H21" s="5">
        <f>E15-H29</f>
        <v>36780</v>
      </c>
      <c r="J21" t="s">
        <v>48</v>
      </c>
      <c r="L21" s="5">
        <v>1420</v>
      </c>
    </row>
    <row r="22" spans="3:12" ht="12.75">
      <c r="C22" t="s">
        <v>49</v>
      </c>
      <c r="E22" s="82">
        <f>'DEP. Y AMORT.'!B84</f>
        <v>572</v>
      </c>
      <c r="J22" t="s">
        <v>49</v>
      </c>
      <c r="L22" s="82">
        <v>572</v>
      </c>
    </row>
    <row r="23" spans="3:12" ht="12.75">
      <c r="C23" s="10" t="s">
        <v>50</v>
      </c>
      <c r="D23" s="10"/>
      <c r="E23" s="13">
        <f>SUM(E20+E21-E22)</f>
        <v>2288</v>
      </c>
      <c r="J23" s="10" t="s">
        <v>50</v>
      </c>
      <c r="K23" s="10"/>
      <c r="L23" s="13">
        <v>2288</v>
      </c>
    </row>
    <row r="24" spans="3:14" ht="12.75">
      <c r="C24" s="84" t="s">
        <v>80</v>
      </c>
      <c r="D24" s="84"/>
      <c r="E24" s="86">
        <f>SUM(E9+E18+E23)</f>
        <v>2164660.6223999998</v>
      </c>
      <c r="G24" s="5">
        <f>E38-E24</f>
        <v>-7040.8569999998435</v>
      </c>
      <c r="J24" s="84" t="s">
        <v>80</v>
      </c>
      <c r="K24" s="84"/>
      <c r="L24" s="86">
        <f>L9+L18+L23</f>
        <v>2157619.7654</v>
      </c>
      <c r="N24" s="5"/>
    </row>
    <row r="25" spans="3:12" ht="12.75">
      <c r="C25" s="10"/>
      <c r="D25" s="10"/>
      <c r="E25" s="13"/>
      <c r="J25" s="10"/>
      <c r="K25" s="10"/>
      <c r="L25" s="13"/>
    </row>
    <row r="26" spans="3:12" ht="12.75">
      <c r="C26" s="84" t="s">
        <v>85</v>
      </c>
      <c r="D26" s="84"/>
      <c r="E26" s="87"/>
      <c r="J26" s="84" t="s">
        <v>85</v>
      </c>
      <c r="K26" s="84"/>
      <c r="L26" s="87"/>
    </row>
    <row r="27" spans="3:12" ht="12.75">
      <c r="C27" t="s">
        <v>89</v>
      </c>
      <c r="E27" s="5">
        <f>'Datos + PyG'!B48</f>
        <v>600000</v>
      </c>
      <c r="J27" t="s">
        <v>89</v>
      </c>
      <c r="L27" s="5">
        <v>600000</v>
      </c>
    </row>
    <row r="28" spans="3:12" ht="12.75">
      <c r="C28" t="s">
        <v>111</v>
      </c>
      <c r="E28" s="5">
        <f>'Datos + PyG'!B78</f>
        <v>8400</v>
      </c>
      <c r="J28" t="s">
        <v>111</v>
      </c>
      <c r="L28" s="5">
        <v>8400</v>
      </c>
    </row>
    <row r="29" spans="3:12" ht="12.75">
      <c r="C29" t="s">
        <v>112</v>
      </c>
      <c r="E29" s="125">
        <f>'Datos + PyG'!B89</f>
        <v>10459.200147499994</v>
      </c>
      <c r="H29" s="5"/>
      <c r="J29" t="s">
        <v>112</v>
      </c>
      <c r="L29" s="125">
        <v>10459.200147499994</v>
      </c>
    </row>
    <row r="30" spans="3:12" ht="12.75">
      <c r="C30" t="s">
        <v>51</v>
      </c>
      <c r="E30" s="5">
        <f>'Datos + PyG'!B87</f>
        <v>7382.964809999996</v>
      </c>
      <c r="J30" t="s">
        <v>51</v>
      </c>
      <c r="L30" s="5">
        <v>7382.964809999996</v>
      </c>
    </row>
    <row r="31" spans="3:12" ht="12.75">
      <c r="C31" s="10" t="s">
        <v>86</v>
      </c>
      <c r="D31" s="10"/>
      <c r="E31" s="13">
        <f>SUM(E27:E30)</f>
        <v>626242.1649575001</v>
      </c>
      <c r="F31" s="5"/>
      <c r="J31" s="10" t="s">
        <v>86</v>
      </c>
      <c r="K31" s="10"/>
      <c r="L31" s="13">
        <v>626242.1649575001</v>
      </c>
    </row>
    <row r="32" spans="3:12" ht="12.75">
      <c r="C32" s="10"/>
      <c r="D32" s="10"/>
      <c r="E32" s="5"/>
      <c r="J32" s="10"/>
      <c r="K32" s="10"/>
      <c r="L32" s="5"/>
    </row>
    <row r="33" spans="3:12" ht="12.75">
      <c r="C33" s="10" t="s">
        <v>87</v>
      </c>
      <c r="D33" s="10"/>
      <c r="E33" s="5"/>
      <c r="J33" s="10" t="s">
        <v>87</v>
      </c>
      <c r="K33" s="10"/>
      <c r="L33" s="5"/>
    </row>
    <row r="34" spans="3:12" ht="12.75">
      <c r="C34" t="s">
        <v>52</v>
      </c>
      <c r="E34" s="5">
        <v>1500000</v>
      </c>
      <c r="J34" t="s">
        <v>52</v>
      </c>
      <c r="L34" s="5">
        <v>1500000</v>
      </c>
    </row>
    <row r="35" spans="3:12" ht="12.75">
      <c r="C35" t="s">
        <v>53</v>
      </c>
      <c r="E35" s="5">
        <f>'Datos + PyG'!B90</f>
        <v>31377.600442499985</v>
      </c>
      <c r="J35" t="s">
        <v>53</v>
      </c>
      <c r="L35" s="5">
        <v>31377.600442499985</v>
      </c>
    </row>
    <row r="36" spans="3:12" ht="12.75">
      <c r="C36" s="10" t="s">
        <v>88</v>
      </c>
      <c r="D36" s="10"/>
      <c r="E36" s="5">
        <f>SUM(E33:E35)</f>
        <v>1531377.6004425</v>
      </c>
      <c r="F36" s="5"/>
      <c r="J36" s="10" t="s">
        <v>88</v>
      </c>
      <c r="K36" s="10"/>
      <c r="L36" s="5">
        <v>1531377.6004425</v>
      </c>
    </row>
    <row r="37" spans="5:12" ht="12.75">
      <c r="E37" s="5"/>
      <c r="L37" s="5"/>
    </row>
    <row r="38" spans="3:12" ht="12.75">
      <c r="C38" s="84" t="s">
        <v>90</v>
      </c>
      <c r="D38" s="84"/>
      <c r="E38" s="86">
        <f>SUM(E31+E36)</f>
        <v>2157619.7654</v>
      </c>
      <c r="J38" s="84" t="s">
        <v>90</v>
      </c>
      <c r="K38" s="84"/>
      <c r="L38" s="86">
        <v>2157619.7654</v>
      </c>
    </row>
  </sheetData>
  <sheetProtection/>
  <mergeCells count="4">
    <mergeCell ref="C2:E2"/>
    <mergeCell ref="C3:E3"/>
    <mergeCell ref="J2:L2"/>
    <mergeCell ref="J3:L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66"/>
  <sheetViews>
    <sheetView zoomScalePageLayoutView="0" workbookViewId="0" topLeftCell="B7">
      <selection activeCell="I56" sqref="I56"/>
    </sheetView>
  </sheetViews>
  <sheetFormatPr defaultColWidth="11.421875" defaultRowHeight="12.75"/>
  <cols>
    <col min="1" max="1" width="3.7109375" style="0" customWidth="1"/>
    <col min="2" max="2" width="29.28125" style="0" customWidth="1"/>
    <col min="3" max="3" width="10.140625" style="0" customWidth="1"/>
    <col min="4" max="4" width="15.140625" style="0" customWidth="1"/>
    <col min="5" max="5" width="9.7109375" style="0" customWidth="1"/>
    <col min="6" max="6" width="13.7109375" style="0" bestFit="1" customWidth="1"/>
    <col min="7" max="7" width="7.00390625" style="0" customWidth="1"/>
    <col min="8" max="9" width="10.57421875" style="0" customWidth="1"/>
    <col min="10" max="10" width="13.57421875" style="0" bestFit="1" customWidth="1"/>
    <col min="11" max="13" width="11.7109375" style="0" bestFit="1" customWidth="1"/>
    <col min="14" max="14" width="11.7109375" style="0" customWidth="1"/>
    <col min="15" max="15" width="11.57421875" style="0" customWidth="1"/>
    <col min="16" max="18" width="10.28125" style="0" customWidth="1"/>
    <col min="19" max="19" width="12.57421875" style="0" customWidth="1"/>
  </cols>
  <sheetData>
    <row r="2" spans="2:7" s="185" customFormat="1" ht="24.75" customHeight="1">
      <c r="B2" s="197" t="s">
        <v>196</v>
      </c>
      <c r="C2" s="197"/>
      <c r="D2" s="197"/>
      <c r="E2" s="197"/>
      <c r="F2" s="197"/>
      <c r="G2" s="197"/>
    </row>
    <row r="3" spans="2:7" s="185" customFormat="1" ht="20.25">
      <c r="B3" s="197"/>
      <c r="C3" s="197"/>
      <c r="D3" s="197"/>
      <c r="E3" s="197"/>
      <c r="F3" s="197"/>
      <c r="G3" s="197"/>
    </row>
    <row r="4" spans="2:7" s="185" customFormat="1" ht="20.25">
      <c r="B4" s="197"/>
      <c r="C4" s="197"/>
      <c r="D4" s="197"/>
      <c r="E4" s="197"/>
      <c r="F4" s="197"/>
      <c r="G4" s="197"/>
    </row>
    <row r="5" spans="2:7" s="185" customFormat="1" ht="20.25">
      <c r="B5" s="197"/>
      <c r="C5" s="197"/>
      <c r="D5" s="197"/>
      <c r="E5" s="197"/>
      <c r="F5" s="197"/>
      <c r="G5" s="197"/>
    </row>
    <row r="6" spans="2:7" s="185" customFormat="1" ht="20.25">
      <c r="B6" s="197"/>
      <c r="C6" s="197"/>
      <c r="D6" s="197"/>
      <c r="E6" s="197"/>
      <c r="F6" s="197"/>
      <c r="G6" s="197"/>
    </row>
    <row r="7" spans="2:7" s="185" customFormat="1" ht="20.25">
      <c r="B7" s="197"/>
      <c r="C7" s="197"/>
      <c r="D7" s="197"/>
      <c r="E7" s="197"/>
      <c r="F7" s="197"/>
      <c r="G7" s="197"/>
    </row>
    <row r="8" ht="13.5" thickBot="1"/>
    <row r="9" spans="2:9" ht="12.75">
      <c r="B9" s="199"/>
      <c r="C9" s="93"/>
      <c r="D9" s="93"/>
      <c r="E9" s="93"/>
      <c r="F9" s="93"/>
      <c r="G9" s="93"/>
      <c r="H9" s="94"/>
      <c r="I9" s="17"/>
    </row>
    <row r="10" spans="2:9" ht="13.5" thickBot="1">
      <c r="B10" s="204" t="s">
        <v>197</v>
      </c>
      <c r="C10" s="200" t="s">
        <v>208</v>
      </c>
      <c r="D10" s="90">
        <f>'Datos + PyG'!B84</f>
        <v>223497.73360000004</v>
      </c>
      <c r="E10" s="200" t="s">
        <v>207</v>
      </c>
      <c r="F10" s="90">
        <f>D10</f>
        <v>223497.73360000004</v>
      </c>
      <c r="G10" s="17" t="s">
        <v>108</v>
      </c>
      <c r="H10" s="198">
        <f>F10/F11</f>
        <v>321827.96786925755</v>
      </c>
      <c r="I10" s="255"/>
    </row>
    <row r="11" spans="2:9" ht="12.75">
      <c r="B11" s="205" t="s">
        <v>204</v>
      </c>
      <c r="C11" s="206" t="s">
        <v>209</v>
      </c>
      <c r="D11" s="91">
        <f>'Datos + PyG'!B73</f>
        <v>119985</v>
      </c>
      <c r="E11" s="17"/>
      <c r="F11" s="17">
        <f>1-(D11/D12)</f>
        <v>0.6944633652560485</v>
      </c>
      <c r="G11" s="17"/>
      <c r="H11" s="96"/>
      <c r="I11" s="17"/>
    </row>
    <row r="12" spans="2:9" ht="12.75">
      <c r="B12" s="97" t="s">
        <v>105</v>
      </c>
      <c r="C12" s="16"/>
      <c r="D12" s="98">
        <f>'Datos + PyG'!B67</f>
        <v>392702.499</v>
      </c>
      <c r="E12" s="17"/>
      <c r="F12" s="23" t="s">
        <v>3</v>
      </c>
      <c r="G12" s="17"/>
      <c r="H12" s="96"/>
      <c r="I12" s="17"/>
    </row>
    <row r="13" spans="2:9" ht="12.75">
      <c r="B13" s="95"/>
      <c r="C13" s="17"/>
      <c r="D13" s="17"/>
      <c r="E13" s="17"/>
      <c r="F13" s="17"/>
      <c r="G13" s="17"/>
      <c r="H13" s="96"/>
      <c r="I13" s="17"/>
    </row>
    <row r="14" spans="2:16" ht="30">
      <c r="B14" s="201" t="s">
        <v>54</v>
      </c>
      <c r="C14" s="202"/>
      <c r="D14" s="203">
        <f>H10</f>
        <v>321827.96786925755</v>
      </c>
      <c r="E14" s="202" t="s">
        <v>210</v>
      </c>
      <c r="F14" s="17"/>
      <c r="G14" s="17"/>
      <c r="H14" s="96"/>
      <c r="I14" s="17"/>
      <c r="K14" s="254" t="s">
        <v>232</v>
      </c>
      <c r="L14" s="254"/>
      <c r="M14" s="254"/>
      <c r="N14" s="253"/>
      <c r="O14" s="253"/>
      <c r="P14" s="253"/>
    </row>
    <row r="15" spans="2:16" ht="30.75" thickBot="1">
      <c r="B15" s="99" t="s">
        <v>55</v>
      </c>
      <c r="C15" s="15"/>
      <c r="D15" s="100">
        <f>D14/12</f>
        <v>26818.99732243813</v>
      </c>
      <c r="E15" s="15"/>
      <c r="F15" s="15"/>
      <c r="G15" s="15"/>
      <c r="H15" s="101"/>
      <c r="I15" s="17"/>
      <c r="K15" s="254"/>
      <c r="L15" s="254"/>
      <c r="M15" s="254"/>
      <c r="N15" s="253"/>
      <c r="O15" s="253"/>
      <c r="P15" s="253"/>
    </row>
    <row r="23" ht="13.5" thickBot="1"/>
    <row r="24" spans="2:9" ht="12.75">
      <c r="B24" s="199"/>
      <c r="C24" s="93"/>
      <c r="D24" s="93"/>
      <c r="E24" s="93"/>
      <c r="F24" s="93"/>
      <c r="G24" s="93"/>
      <c r="H24" s="94"/>
      <c r="I24" s="17"/>
    </row>
    <row r="25" spans="2:9" ht="13.5" thickBot="1">
      <c r="B25" s="204" t="s">
        <v>197</v>
      </c>
      <c r="C25" s="17" t="s">
        <v>109</v>
      </c>
      <c r="D25" s="208">
        <f>D10</f>
        <v>223497.73360000004</v>
      </c>
      <c r="E25" s="200" t="s">
        <v>206</v>
      </c>
      <c r="F25" s="90">
        <f>D25</f>
        <v>223497.73360000004</v>
      </c>
      <c r="G25" s="17" t="s">
        <v>108</v>
      </c>
      <c r="H25" s="252">
        <f>F25/F26*100</f>
        <v>81.95210560378415</v>
      </c>
      <c r="I25" s="256"/>
    </row>
    <row r="26" spans="2:9" ht="12.75">
      <c r="B26" s="207" t="s">
        <v>205</v>
      </c>
      <c r="C26" s="92"/>
      <c r="D26" s="251" t="s">
        <v>231</v>
      </c>
      <c r="E26" s="17"/>
      <c r="F26" s="98">
        <f>392702.5-119985</f>
        <v>272717.5</v>
      </c>
      <c r="G26" s="17"/>
      <c r="H26" s="96"/>
      <c r="I26" s="17"/>
    </row>
    <row r="27" spans="2:9" ht="12.75">
      <c r="B27" s="97"/>
      <c r="C27" s="16"/>
      <c r="D27" s="98"/>
      <c r="E27" s="17"/>
      <c r="F27" s="23" t="s">
        <v>3</v>
      </c>
      <c r="G27" s="17"/>
      <c r="H27" s="96"/>
      <c r="I27" s="17"/>
    </row>
    <row r="28" spans="2:9" ht="12.75">
      <c r="B28" s="95"/>
      <c r="C28" s="17"/>
      <c r="D28" s="17"/>
      <c r="E28" s="17"/>
      <c r="F28" s="17"/>
      <c r="G28" s="17"/>
      <c r="H28" s="96"/>
      <c r="I28" s="17"/>
    </row>
    <row r="29" spans="2:9" ht="12.75">
      <c r="B29" s="201" t="s">
        <v>54</v>
      </c>
      <c r="C29" s="202"/>
      <c r="D29" s="203">
        <f>H25</f>
        <v>81.95210560378415</v>
      </c>
      <c r="E29" s="202" t="s">
        <v>211</v>
      </c>
      <c r="F29" s="17"/>
      <c r="G29" s="17"/>
      <c r="H29" s="96"/>
      <c r="I29" s="17"/>
    </row>
    <row r="30" spans="2:9" ht="13.5" thickBot="1">
      <c r="B30" s="99" t="s">
        <v>55</v>
      </c>
      <c r="C30" s="15"/>
      <c r="D30" s="100">
        <f>D29/12</f>
        <v>6.829342133648679</v>
      </c>
      <c r="E30" s="15"/>
      <c r="F30" s="15"/>
      <c r="G30" s="15"/>
      <c r="H30" s="101"/>
      <c r="I30" s="17"/>
    </row>
    <row r="33" spans="8:14" ht="12.75">
      <c r="H33" s="70"/>
      <c r="I33" s="237" t="s">
        <v>100</v>
      </c>
      <c r="J33" s="209" t="s">
        <v>198</v>
      </c>
      <c r="K33" s="209" t="s">
        <v>199</v>
      </c>
      <c r="L33" s="209" t="s">
        <v>200</v>
      </c>
      <c r="M33" s="209" t="s">
        <v>201</v>
      </c>
      <c r="N33" s="209" t="s">
        <v>202</v>
      </c>
    </row>
    <row r="34" spans="8:14" ht="12.75">
      <c r="H34" s="173" t="s">
        <v>212</v>
      </c>
      <c r="I34" s="175">
        <f>I36</f>
        <v>121641.136</v>
      </c>
      <c r="J34" s="46">
        <v>223497.73360000004</v>
      </c>
      <c r="K34" s="46">
        <v>224005.98360000004</v>
      </c>
      <c r="L34" s="46">
        <v>224539.64609999998</v>
      </c>
      <c r="M34" s="46">
        <v>222217.99172500003</v>
      </c>
      <c r="N34" s="46">
        <v>222806.35463125003</v>
      </c>
    </row>
    <row r="35" spans="8:14" ht="12.75">
      <c r="H35" s="173" t="s">
        <v>213</v>
      </c>
      <c r="I35" s="173">
        <v>0</v>
      </c>
      <c r="J35" s="46">
        <v>119985</v>
      </c>
      <c r="K35" s="46">
        <v>126816.60186</v>
      </c>
      <c r="L35" s="46">
        <v>134046.10205957736</v>
      </c>
      <c r="M35" s="46">
        <v>141697.23526526766</v>
      </c>
      <c r="N35" s="46">
        <v>149795.1862586529</v>
      </c>
    </row>
    <row r="36" spans="8:14" ht="12.75">
      <c r="H36" s="173" t="s">
        <v>214</v>
      </c>
      <c r="I36" s="175">
        <f>'[1]inversiones'!$C$18</f>
        <v>121641.136</v>
      </c>
      <c r="J36" s="46">
        <f>J35+J34</f>
        <v>343482.73360000004</v>
      </c>
      <c r="K36" s="46">
        <f>K35+K34</f>
        <v>350822.58546000003</v>
      </c>
      <c r="L36" s="46">
        <f>L35+L34</f>
        <v>358585.7481595774</v>
      </c>
      <c r="M36" s="46">
        <f>M35+M34</f>
        <v>363915.2269902677</v>
      </c>
      <c r="N36" s="46">
        <f>N35+N34</f>
        <v>372601.5408899029</v>
      </c>
    </row>
    <row r="37" spans="8:14" ht="12.75">
      <c r="H37" s="173" t="s">
        <v>203</v>
      </c>
      <c r="I37" s="173">
        <v>0</v>
      </c>
      <c r="J37" s="46">
        <v>392702.499</v>
      </c>
      <c r="K37" s="46">
        <v>413388.49583732395</v>
      </c>
      <c r="L37" s="46">
        <v>435164.14824405086</v>
      </c>
      <c r="M37" s="46">
        <v>458086.85491695453</v>
      </c>
      <c r="N37" s="46">
        <v>482217.03808656</v>
      </c>
    </row>
    <row r="38" spans="8:14" ht="12.75">
      <c r="H38" s="173" t="s">
        <v>215</v>
      </c>
      <c r="I38" s="173"/>
      <c r="J38" s="169">
        <f>(J34/(J37-J35))*100</f>
        <v>81.95210590428597</v>
      </c>
      <c r="K38" s="169">
        <f>(K34/(K37-K35))*100</f>
        <v>78.16746453779076</v>
      </c>
      <c r="L38" s="169">
        <f>(L34/(L37-L35))*100</f>
        <v>74.56864473756602</v>
      </c>
      <c r="M38" s="169">
        <f>(M34/(M37-M35))*100</f>
        <v>70.23555070158108</v>
      </c>
      <c r="N38" s="169">
        <f>(N34/(N37-N35))*100</f>
        <v>67.02518303357374</v>
      </c>
    </row>
    <row r="39" spans="2:9" ht="13.5">
      <c r="B39" s="195"/>
      <c r="C39" s="195"/>
      <c r="D39" s="195"/>
      <c r="E39" s="195"/>
      <c r="F39" s="195"/>
      <c r="G39" s="195"/>
      <c r="H39" s="195"/>
      <c r="I39" s="195"/>
    </row>
    <row r="40" spans="2:13" ht="13.5"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</row>
    <row r="41" spans="2:13" ht="13.5"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</row>
    <row r="42" spans="2:13" ht="13.5"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</row>
    <row r="43" spans="2:13" ht="13.5"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</row>
    <row r="44" spans="2:13" ht="13.5"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</row>
    <row r="45" spans="2:13" ht="13.5"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</row>
    <row r="46" spans="2:13" ht="13.5"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</row>
    <row r="47" spans="2:13" ht="13.5"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</row>
    <row r="48" spans="2:13" ht="13.5"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</row>
    <row r="49" spans="2:13" ht="13.5"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</row>
    <row r="50" spans="2:13" ht="13.5"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</row>
    <row r="51" spans="2:13" ht="13.5"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</row>
    <row r="52" spans="2:13" ht="13.5"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</row>
    <row r="53" spans="2:5" ht="13.5">
      <c r="B53" s="195"/>
      <c r="C53" s="195"/>
      <c r="D53" s="195"/>
      <c r="E53" s="195"/>
    </row>
    <row r="54" ht="12.75">
      <c r="B54" s="196"/>
    </row>
    <row r="55" ht="12.75">
      <c r="B55" s="196"/>
    </row>
    <row r="65" ht="12.75">
      <c r="B65" s="3"/>
    </row>
    <row r="66" ht="12.75">
      <c r="B66" s="3"/>
    </row>
  </sheetData>
  <sheetProtection/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73"/>
  <sheetViews>
    <sheetView tabSelected="1" zoomScalePageLayoutView="0" workbookViewId="0" topLeftCell="A1">
      <selection activeCell="A15" sqref="A15:B21"/>
    </sheetView>
  </sheetViews>
  <sheetFormatPr defaultColWidth="11.421875" defaultRowHeight="12.75"/>
  <cols>
    <col min="1" max="1" width="19.8515625" style="0" customWidth="1"/>
    <col min="2" max="2" width="14.421875" style="0" customWidth="1"/>
    <col min="3" max="3" width="14.00390625" style="0" customWidth="1"/>
    <col min="4" max="4" width="18.421875" style="0" customWidth="1"/>
    <col min="5" max="5" width="5.00390625" style="0" customWidth="1"/>
  </cols>
  <sheetData>
    <row r="2" spans="1:6" ht="15.75">
      <c r="A2" s="298" t="s">
        <v>216</v>
      </c>
      <c r="B2" s="298"/>
      <c r="C2" s="298"/>
      <c r="D2" s="298"/>
      <c r="E2" s="298"/>
      <c r="F2" s="298"/>
    </row>
    <row r="4" spans="1:4" ht="18.75" customHeight="1">
      <c r="A4" s="190"/>
      <c r="B4" s="190"/>
      <c r="C4" s="190"/>
      <c r="D4" s="190"/>
    </row>
    <row r="5" ht="13.5" thickBot="1">
      <c r="D5" s="229"/>
    </row>
    <row r="6" spans="1:6" ht="13.5" thickBot="1">
      <c r="A6" s="283" t="s">
        <v>221</v>
      </c>
      <c r="B6" s="285"/>
      <c r="C6" s="242"/>
      <c r="D6" s="229"/>
      <c r="F6" s="21"/>
    </row>
    <row r="7" spans="1:3" ht="12.75">
      <c r="A7" s="219" t="s">
        <v>217</v>
      </c>
      <c r="B7" s="243" t="s">
        <v>98</v>
      </c>
      <c r="C7" s="228"/>
    </row>
    <row r="8" spans="1:3" ht="12.75">
      <c r="A8" s="238" t="s">
        <v>223</v>
      </c>
      <c r="B8" s="104">
        <v>-110906.24511731765</v>
      </c>
      <c r="C8" s="16"/>
    </row>
    <row r="9" spans="1:3" ht="12.75">
      <c r="A9" s="238" t="s">
        <v>234</v>
      </c>
      <c r="B9" s="104">
        <v>-68956.66542057996</v>
      </c>
      <c r="C9" s="81"/>
    </row>
    <row r="10" spans="1:5" ht="12.75">
      <c r="A10" s="267">
        <v>0</v>
      </c>
      <c r="B10" s="220">
        <f>'FLUJO DE CAJA'!B24</f>
        <v>255511.30804013787</v>
      </c>
      <c r="C10" s="81"/>
      <c r="E10" s="21"/>
    </row>
    <row r="11" spans="1:3" ht="12.75">
      <c r="A11" s="238" t="s">
        <v>233</v>
      </c>
      <c r="B11" s="222">
        <v>297690.7451104983</v>
      </c>
      <c r="C11" s="230"/>
    </row>
    <row r="12" spans="1:2" ht="13.5" thickBot="1">
      <c r="A12" s="239" t="s">
        <v>225</v>
      </c>
      <c r="B12" s="221">
        <v>340536.10975584807</v>
      </c>
    </row>
    <row r="14" ht="13.5" thickBot="1"/>
    <row r="15" spans="1:3" ht="13.5" thickBot="1">
      <c r="A15" s="283" t="s">
        <v>220</v>
      </c>
      <c r="B15" s="285"/>
      <c r="C15" s="258"/>
    </row>
    <row r="16" spans="1:2" ht="12.75">
      <c r="A16" s="227" t="s">
        <v>217</v>
      </c>
      <c r="B16" s="259" t="s">
        <v>99</v>
      </c>
    </row>
    <row r="17" spans="1:2" ht="12.75">
      <c r="A17" s="238" t="s">
        <v>223</v>
      </c>
      <c r="B17" s="332">
        <v>0.067</v>
      </c>
    </row>
    <row r="18" spans="1:2" ht="12.75">
      <c r="A18" s="238" t="s">
        <v>234</v>
      </c>
      <c r="B18" s="333">
        <v>0.07884</v>
      </c>
    </row>
    <row r="19" spans="1:2" ht="12.75">
      <c r="A19" s="267">
        <v>0</v>
      </c>
      <c r="B19" s="336">
        <v>0.1583</v>
      </c>
    </row>
    <row r="20" spans="1:2" ht="12.75">
      <c r="A20" s="238" t="s">
        <v>233</v>
      </c>
      <c r="B20" s="334">
        <v>0.1674</v>
      </c>
    </row>
    <row r="21" spans="1:2" ht="13.5" thickBot="1">
      <c r="A21" s="239" t="s">
        <v>225</v>
      </c>
      <c r="B21" s="335">
        <v>0.176425</v>
      </c>
    </row>
    <row r="23" ht="13.5" thickBot="1"/>
    <row r="24" spans="1:2" ht="13.5" thickBot="1">
      <c r="A24" s="283" t="s">
        <v>218</v>
      </c>
      <c r="B24" s="285"/>
    </row>
    <row r="25" spans="1:2" ht="12.75">
      <c r="A25" s="225" t="s">
        <v>217</v>
      </c>
      <c r="B25" s="226" t="s">
        <v>98</v>
      </c>
    </row>
    <row r="26" spans="1:2" ht="12.75">
      <c r="A26" s="238" t="s">
        <v>224</v>
      </c>
      <c r="B26" s="104">
        <v>-25504.35320716235</v>
      </c>
    </row>
    <row r="27" spans="1:2" ht="12.75">
      <c r="A27" s="238" t="s">
        <v>223</v>
      </c>
      <c r="B27" s="104">
        <v>143105.0435412177</v>
      </c>
    </row>
    <row r="28" spans="1:2" ht="12.75">
      <c r="A28" s="267">
        <v>0</v>
      </c>
      <c r="B28" s="220">
        <f>'FLUJO DE CAJA'!B24</f>
        <v>255511.30804013787</v>
      </c>
    </row>
    <row r="29" spans="1:2" ht="12.75">
      <c r="A29" s="238" t="s">
        <v>225</v>
      </c>
      <c r="B29" s="104">
        <v>367917.5725390578</v>
      </c>
    </row>
    <row r="30" spans="1:2" ht="13.5" thickBot="1">
      <c r="A30" s="239" t="s">
        <v>226</v>
      </c>
      <c r="B30" s="221">
        <v>536526.9692874376</v>
      </c>
    </row>
    <row r="32" ht="13.5" thickBot="1"/>
    <row r="33" spans="1:2" ht="13.5" thickBot="1">
      <c r="A33" s="283" t="s">
        <v>219</v>
      </c>
      <c r="B33" s="285"/>
    </row>
    <row r="34" spans="1:2" ht="12.75">
      <c r="A34" s="223" t="s">
        <v>217</v>
      </c>
      <c r="B34" s="224" t="s">
        <v>99</v>
      </c>
    </row>
    <row r="35" spans="1:2" ht="12.75">
      <c r="A35" s="238" t="s">
        <v>224</v>
      </c>
      <c r="B35" s="332">
        <v>0.0911</v>
      </c>
    </row>
    <row r="36" spans="1:2" ht="12.75">
      <c r="A36" s="238" t="s">
        <v>223</v>
      </c>
      <c r="B36" s="333">
        <v>0.132</v>
      </c>
    </row>
    <row r="37" spans="1:2" ht="12.75">
      <c r="A37" s="267">
        <v>0</v>
      </c>
      <c r="B37" s="336">
        <v>0.1583</v>
      </c>
    </row>
    <row r="38" spans="1:2" ht="12.75">
      <c r="A38" s="238" t="s">
        <v>225</v>
      </c>
      <c r="B38" s="333">
        <v>0.1841</v>
      </c>
    </row>
    <row r="39" spans="1:2" ht="13.5" thickBot="1">
      <c r="A39" s="239" t="s">
        <v>226</v>
      </c>
      <c r="B39" s="335">
        <v>0.2216</v>
      </c>
    </row>
    <row r="42" ht="13.5" thickBot="1"/>
    <row r="43" spans="1:3" ht="13.5" thickBot="1">
      <c r="A43" s="283" t="s">
        <v>222</v>
      </c>
      <c r="B43" s="285"/>
      <c r="C43" s="242"/>
    </row>
    <row r="44" spans="1:2" ht="12.75">
      <c r="A44" s="265" t="s">
        <v>217</v>
      </c>
      <c r="B44" s="266" t="s">
        <v>98</v>
      </c>
    </row>
    <row r="45" spans="1:2" ht="12.75">
      <c r="A45" s="238" t="s">
        <v>224</v>
      </c>
      <c r="B45" s="261">
        <v>679459.2487532203</v>
      </c>
    </row>
    <row r="46" spans="1:2" ht="12.75">
      <c r="A46" s="238" t="s">
        <v>223</v>
      </c>
      <c r="B46" s="262">
        <v>425090.484325371</v>
      </c>
    </row>
    <row r="47" spans="1:2" ht="12.75">
      <c r="A47" s="267">
        <v>0</v>
      </c>
      <c r="B47" s="263">
        <f>'FLUJO DE CAJA'!B24</f>
        <v>255511.30804013787</v>
      </c>
    </row>
    <row r="48" spans="1:2" ht="12.75">
      <c r="A48" s="238" t="s">
        <v>225</v>
      </c>
      <c r="B48" s="261">
        <v>85932.13175490382</v>
      </c>
    </row>
    <row r="49" spans="1:2" ht="13.5" thickBot="1">
      <c r="A49" s="239" t="s">
        <v>226</v>
      </c>
      <c r="B49" s="264">
        <v>-168436.63267294643</v>
      </c>
    </row>
    <row r="51" ht="13.5" thickBot="1"/>
    <row r="52" spans="1:3" ht="13.5" thickBot="1">
      <c r="A52" s="283" t="s">
        <v>227</v>
      </c>
      <c r="B52" s="285"/>
      <c r="C52" s="242"/>
    </row>
    <row r="53" spans="1:2" ht="12.75">
      <c r="A53" s="240" t="s">
        <v>217</v>
      </c>
      <c r="B53" s="244" t="s">
        <v>99</v>
      </c>
    </row>
    <row r="54" spans="1:2" ht="12.75">
      <c r="A54" s="238" t="s">
        <v>224</v>
      </c>
      <c r="B54" s="307">
        <v>0.25259</v>
      </c>
    </row>
    <row r="55" spans="1:2" ht="12.75">
      <c r="A55" s="238" t="s">
        <v>223</v>
      </c>
      <c r="B55" s="307">
        <v>0.1969</v>
      </c>
    </row>
    <row r="56" spans="1:2" ht="12.75">
      <c r="A56" s="267">
        <v>0</v>
      </c>
      <c r="B56" s="308">
        <v>0.1583</v>
      </c>
    </row>
    <row r="57" spans="1:2" ht="12.75">
      <c r="A57" s="238" t="s">
        <v>225</v>
      </c>
      <c r="B57" s="307">
        <v>0.11832</v>
      </c>
    </row>
    <row r="58" spans="1:2" ht="13.5" thickBot="1">
      <c r="A58" s="239" t="s">
        <v>226</v>
      </c>
      <c r="B58" s="309">
        <v>0.0549</v>
      </c>
    </row>
    <row r="65" ht="12.75">
      <c r="D65" s="233"/>
    </row>
    <row r="66" ht="12.75">
      <c r="D66" s="233"/>
    </row>
    <row r="67" ht="12.75">
      <c r="D67" s="233"/>
    </row>
    <row r="68" ht="12.75">
      <c r="D68" s="233"/>
    </row>
    <row r="69" ht="12.75">
      <c r="D69" s="233"/>
    </row>
    <row r="71" spans="4:9" ht="12.75">
      <c r="D71" s="233"/>
      <c r="I71" s="233"/>
    </row>
    <row r="73" spans="4:7" ht="12.75">
      <c r="D73" s="233" t="s">
        <v>235</v>
      </c>
      <c r="G73" s="233" t="s">
        <v>236</v>
      </c>
    </row>
  </sheetData>
  <sheetProtection/>
  <mergeCells count="7">
    <mergeCell ref="A43:B43"/>
    <mergeCell ref="A52:B52"/>
    <mergeCell ref="A2:F2"/>
    <mergeCell ref="A24:B24"/>
    <mergeCell ref="A33:B33"/>
    <mergeCell ref="A6:B6"/>
    <mergeCell ref="A15:B15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V141"/>
  <sheetViews>
    <sheetView zoomScalePageLayoutView="0" workbookViewId="0" topLeftCell="A76">
      <selection activeCell="J97" sqref="J97"/>
    </sheetView>
  </sheetViews>
  <sheetFormatPr defaultColWidth="11.421875" defaultRowHeight="12.75"/>
  <cols>
    <col min="1" max="1" width="31.140625" style="0" customWidth="1"/>
    <col min="2" max="2" width="17.7109375" style="0" customWidth="1"/>
    <col min="3" max="3" width="12.57421875" style="0" customWidth="1"/>
    <col min="4" max="4" width="13.140625" style="0" customWidth="1"/>
    <col min="5" max="5" width="14.7109375" style="0" customWidth="1"/>
    <col min="6" max="6" width="12.00390625" style="0" customWidth="1"/>
    <col min="7" max="7" width="12.421875" style="0" customWidth="1"/>
    <col min="8" max="8" width="11.7109375" style="0" bestFit="1" customWidth="1"/>
    <col min="9" max="9" width="13.8515625" style="0" customWidth="1"/>
    <col min="10" max="10" width="15.57421875" style="0" customWidth="1"/>
    <col min="11" max="11" width="16.140625" style="0" customWidth="1"/>
    <col min="12" max="12" width="12.140625" style="0" customWidth="1"/>
    <col min="13" max="13" width="11.7109375" style="0" bestFit="1" customWidth="1"/>
    <col min="14" max="14" width="11.7109375" style="0" customWidth="1"/>
    <col min="15" max="15" width="11.7109375" style="0" bestFit="1" customWidth="1"/>
  </cols>
  <sheetData>
    <row r="2" spans="1:7" ht="15" thickBot="1">
      <c r="A2" s="8" t="s">
        <v>3</v>
      </c>
      <c r="B2" s="8"/>
      <c r="C2" s="8"/>
      <c r="D2" s="26"/>
      <c r="E2" s="26"/>
      <c r="F2" s="26"/>
      <c r="G2" s="8"/>
    </row>
    <row r="3" spans="1:6" ht="12.75">
      <c r="A3" s="280" t="s">
        <v>65</v>
      </c>
      <c r="B3" s="281"/>
      <c r="C3" s="282"/>
      <c r="D3" s="27"/>
      <c r="E3" s="27"/>
      <c r="F3" s="27"/>
    </row>
    <row r="4" spans="1:6" s="185" customFormat="1" ht="14.25">
      <c r="A4" s="231" t="s">
        <v>186</v>
      </c>
      <c r="B4" s="193"/>
      <c r="C4" s="194">
        <v>8000</v>
      </c>
      <c r="D4" s="27"/>
      <c r="E4" s="27"/>
      <c r="F4" s="27"/>
    </row>
    <row r="5" spans="1:3" ht="12.75" customHeight="1">
      <c r="A5" s="28" t="s">
        <v>187</v>
      </c>
      <c r="B5" s="24"/>
      <c r="C5" s="29">
        <v>22000</v>
      </c>
    </row>
    <row r="6" spans="1:3" ht="13.5" customHeight="1">
      <c r="A6" s="186" t="s">
        <v>190</v>
      </c>
      <c r="B6" s="25"/>
      <c r="C6" s="30">
        <v>36671.22</v>
      </c>
    </row>
    <row r="7" spans="1:3" ht="14.25">
      <c r="A7" s="31" t="s">
        <v>189</v>
      </c>
      <c r="B7" s="22"/>
      <c r="C7" s="32"/>
    </row>
    <row r="8" spans="1:3" ht="14.25">
      <c r="A8" s="28" t="s">
        <v>188</v>
      </c>
      <c r="B8" s="24"/>
      <c r="C8" s="29">
        <v>36780</v>
      </c>
    </row>
    <row r="9" spans="1:3" ht="13.5" thickBot="1">
      <c r="A9" s="33" t="s">
        <v>15</v>
      </c>
      <c r="B9" s="88"/>
      <c r="C9" s="34">
        <f>C5+C6+C8</f>
        <v>95451.22</v>
      </c>
    </row>
    <row r="10" spans="1:2" ht="12.75">
      <c r="A10" s="20"/>
      <c r="B10" s="20"/>
    </row>
    <row r="11" spans="1:22" ht="14.25">
      <c r="A11" s="8" t="s">
        <v>183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5" thickBo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5" ht="13.5" thickBot="1">
      <c r="A13" s="35" t="s">
        <v>66</v>
      </c>
      <c r="B13" s="89"/>
      <c r="C13" s="187">
        <v>1500000</v>
      </c>
      <c r="E13" s="5"/>
    </row>
    <row r="14" spans="1:5" ht="12.75">
      <c r="A14" s="20"/>
      <c r="B14" s="20"/>
      <c r="C14" s="17"/>
      <c r="D14" s="23"/>
      <c r="E14" s="5"/>
    </row>
    <row r="15" spans="1:5" ht="12.75">
      <c r="A15" s="20"/>
      <c r="B15" s="20"/>
      <c r="E15" s="5"/>
    </row>
    <row r="16" spans="1:4" ht="18">
      <c r="A16" s="180" t="s">
        <v>230</v>
      </c>
      <c r="B16" s="10"/>
      <c r="C16" s="10"/>
      <c r="D16" s="10"/>
    </row>
    <row r="17" spans="1:3" ht="15.75" thickBot="1">
      <c r="A17" s="9"/>
      <c r="B17" s="9"/>
      <c r="C17" s="10"/>
    </row>
    <row r="18" spans="1:6" ht="13.5" thickBot="1">
      <c r="A18" s="283" t="s">
        <v>68</v>
      </c>
      <c r="B18" s="284"/>
      <c r="C18" s="284"/>
      <c r="D18" s="284"/>
      <c r="E18" s="284"/>
      <c r="F18" s="285"/>
    </row>
    <row r="19" spans="1:7" ht="14.25">
      <c r="A19" s="37" t="s">
        <v>0</v>
      </c>
      <c r="B19" s="38"/>
      <c r="C19" s="38"/>
      <c r="D19" s="38"/>
      <c r="E19" s="38"/>
      <c r="F19" s="39">
        <v>450</v>
      </c>
      <c r="G19" s="1" t="s">
        <v>3</v>
      </c>
    </row>
    <row r="20" spans="1:11" ht="14.25">
      <c r="A20" s="40" t="s">
        <v>4</v>
      </c>
      <c r="B20" s="36"/>
      <c r="C20" s="36"/>
      <c r="D20" s="36"/>
      <c r="E20" s="36"/>
      <c r="F20" s="260">
        <v>0.026</v>
      </c>
      <c r="G20" s="2" t="s">
        <v>3</v>
      </c>
      <c r="J20" s="311">
        <f>11.78-2</f>
        <v>9.78</v>
      </c>
      <c r="K20" s="311">
        <f>11.78+2</f>
        <v>13.78</v>
      </c>
    </row>
    <row r="21" spans="1:11" ht="14.25">
      <c r="A21" s="40" t="s">
        <v>1</v>
      </c>
      <c r="B21" s="36"/>
      <c r="C21" s="36"/>
      <c r="D21" s="36"/>
      <c r="E21" s="36"/>
      <c r="F21" s="42" t="s">
        <v>2</v>
      </c>
      <c r="G21" s="3" t="s">
        <v>3</v>
      </c>
      <c r="J21" s="311">
        <f>11.78-5</f>
        <v>6.779999999999999</v>
      </c>
      <c r="K21" s="311">
        <f>11.78+5</f>
        <v>16.78</v>
      </c>
    </row>
    <row r="22" spans="1:7" ht="15.75" thickBot="1">
      <c r="A22" s="43" t="s">
        <v>67</v>
      </c>
      <c r="B22" s="44"/>
      <c r="C22" s="44"/>
      <c r="D22" s="44"/>
      <c r="E22" s="44"/>
      <c r="F22" s="45">
        <v>0.026</v>
      </c>
      <c r="G22" s="2" t="s">
        <v>3</v>
      </c>
    </row>
    <row r="23" ht="12.75">
      <c r="G23" s="2" t="s">
        <v>3</v>
      </c>
    </row>
    <row r="24" spans="1:9" ht="12.75">
      <c r="A24" s="53"/>
      <c r="B24" s="286" t="s">
        <v>92</v>
      </c>
      <c r="C24" s="286" t="s">
        <v>91</v>
      </c>
      <c r="D24" s="54" t="s">
        <v>93</v>
      </c>
      <c r="E24" s="55" t="s">
        <v>94</v>
      </c>
      <c r="F24" s="54" t="s">
        <v>8</v>
      </c>
      <c r="G24" s="56"/>
      <c r="H24" s="57">
        <v>0.02</v>
      </c>
      <c r="I24" s="58"/>
    </row>
    <row r="25" spans="1:9" ht="12.75">
      <c r="A25" s="59" t="s">
        <v>3</v>
      </c>
      <c r="B25" s="287"/>
      <c r="C25" s="287"/>
      <c r="D25" s="60" t="s">
        <v>17</v>
      </c>
      <c r="E25" s="61" t="s">
        <v>95</v>
      </c>
      <c r="F25" s="60" t="s">
        <v>9</v>
      </c>
      <c r="G25" s="61" t="s">
        <v>13</v>
      </c>
      <c r="H25" s="60" t="s">
        <v>56</v>
      </c>
      <c r="I25" s="62" t="s">
        <v>61</v>
      </c>
    </row>
    <row r="26" spans="1:9" ht="12.75">
      <c r="A26" s="63" t="s">
        <v>5</v>
      </c>
      <c r="B26" s="288"/>
      <c r="C26" s="288"/>
      <c r="D26" s="64" t="s">
        <v>6</v>
      </c>
      <c r="E26" s="65" t="s">
        <v>7</v>
      </c>
      <c r="F26" s="64" t="s">
        <v>10</v>
      </c>
      <c r="G26" s="65" t="s">
        <v>17</v>
      </c>
      <c r="H26" s="64" t="s">
        <v>57</v>
      </c>
      <c r="I26" s="66" t="s">
        <v>62</v>
      </c>
    </row>
    <row r="27" spans="1:11" s="51" customFormat="1" ht="12">
      <c r="A27" s="47">
        <v>2009</v>
      </c>
      <c r="B27" s="48">
        <v>933</v>
      </c>
      <c r="C27" s="47">
        <v>5</v>
      </c>
      <c r="D27" s="49">
        <v>450</v>
      </c>
      <c r="E27" s="49">
        <f>D27*C27</f>
        <v>2250</v>
      </c>
      <c r="F27" s="49">
        <f>B27*E27</f>
        <v>2099250</v>
      </c>
      <c r="G27" s="50">
        <f>F27*0.18</f>
        <v>377865</v>
      </c>
      <c r="H27" s="50">
        <f>F27*2/100</f>
        <v>41985</v>
      </c>
      <c r="I27" s="212">
        <f>(F27*0.0978)*0.06</f>
        <v>12318.399</v>
      </c>
      <c r="K27" s="299"/>
    </row>
    <row r="28" spans="1:9" s="51" customFormat="1" ht="12">
      <c r="A28" s="47">
        <v>2010</v>
      </c>
      <c r="B28" s="52">
        <f>B27*2.6/100+B27</f>
        <v>957.258</v>
      </c>
      <c r="C28" s="52">
        <v>5</v>
      </c>
      <c r="D28" s="49">
        <f>D27*F20+D27</f>
        <v>461.7</v>
      </c>
      <c r="E28" s="49">
        <f>D28*C28</f>
        <v>2308.5</v>
      </c>
      <c r="F28" s="49">
        <f>(E28*B28)</f>
        <v>2209830.093</v>
      </c>
      <c r="G28" s="50">
        <f>F28*0.18</f>
        <v>397769.41673999996</v>
      </c>
      <c r="H28" s="50">
        <f>F28*2/100</f>
        <v>44196.601859999995</v>
      </c>
      <c r="I28" s="212">
        <f>(F28*0.0978)*0.06</f>
        <v>12967.282985723998</v>
      </c>
    </row>
    <row r="29" spans="1:9" s="51" customFormat="1" ht="12">
      <c r="A29" s="47">
        <v>2011</v>
      </c>
      <c r="B29" s="52">
        <f>B28*2.6/100+B28</f>
        <v>982.146708</v>
      </c>
      <c r="C29" s="52">
        <v>5</v>
      </c>
      <c r="D29" s="49">
        <f>D28*F20+D28</f>
        <v>473.7042</v>
      </c>
      <c r="E29" s="49">
        <f>D29*C29</f>
        <v>2368.521</v>
      </c>
      <c r="F29" s="49">
        <f>(E29*B29)</f>
        <v>2326235.102978868</v>
      </c>
      <c r="G29" s="50">
        <f>F29*0.18</f>
        <v>418722.3185361962</v>
      </c>
      <c r="H29" s="50">
        <f>F29*2/100</f>
        <v>46524.70205957736</v>
      </c>
      <c r="I29" s="212">
        <f>(F29*0.0978)*0.06</f>
        <v>13650.347584279996</v>
      </c>
    </row>
    <row r="30" spans="1:9" s="51" customFormat="1" ht="12">
      <c r="A30" s="47">
        <v>2012</v>
      </c>
      <c r="B30" s="52">
        <f>B29*2.6/100+B29</f>
        <v>1007.682522408</v>
      </c>
      <c r="C30" s="52">
        <v>5</v>
      </c>
      <c r="D30" s="49">
        <f>D29*F20+D29</f>
        <v>486.0205092</v>
      </c>
      <c r="E30" s="49">
        <f>D30*C30</f>
        <v>2430.102546</v>
      </c>
      <c r="F30" s="49">
        <f>(E30*B30)</f>
        <v>2448771.863263383</v>
      </c>
      <c r="G30" s="50">
        <f>F30*0.18</f>
        <v>440778.93538740894</v>
      </c>
      <c r="H30" s="50">
        <f>F30*2/100</f>
        <v>48975.43726526766</v>
      </c>
      <c r="I30" s="212">
        <f>(F30*0.0978)*0.06</f>
        <v>14369.393293629531</v>
      </c>
    </row>
    <row r="31" spans="1:9" s="51" customFormat="1" ht="12">
      <c r="A31" s="47">
        <v>2013</v>
      </c>
      <c r="B31" s="52">
        <f>B30*2.6/100+B30</f>
        <v>1033.882267990608</v>
      </c>
      <c r="C31" s="52">
        <v>5</v>
      </c>
      <c r="D31" s="49">
        <f>D30*F20+D30</f>
        <v>498.6570424392</v>
      </c>
      <c r="E31" s="49">
        <f>D31*C31</f>
        <v>2493.285212196</v>
      </c>
      <c r="F31" s="49">
        <f>(E31*B31)</f>
        <v>2577763.3699326445</v>
      </c>
      <c r="G31" s="50">
        <f>F31*0.18</f>
        <v>463997.406587876</v>
      </c>
      <c r="H31" s="50">
        <f>F31*2/100</f>
        <v>51555.26739865289</v>
      </c>
      <c r="I31" s="212">
        <f>(F31*0.0978)*0.06</f>
        <v>15126.315454764757</v>
      </c>
    </row>
    <row r="32" spans="1:9" s="51" customFormat="1" ht="12">
      <c r="A32" s="67" t="s">
        <v>69</v>
      </c>
      <c r="B32" s="68"/>
      <c r="C32" s="69"/>
      <c r="D32" s="68"/>
      <c r="E32" s="68"/>
      <c r="F32" s="83">
        <f>SUM(F27:F31)</f>
        <v>11661850.429174896</v>
      </c>
      <c r="G32" s="83">
        <f>SUM(G27:G31)</f>
        <v>2099133.077251481</v>
      </c>
      <c r="H32" s="83">
        <f>SUM(H27:H31)</f>
        <v>233237.0085834979</v>
      </c>
      <c r="I32" s="83">
        <f>SUM(I27:I31)</f>
        <v>68431.73831839827</v>
      </c>
    </row>
    <row r="33" spans="4:8" ht="12.75">
      <c r="D33" s="4"/>
      <c r="G33" s="5"/>
      <c r="H33" s="5"/>
    </row>
    <row r="34" spans="1:8" ht="14.25">
      <c r="A34" s="7" t="s">
        <v>18</v>
      </c>
      <c r="B34" s="7"/>
      <c r="C34" s="7"/>
      <c r="D34" s="11"/>
      <c r="E34" s="7"/>
      <c r="F34" s="7"/>
      <c r="G34" s="12"/>
      <c r="H34" s="12"/>
    </row>
    <row r="35" spans="1:8" ht="14.25">
      <c r="A35" s="7" t="s">
        <v>103</v>
      </c>
      <c r="B35" s="7"/>
      <c r="C35" s="7"/>
      <c r="D35" s="11"/>
      <c r="E35" s="7"/>
      <c r="F35" s="7"/>
      <c r="G35" s="12"/>
      <c r="H35" s="12"/>
    </row>
    <row r="36" spans="1:8" ht="14.25">
      <c r="A36" s="7" t="s">
        <v>59</v>
      </c>
      <c r="B36" s="7"/>
      <c r="C36" s="7"/>
      <c r="D36" s="11"/>
      <c r="E36" s="7"/>
      <c r="F36" s="7"/>
      <c r="G36" s="12"/>
      <c r="H36" s="12"/>
    </row>
    <row r="37" spans="1:11" ht="15">
      <c r="A37" s="8" t="s">
        <v>184</v>
      </c>
      <c r="B37" s="7"/>
      <c r="C37" s="7"/>
      <c r="D37" s="11"/>
      <c r="E37" s="7"/>
      <c r="F37" s="7"/>
      <c r="G37" s="235"/>
      <c r="H37" s="235"/>
      <c r="K37" s="306"/>
    </row>
    <row r="38" spans="1:11" ht="14.25">
      <c r="A38" s="7" t="s">
        <v>58</v>
      </c>
      <c r="B38" s="7"/>
      <c r="C38" s="7"/>
      <c r="D38" s="11"/>
      <c r="E38" s="7"/>
      <c r="F38" s="7"/>
      <c r="G38" s="12"/>
      <c r="H38" s="12"/>
      <c r="K38" s="306"/>
    </row>
    <row r="39" spans="1:8" ht="14.25">
      <c r="A39" s="7"/>
      <c r="B39" s="7"/>
      <c r="C39" s="7"/>
      <c r="D39" s="11"/>
      <c r="E39" s="7"/>
      <c r="F39" s="7"/>
      <c r="G39" s="12"/>
      <c r="H39" s="12"/>
    </row>
    <row r="41" spans="1:4" ht="18">
      <c r="A41" s="180" t="s">
        <v>11</v>
      </c>
      <c r="B41" s="10"/>
      <c r="C41" s="10"/>
      <c r="D41" s="10"/>
    </row>
    <row r="43" spans="1:8" ht="14.25">
      <c r="A43" s="7" t="s">
        <v>16</v>
      </c>
      <c r="B43" s="7"/>
      <c r="C43" s="7"/>
      <c r="D43" s="7"/>
      <c r="E43" s="7"/>
      <c r="F43" s="7"/>
      <c r="G43" s="7"/>
      <c r="H43" s="7"/>
    </row>
    <row r="44" spans="1:8" ht="14.25">
      <c r="A44" s="7" t="s">
        <v>113</v>
      </c>
      <c r="B44" s="7"/>
      <c r="C44" s="7"/>
      <c r="D44" s="7"/>
      <c r="E44" s="18">
        <v>0.07</v>
      </c>
      <c r="F44" s="7"/>
      <c r="G44" s="7"/>
      <c r="H44" s="7"/>
    </row>
    <row r="45" spans="1:6" ht="14.25">
      <c r="A45" s="7" t="s">
        <v>63</v>
      </c>
      <c r="B45" s="7"/>
      <c r="C45" s="7" t="s">
        <v>3</v>
      </c>
      <c r="D45" s="7"/>
      <c r="E45" s="7"/>
      <c r="F45" s="7"/>
    </row>
    <row r="47" spans="1:4" ht="12.75">
      <c r="A47" s="72" t="s">
        <v>5</v>
      </c>
      <c r="B47" s="72" t="s">
        <v>12</v>
      </c>
      <c r="C47" s="72" t="s">
        <v>14</v>
      </c>
      <c r="D47" s="72" t="s">
        <v>13</v>
      </c>
    </row>
    <row r="48" spans="1:4" s="51" customFormat="1" ht="12">
      <c r="A48" s="47">
        <v>2009</v>
      </c>
      <c r="B48" s="49">
        <v>600000</v>
      </c>
      <c r="C48" s="47">
        <v>6</v>
      </c>
      <c r="D48" s="49">
        <f>B48*C48/100</f>
        <v>36000</v>
      </c>
    </row>
    <row r="49" spans="1:4" s="51" customFormat="1" ht="12">
      <c r="A49" s="47">
        <v>2010</v>
      </c>
      <c r="B49" s="49">
        <f>B48*E44+B48</f>
        <v>642000</v>
      </c>
      <c r="C49" s="47">
        <v>6</v>
      </c>
      <c r="D49" s="49">
        <f>B49*C49/100</f>
        <v>38520</v>
      </c>
    </row>
    <row r="50" spans="1:4" s="51" customFormat="1" ht="12">
      <c r="A50" s="47">
        <v>2011</v>
      </c>
      <c r="B50" s="49">
        <f>B49*E44+B49</f>
        <v>686940</v>
      </c>
      <c r="C50" s="47">
        <v>6</v>
      </c>
      <c r="D50" s="49">
        <f>B50*C50/100</f>
        <v>41216.4</v>
      </c>
    </row>
    <row r="51" spans="1:4" s="51" customFormat="1" ht="12">
      <c r="A51" s="47">
        <v>2012</v>
      </c>
      <c r="B51" s="49">
        <f>B50*E44+B50</f>
        <v>735025.8</v>
      </c>
      <c r="C51" s="47">
        <v>6</v>
      </c>
      <c r="D51" s="49">
        <f>B51*C51/100</f>
        <v>44101.54800000001</v>
      </c>
    </row>
    <row r="52" spans="1:5" s="51" customFormat="1" ht="12">
      <c r="A52" s="47">
        <v>2013</v>
      </c>
      <c r="B52" s="49">
        <f>B51*E44+B51</f>
        <v>786477.606</v>
      </c>
      <c r="C52" s="47">
        <v>6</v>
      </c>
      <c r="D52" s="49">
        <f>B52*C52/100</f>
        <v>47188.65636</v>
      </c>
      <c r="E52" s="51" t="s">
        <v>228</v>
      </c>
    </row>
    <row r="53" spans="1:4" s="51" customFormat="1" ht="12">
      <c r="A53" s="73" t="s">
        <v>15</v>
      </c>
      <c r="B53" s="74">
        <f>SUM(B48:B52)</f>
        <v>3450443.406</v>
      </c>
      <c r="C53" s="75"/>
      <c r="D53" s="74">
        <f>SUM(D48:D52)</f>
        <v>207026.60436</v>
      </c>
    </row>
    <row r="54" spans="3:5" ht="12.75">
      <c r="C54" s="6"/>
      <c r="E54" s="6"/>
    </row>
    <row r="55" spans="1:5" ht="12.75">
      <c r="A55" s="16"/>
      <c r="B55" s="16"/>
      <c r="C55" s="16"/>
      <c r="D55" s="16"/>
      <c r="E55" s="16"/>
    </row>
    <row r="56" ht="12.75">
      <c r="D56" s="14"/>
    </row>
    <row r="57" spans="1:8" ht="19.5">
      <c r="A57" s="279" t="s">
        <v>64</v>
      </c>
      <c r="B57" s="279"/>
      <c r="C57" s="279"/>
      <c r="D57" s="279"/>
      <c r="E57" s="279"/>
      <c r="F57" s="279"/>
      <c r="G57" s="279"/>
      <c r="H57" s="279"/>
    </row>
    <row r="58" spans="1:8" ht="19.5">
      <c r="A58" s="184"/>
      <c r="B58" s="184"/>
      <c r="C58" s="184"/>
      <c r="D58" s="184"/>
      <c r="E58" s="184"/>
      <c r="F58" s="184"/>
      <c r="G58" s="184"/>
      <c r="H58" s="184"/>
    </row>
    <row r="59" spans="9:14" ht="13.5" thickBot="1">
      <c r="I59" s="16"/>
      <c r="J59" s="81"/>
      <c r="K59" s="81"/>
      <c r="L59" s="81"/>
      <c r="M59" s="81"/>
      <c r="N59" s="81"/>
    </row>
    <row r="60" spans="1:14" ht="18">
      <c r="A60" s="289" t="s">
        <v>70</v>
      </c>
      <c r="B60" s="290"/>
      <c r="C60" s="290"/>
      <c r="D60" s="290"/>
      <c r="E60" s="290"/>
      <c r="F60" s="290"/>
      <c r="G60" s="291"/>
      <c r="H60" s="188"/>
      <c r="I60" s="16"/>
      <c r="J60" s="81"/>
      <c r="K60" s="81"/>
      <c r="L60" s="81"/>
      <c r="M60" s="81"/>
      <c r="N60" s="81"/>
    </row>
    <row r="61" spans="1:14" ht="12.75">
      <c r="A61" s="276" t="s">
        <v>77</v>
      </c>
      <c r="B61" s="277"/>
      <c r="C61" s="277"/>
      <c r="D61" s="277"/>
      <c r="E61" s="277"/>
      <c r="F61" s="277"/>
      <c r="G61" s="278"/>
      <c r="H61" s="189"/>
      <c r="I61" s="16"/>
      <c r="J61" s="16"/>
      <c r="K61" s="16"/>
      <c r="L61" s="16"/>
      <c r="M61" s="16"/>
      <c r="N61" s="16"/>
    </row>
    <row r="62" spans="1:14" ht="12.75">
      <c r="A62" s="114"/>
      <c r="B62" s="65"/>
      <c r="C62" s="65"/>
      <c r="D62" s="65"/>
      <c r="E62" s="65"/>
      <c r="F62" s="65"/>
      <c r="G62" s="115"/>
      <c r="H62" s="190"/>
      <c r="I62" s="16"/>
      <c r="J62" s="16"/>
      <c r="K62" s="16"/>
      <c r="L62" s="16"/>
      <c r="M62" s="16"/>
      <c r="N62" s="16"/>
    </row>
    <row r="63" spans="1:13" ht="12.75">
      <c r="A63" s="103"/>
      <c r="B63" s="80">
        <v>2009</v>
      </c>
      <c r="C63" s="80">
        <v>2010</v>
      </c>
      <c r="D63" s="80">
        <v>2011</v>
      </c>
      <c r="E63" s="80">
        <v>2012</v>
      </c>
      <c r="F63" s="80">
        <v>2013</v>
      </c>
      <c r="G63" s="116" t="s">
        <v>8</v>
      </c>
      <c r="H63" s="16"/>
      <c r="I63" s="16"/>
      <c r="J63" s="16"/>
      <c r="K63" s="16"/>
      <c r="L63" s="16"/>
      <c r="M63" s="16"/>
    </row>
    <row r="64" spans="1:13" ht="15">
      <c r="A64" s="117" t="s">
        <v>72</v>
      </c>
      <c r="B64" s="79"/>
      <c r="C64" s="79"/>
      <c r="D64" s="79"/>
      <c r="E64" s="79"/>
      <c r="F64" s="79"/>
      <c r="G64" s="118"/>
      <c r="H64" s="16"/>
      <c r="I64" s="16"/>
      <c r="J64" s="16"/>
      <c r="K64" s="16"/>
      <c r="L64" s="16"/>
      <c r="M64" s="16"/>
    </row>
    <row r="65" spans="1:13" ht="12.75">
      <c r="A65" s="245" t="s">
        <v>25</v>
      </c>
      <c r="B65" s="241">
        <f>G27</f>
        <v>377865</v>
      </c>
      <c r="C65" s="241">
        <f>G28</f>
        <v>397769.41673999996</v>
      </c>
      <c r="D65" s="241">
        <f>G29</f>
        <v>418722.3185361962</v>
      </c>
      <c r="E65" s="241">
        <f>G30</f>
        <v>440778.93538740894</v>
      </c>
      <c r="F65" s="241">
        <f>G31</f>
        <v>463997.406587876</v>
      </c>
      <c r="G65" s="246">
        <f>SUM(B65:F65)</f>
        <v>2099133.077251481</v>
      </c>
      <c r="H65" s="232"/>
      <c r="I65" s="16"/>
      <c r="J65" s="16"/>
      <c r="K65" s="16"/>
      <c r="L65" s="16"/>
      <c r="M65" s="16"/>
    </row>
    <row r="66" spans="1:13" ht="12.75">
      <c r="A66" s="119" t="s">
        <v>26</v>
      </c>
      <c r="B66" s="46">
        <f>I27</f>
        <v>12318.399</v>
      </c>
      <c r="C66" s="46">
        <f>I28</f>
        <v>12967.282985723998</v>
      </c>
      <c r="D66" s="46">
        <f>I29</f>
        <v>13650.347584279996</v>
      </c>
      <c r="E66" s="46">
        <f>I30</f>
        <v>14369.393293629531</v>
      </c>
      <c r="F66" s="46">
        <f>I31</f>
        <v>15126.315454764757</v>
      </c>
      <c r="G66" s="104">
        <f>SUM(B66:F66)</f>
        <v>68431.73831839827</v>
      </c>
      <c r="H66" s="16"/>
      <c r="I66" s="168"/>
      <c r="J66" s="181"/>
      <c r="K66" s="16"/>
      <c r="L66" s="16"/>
      <c r="M66" s="16"/>
    </row>
    <row r="67" spans="1:13" ht="12.75">
      <c r="A67" s="105" t="s">
        <v>73</v>
      </c>
      <c r="B67" s="76">
        <f>SUM(B65:B66)</f>
        <v>390183.399</v>
      </c>
      <c r="C67" s="76">
        <f>SUM(C65:C66)</f>
        <v>410736.69972572394</v>
      </c>
      <c r="D67" s="76">
        <f>SUM(D65:D66)</f>
        <v>432372.6661204762</v>
      </c>
      <c r="E67" s="76">
        <f>SUM(E65:E66)</f>
        <v>455148.32868103846</v>
      </c>
      <c r="F67" s="76">
        <f>SUM(F65:F66)</f>
        <v>479123.72204264073</v>
      </c>
      <c r="G67" s="106">
        <f>SUM(B67:F67)</f>
        <v>2167564.8155698795</v>
      </c>
      <c r="H67" s="16"/>
      <c r="I67" s="168"/>
      <c r="J67" s="182"/>
      <c r="K67" s="16"/>
      <c r="L67" s="16"/>
      <c r="M67" s="16"/>
    </row>
    <row r="68" spans="1:13" ht="15">
      <c r="A68" s="117" t="s">
        <v>71</v>
      </c>
      <c r="B68" s="78"/>
      <c r="C68" s="78"/>
      <c r="D68" s="78"/>
      <c r="E68" s="78"/>
      <c r="F68" s="78"/>
      <c r="G68" s="120"/>
      <c r="H68" s="16"/>
      <c r="I68" s="168"/>
      <c r="J68" s="183"/>
      <c r="K68" s="16"/>
      <c r="L68" s="16"/>
      <c r="M68" s="16"/>
    </row>
    <row r="69" spans="1:13" ht="12.75">
      <c r="A69" s="105" t="s">
        <v>106</v>
      </c>
      <c r="B69" s="46"/>
      <c r="C69" s="46"/>
      <c r="D69" s="46"/>
      <c r="E69" s="46"/>
      <c r="F69" s="46"/>
      <c r="G69" s="104" t="s">
        <v>3</v>
      </c>
      <c r="H69" s="16"/>
      <c r="I69" s="168"/>
      <c r="J69" s="102"/>
      <c r="K69" s="16"/>
      <c r="L69" s="16"/>
      <c r="M69" s="16"/>
    </row>
    <row r="70" spans="1:13" ht="12.75">
      <c r="A70" s="103" t="s">
        <v>125</v>
      </c>
      <c r="B70" s="46">
        <f>D48</f>
        <v>36000</v>
      </c>
      <c r="C70" s="46">
        <f>D49</f>
        <v>38520</v>
      </c>
      <c r="D70" s="46">
        <f>D50</f>
        <v>41216.4</v>
      </c>
      <c r="E70" s="46">
        <f>D51</f>
        <v>44101.54800000001</v>
      </c>
      <c r="F70" s="46">
        <f>D52</f>
        <v>47188.65636</v>
      </c>
      <c r="G70" s="104">
        <f>SUM(B70:F70)</f>
        <v>207026.60436</v>
      </c>
      <c r="H70" s="16"/>
      <c r="I70" s="16"/>
      <c r="J70" s="16"/>
      <c r="K70" s="16"/>
      <c r="L70" s="16"/>
      <c r="M70" s="16"/>
    </row>
    <row r="71" spans="1:7" ht="12.75">
      <c r="A71" s="245" t="s">
        <v>193</v>
      </c>
      <c r="B71" s="241">
        <f>H27</f>
        <v>41985</v>
      </c>
      <c r="C71" s="241">
        <f>H28</f>
        <v>44196.601859999995</v>
      </c>
      <c r="D71" s="241">
        <f>H29</f>
        <v>46524.70205957736</v>
      </c>
      <c r="E71" s="241">
        <f>H30</f>
        <v>48975.43726526766</v>
      </c>
      <c r="F71" s="241">
        <f>H31</f>
        <v>51555.26739865289</v>
      </c>
      <c r="G71" s="246">
        <f>SUM(B71:F71)</f>
        <v>233237.0085834979</v>
      </c>
    </row>
    <row r="72" spans="1:9" ht="12.75">
      <c r="A72" s="245" t="s">
        <v>27</v>
      </c>
      <c r="B72" s="241">
        <f>3500*12</f>
        <v>42000</v>
      </c>
      <c r="C72" s="241">
        <f>B72*1.05</f>
        <v>44100</v>
      </c>
      <c r="D72" s="241">
        <f>C72*1.05</f>
        <v>46305</v>
      </c>
      <c r="E72" s="241">
        <f>D72*1.05</f>
        <v>48620.25</v>
      </c>
      <c r="F72" s="241">
        <f>E72*1.05</f>
        <v>51051.262500000004</v>
      </c>
      <c r="G72" s="246">
        <f>SUM(B72:F72)</f>
        <v>232076.5125</v>
      </c>
      <c r="H72" s="233"/>
      <c r="I72" s="234"/>
    </row>
    <row r="73" spans="1:7" ht="12.75">
      <c r="A73" s="105" t="s">
        <v>30</v>
      </c>
      <c r="B73" s="76">
        <f>SUM(B70:B72)</f>
        <v>119985</v>
      </c>
      <c r="C73" s="76">
        <f aca="true" t="shared" si="0" ref="B73:G73">SUM(C70:C72)</f>
        <v>126816.60186</v>
      </c>
      <c r="D73" s="76">
        <f t="shared" si="0"/>
        <v>134046.10205957736</v>
      </c>
      <c r="E73" s="76">
        <f t="shared" si="0"/>
        <v>141697.23526526766</v>
      </c>
      <c r="F73" s="76">
        <f t="shared" si="0"/>
        <v>149795.1862586529</v>
      </c>
      <c r="G73" s="106">
        <f t="shared" si="0"/>
        <v>672340.1254434979</v>
      </c>
    </row>
    <row r="74" spans="1:7" ht="12.75">
      <c r="A74" s="105" t="s">
        <v>107</v>
      </c>
      <c r="B74" s="46"/>
      <c r="C74" s="46"/>
      <c r="D74" s="46"/>
      <c r="E74" s="46"/>
      <c r="F74" s="46"/>
      <c r="G74" s="104"/>
    </row>
    <row r="75" spans="1:7" ht="12.75">
      <c r="A75" s="245" t="s">
        <v>192</v>
      </c>
      <c r="B75" s="241">
        <v>5000</v>
      </c>
      <c r="C75" s="241">
        <f>B75*1.05</f>
        <v>5250</v>
      </c>
      <c r="D75" s="241">
        <f aca="true" t="shared" si="1" ref="D75:F76">C75*1.05</f>
        <v>5512.5</v>
      </c>
      <c r="E75" s="241">
        <f t="shared" si="1"/>
        <v>5788.125</v>
      </c>
      <c r="F75" s="241">
        <f t="shared" si="1"/>
        <v>6077.53125</v>
      </c>
      <c r="G75" s="246">
        <f aca="true" t="shared" si="2" ref="G75:G80">SUM(B75:F75)</f>
        <v>27628.15625</v>
      </c>
    </row>
    <row r="76" spans="1:7" ht="12.75">
      <c r="A76" s="103" t="s">
        <v>104</v>
      </c>
      <c r="B76" s="46">
        <v>4680</v>
      </c>
      <c r="C76" s="46">
        <f>B76*1.05</f>
        <v>4914</v>
      </c>
      <c r="D76" s="46">
        <f t="shared" si="1"/>
        <v>5159.7</v>
      </c>
      <c r="E76" s="46">
        <f t="shared" si="1"/>
        <v>5417.685</v>
      </c>
      <c r="F76" s="46">
        <f t="shared" si="1"/>
        <v>5688.5692500000005</v>
      </c>
      <c r="G76" s="104">
        <f t="shared" si="2"/>
        <v>25859.954250000003</v>
      </c>
    </row>
    <row r="77" spans="1:8" ht="12.75">
      <c r="A77" s="245" t="s">
        <v>75</v>
      </c>
      <c r="B77" s="241">
        <v>32400</v>
      </c>
      <c r="C77" s="241">
        <v>32400</v>
      </c>
      <c r="D77" s="241">
        <v>32400</v>
      </c>
      <c r="E77" s="241">
        <v>32400</v>
      </c>
      <c r="F77" s="241">
        <v>32400</v>
      </c>
      <c r="G77" s="246">
        <f t="shared" si="2"/>
        <v>162000</v>
      </c>
      <c r="H77" s="233"/>
    </row>
    <row r="78" spans="1:13" s="21" customFormat="1" ht="12.75">
      <c r="A78" s="245" t="s">
        <v>101</v>
      </c>
      <c r="B78" s="241">
        <f>700*12</f>
        <v>8400</v>
      </c>
      <c r="C78" s="241">
        <f>700*12</f>
        <v>8400</v>
      </c>
      <c r="D78" s="241">
        <f>700*12</f>
        <v>8400</v>
      </c>
      <c r="E78" s="241">
        <f>700*12</f>
        <v>8400</v>
      </c>
      <c r="F78" s="241">
        <f>700*12</f>
        <v>8400</v>
      </c>
      <c r="G78" s="246">
        <f t="shared" si="2"/>
        <v>42000</v>
      </c>
      <c r="H78"/>
      <c r="I78"/>
      <c r="J78"/>
      <c r="K78"/>
      <c r="L78"/>
      <c r="M78"/>
    </row>
    <row r="79" spans="1:13" s="21" customFormat="1" ht="12.75">
      <c r="A79" s="245" t="s">
        <v>28</v>
      </c>
      <c r="B79" s="241">
        <f>'[1]SALARIOS'!$F$29</f>
        <v>138963.36000000002</v>
      </c>
      <c r="C79" s="241">
        <f>'[1]SALARIOS'!$F$29</f>
        <v>138963.36000000002</v>
      </c>
      <c r="D79" s="241">
        <f>'[1]SALARIOS'!$F$29</f>
        <v>138963.36000000002</v>
      </c>
      <c r="E79" s="241">
        <f>'[1]SALARIOS'!$F$29</f>
        <v>138963.36000000002</v>
      </c>
      <c r="F79" s="241">
        <f>'[1]SALARIOS'!$F$29</f>
        <v>138963.36000000002</v>
      </c>
      <c r="G79" s="246">
        <f t="shared" si="2"/>
        <v>694816.8</v>
      </c>
      <c r="H79" s="233"/>
      <c r="I79"/>
      <c r="J79"/>
      <c r="K79"/>
      <c r="L79"/>
      <c r="M79"/>
    </row>
    <row r="80" spans="1:7" ht="12.75">
      <c r="A80" s="103" t="s">
        <v>29</v>
      </c>
      <c r="B80" s="46">
        <f>'[1]SALARIOS'!$I$15</f>
        <v>19323.86</v>
      </c>
      <c r="C80" s="46">
        <f>'[1]SALARIOS'!$I$15</f>
        <v>19323.86</v>
      </c>
      <c r="D80" s="46">
        <f>'[1]SALARIOS'!$I$15</f>
        <v>19323.86</v>
      </c>
      <c r="E80" s="46">
        <f>'[1]SALARIOS'!$I$15</f>
        <v>19323.86</v>
      </c>
      <c r="F80" s="46">
        <f>'[1]SALARIOS'!$I$15</f>
        <v>19323.86</v>
      </c>
      <c r="G80" s="104">
        <f t="shared" si="2"/>
        <v>96619.3</v>
      </c>
    </row>
    <row r="81" spans="1:7" ht="12.75">
      <c r="A81" s="121" t="s">
        <v>194</v>
      </c>
      <c r="B81" s="46">
        <v>485</v>
      </c>
      <c r="C81" s="46">
        <f>B81*1.05</f>
        <v>509.25</v>
      </c>
      <c r="D81" s="46">
        <f>C81*1.05</f>
        <v>534.7125</v>
      </c>
      <c r="E81" s="46">
        <f>D81*1.05</f>
        <v>561.448125</v>
      </c>
      <c r="F81" s="46">
        <f>E81*1.05</f>
        <v>589.52053125</v>
      </c>
      <c r="G81" s="104">
        <f>SUM(B81:F81)</f>
        <v>2679.9311562499997</v>
      </c>
    </row>
    <row r="82" spans="1:7" ht="12.75">
      <c r="A82" s="103" t="s">
        <v>31</v>
      </c>
      <c r="B82" s="46">
        <f>'DEP. Y AMORT.'!B59</f>
        <v>13673.5136</v>
      </c>
      <c r="C82" s="46">
        <f>'DEP. Y AMORT.'!C59</f>
        <v>13673.5136</v>
      </c>
      <c r="D82" s="46">
        <f>'DEP. Y AMORT.'!D59</f>
        <v>13673.5136</v>
      </c>
      <c r="E82" s="46">
        <f>'DEP. Y AMORT.'!E59</f>
        <v>10791.5136</v>
      </c>
      <c r="F82" s="46">
        <f>'DEP. Y AMORT.'!F59</f>
        <v>10791.5136</v>
      </c>
      <c r="G82" s="104">
        <f aca="true" t="shared" si="3" ref="G82:G88">SUM(B82:F82)</f>
        <v>62603.568</v>
      </c>
    </row>
    <row r="83" spans="1:7" ht="12.75">
      <c r="A83" s="103" t="s">
        <v>32</v>
      </c>
      <c r="B83" s="46">
        <f>'DEP. Y AMORT.'!B84</f>
        <v>572</v>
      </c>
      <c r="C83" s="46">
        <f>'DEP. Y AMORT.'!C84</f>
        <v>572</v>
      </c>
      <c r="D83" s="46">
        <f>'DEP. Y AMORT.'!D84</f>
        <v>572</v>
      </c>
      <c r="E83" s="46">
        <f>'DEP. Y AMORT.'!E84</f>
        <v>572</v>
      </c>
      <c r="F83" s="46">
        <f>'DEP. Y AMORT.'!F84</f>
        <v>572</v>
      </c>
      <c r="G83" s="104">
        <f>SUM(B83:F83)</f>
        <v>2860</v>
      </c>
    </row>
    <row r="84" spans="1:7" ht="12.75">
      <c r="A84" s="105" t="s">
        <v>76</v>
      </c>
      <c r="B84" s="76">
        <f>SUM(B75:B83)</f>
        <v>223497.73360000004</v>
      </c>
      <c r="C84" s="76">
        <f>SUM(C75:C83)</f>
        <v>224005.98360000004</v>
      </c>
      <c r="D84" s="76">
        <f>SUM(D75:D83)</f>
        <v>224539.64609999998</v>
      </c>
      <c r="E84" s="76">
        <f>SUM(E75:E83)</f>
        <v>222217.99172500003</v>
      </c>
      <c r="F84" s="76">
        <f>SUM(F75:F83)</f>
        <v>222806.35463125003</v>
      </c>
      <c r="G84" s="106">
        <f>SUM(B84:F84)</f>
        <v>1117067.7096562502</v>
      </c>
    </row>
    <row r="85" spans="1:7" ht="12.75">
      <c r="A85" s="105" t="s">
        <v>74</v>
      </c>
      <c r="B85" s="76">
        <f>B84+B73</f>
        <v>343482.73360000004</v>
      </c>
      <c r="C85" s="76">
        <f>C84+C73</f>
        <v>350822.58546000003</v>
      </c>
      <c r="D85" s="76">
        <f>D84+D73</f>
        <v>358585.7481595774</v>
      </c>
      <c r="E85" s="76">
        <f>E84+E73</f>
        <v>363915.2269902677</v>
      </c>
      <c r="F85" s="76">
        <f>F84+F73</f>
        <v>372601.5408899029</v>
      </c>
      <c r="G85" s="106">
        <f t="shared" si="3"/>
        <v>1789407.835099748</v>
      </c>
    </row>
    <row r="86" spans="1:8" ht="12.75">
      <c r="A86" s="105" t="s">
        <v>33</v>
      </c>
      <c r="B86" s="46">
        <f>SUM(B67-B85)</f>
        <v>46700.66539999994</v>
      </c>
      <c r="C86" s="46">
        <f>SUM(C67-C85)</f>
        <v>59914.11426572391</v>
      </c>
      <c r="D86" s="46">
        <f>SUM(D67-D85)</f>
        <v>73786.91796089883</v>
      </c>
      <c r="E86" s="46">
        <f>SUM(E67-E85)</f>
        <v>91233.10169077077</v>
      </c>
      <c r="F86" s="46">
        <f>SUM(F67-F85)</f>
        <v>106522.18115273782</v>
      </c>
      <c r="G86" s="104">
        <f t="shared" si="3"/>
        <v>378156.98047013127</v>
      </c>
      <c r="H86" s="236"/>
    </row>
    <row r="87" spans="1:13" ht="12.75">
      <c r="A87" s="103" t="s">
        <v>34</v>
      </c>
      <c r="B87" s="46">
        <f>B86*0.15</f>
        <v>7005.099809999991</v>
      </c>
      <c r="C87" s="46">
        <f>C86*0.15</f>
        <v>8987.117139858587</v>
      </c>
      <c r="D87" s="46">
        <f>D86*0.15</f>
        <v>11068.037694134824</v>
      </c>
      <c r="E87" s="46">
        <f>E86*0.15</f>
        <v>13684.965253615615</v>
      </c>
      <c r="F87" s="46">
        <f>F86*0.15</f>
        <v>15978.327172910671</v>
      </c>
      <c r="G87" s="104">
        <f>SUM(B87:F87)</f>
        <v>56723.547070519686</v>
      </c>
      <c r="H87" s="21"/>
      <c r="I87" s="21"/>
      <c r="J87" s="21"/>
      <c r="K87" s="21"/>
      <c r="L87" s="21"/>
      <c r="M87" s="21"/>
    </row>
    <row r="88" spans="1:13" ht="12.75">
      <c r="A88" s="105" t="s">
        <v>60</v>
      </c>
      <c r="B88" s="46">
        <f>SUM(B86-B87)</f>
        <v>39695.56558999995</v>
      </c>
      <c r="C88" s="46">
        <f>SUM(C86-C87)</f>
        <v>50926.997125865324</v>
      </c>
      <c r="D88" s="46">
        <f>SUM(D86-D87)</f>
        <v>62718.88026676401</v>
      </c>
      <c r="E88" s="46">
        <f>SUM(E86-E87)</f>
        <v>77548.13643715515</v>
      </c>
      <c r="F88" s="46">
        <f>SUM(F86-F87)</f>
        <v>90543.85397982714</v>
      </c>
      <c r="G88" s="104">
        <f t="shared" si="3"/>
        <v>321433.43339961156</v>
      </c>
      <c r="H88" s="21"/>
      <c r="I88" s="21"/>
      <c r="J88" s="21"/>
      <c r="K88" s="21"/>
      <c r="L88" s="21"/>
      <c r="M88" s="21"/>
    </row>
    <row r="89" spans="1:10" ht="12.75">
      <c r="A89" s="103" t="s">
        <v>37</v>
      </c>
      <c r="B89" s="46">
        <f aca="true" t="shared" si="4" ref="B89:G89">B88*0.25</f>
        <v>9923.891397499987</v>
      </c>
      <c r="C89" s="46">
        <f t="shared" si="4"/>
        <v>12731.749281466331</v>
      </c>
      <c r="D89" s="46">
        <f t="shared" si="4"/>
        <v>15679.720066691003</v>
      </c>
      <c r="E89" s="46">
        <f t="shared" si="4"/>
        <v>19387.034109288787</v>
      </c>
      <c r="F89" s="46">
        <f t="shared" si="4"/>
        <v>22635.963494956784</v>
      </c>
      <c r="G89" s="104">
        <f t="shared" si="4"/>
        <v>80358.35834990289</v>
      </c>
      <c r="J89" s="305"/>
    </row>
    <row r="90" spans="1:10" ht="15">
      <c r="A90" s="117" t="s">
        <v>35</v>
      </c>
      <c r="B90" s="78">
        <f>SUM(B88-B89)</f>
        <v>29771.67419249996</v>
      </c>
      <c r="C90" s="78">
        <f>SUM(C88-C89)</f>
        <v>38195.247844399</v>
      </c>
      <c r="D90" s="78">
        <f>SUM(D88-D89)</f>
        <v>47039.160200073005</v>
      </c>
      <c r="E90" s="78">
        <f>SUM(E88-E89)</f>
        <v>58161.10232786636</v>
      </c>
      <c r="F90" s="78">
        <f>SUM(F88-F89)</f>
        <v>67907.89048487035</v>
      </c>
      <c r="G90" s="120">
        <f>SUM(B90:F90)</f>
        <v>241075.07504970868</v>
      </c>
      <c r="J90" s="305"/>
    </row>
    <row r="91" spans="1:7" ht="13.5" thickBot="1">
      <c r="A91" s="122" t="s">
        <v>36</v>
      </c>
      <c r="B91" s="123">
        <f>SUM(B90/B67)</f>
        <v>0.07630174494558638</v>
      </c>
      <c r="C91" s="123">
        <f>SUM(C90/C67)</f>
        <v>0.09299205030839584</v>
      </c>
      <c r="D91" s="123">
        <f>SUM(D90/D67)</f>
        <v>0.10879309421231088</v>
      </c>
      <c r="E91" s="123">
        <f>SUM(E90/E67)</f>
        <v>0.12778494100244153</v>
      </c>
      <c r="F91" s="123">
        <f>SUM(F90/F67)</f>
        <v>0.14173351758781572</v>
      </c>
      <c r="G91" s="124"/>
    </row>
    <row r="94" spans="1:10" ht="18">
      <c r="A94" s="292" t="s">
        <v>96</v>
      </c>
      <c r="B94" s="292"/>
      <c r="C94" s="292"/>
      <c r="D94" s="292"/>
      <c r="E94" s="292"/>
      <c r="F94" s="292"/>
      <c r="G94" s="292"/>
      <c r="I94" s="304"/>
      <c r="J94" s="300"/>
    </row>
    <row r="95" spans="1:10" ht="12.75">
      <c r="A95" s="70"/>
      <c r="B95" s="176" t="s">
        <v>100</v>
      </c>
      <c r="C95" s="176">
        <v>2009</v>
      </c>
      <c r="D95" s="176">
        <v>2010</v>
      </c>
      <c r="E95" s="176">
        <v>2011</v>
      </c>
      <c r="F95" s="176">
        <v>2012</v>
      </c>
      <c r="G95" s="176">
        <v>2013</v>
      </c>
      <c r="I95" s="304"/>
      <c r="J95" s="301"/>
    </row>
    <row r="96" spans="1:10" ht="12.75">
      <c r="A96" s="173" t="s">
        <v>72</v>
      </c>
      <c r="B96" s="174"/>
      <c r="C96" s="174"/>
      <c r="D96" s="174"/>
      <c r="E96" s="174"/>
      <c r="F96" s="174"/>
      <c r="G96" s="174"/>
      <c r="J96" s="300"/>
    </row>
    <row r="97" spans="1:10" ht="12.75">
      <c r="A97" s="70" t="s">
        <v>20</v>
      </c>
      <c r="B97" s="46"/>
      <c r="C97" s="46">
        <v>600000</v>
      </c>
      <c r="D97" s="46">
        <v>642000</v>
      </c>
      <c r="E97" s="46">
        <v>686940</v>
      </c>
      <c r="F97" s="46">
        <v>735025.8</v>
      </c>
      <c r="G97" s="46">
        <v>786477.606</v>
      </c>
      <c r="J97" s="302"/>
    </row>
    <row r="98" spans="1:10" ht="12.75">
      <c r="A98" s="237" t="s">
        <v>127</v>
      </c>
      <c r="B98" s="241"/>
      <c r="C98" s="241">
        <f>C101-(C101*0.0978)</f>
        <v>1893943.35</v>
      </c>
      <c r="D98" s="241">
        <f>D101-(D101*0.0978)</f>
        <v>1993708.7099046</v>
      </c>
      <c r="E98" s="241">
        <f>E101-(E101*0.0978)</f>
        <v>2098729.3099075346</v>
      </c>
      <c r="F98" s="241">
        <f>F101-(F101*0.0978)</f>
        <v>2209281.9750362244</v>
      </c>
      <c r="G98" s="241">
        <f>G101-(G101*0.0978)</f>
        <v>2325658.1123532318</v>
      </c>
      <c r="J98" s="303"/>
    </row>
    <row r="99" spans="1:7" ht="12.75">
      <c r="A99" s="71" t="s">
        <v>126</v>
      </c>
      <c r="B99" s="76"/>
      <c r="C99" s="76">
        <f>SUM(C97:C98)</f>
        <v>2493943.35</v>
      </c>
      <c r="D99" s="76">
        <f>SUM(D97:D98)</f>
        <v>2635708.7099046</v>
      </c>
      <c r="E99" s="76">
        <f>SUM(E97:E98)</f>
        <v>2785669.3099075346</v>
      </c>
      <c r="F99" s="76">
        <f>SUM(F97:F98)</f>
        <v>2944307.775036224</v>
      </c>
      <c r="G99" s="76">
        <f>SUM(G97:G98)</f>
        <v>3112135.718353232</v>
      </c>
    </row>
    <row r="100" spans="1:7" ht="12.75">
      <c r="A100" s="173" t="s">
        <v>97</v>
      </c>
      <c r="B100" s="174"/>
      <c r="C100" s="174"/>
      <c r="D100" s="174"/>
      <c r="E100" s="174"/>
      <c r="F100" s="174"/>
      <c r="G100" s="174"/>
    </row>
    <row r="101" spans="1:7" ht="12.75">
      <c r="A101" s="70" t="s">
        <v>102</v>
      </c>
      <c r="B101" s="46"/>
      <c r="C101" s="46">
        <f>F$27</f>
        <v>2099250</v>
      </c>
      <c r="D101" s="46">
        <f>F28</f>
        <v>2209830.093</v>
      </c>
      <c r="E101" s="46">
        <f>F29</f>
        <v>2326235.102978868</v>
      </c>
      <c r="F101" s="46">
        <f>F30</f>
        <v>2448771.863263383</v>
      </c>
      <c r="G101" s="46">
        <f>F31</f>
        <v>2577763.3699326445</v>
      </c>
    </row>
    <row r="102" spans="1:7" ht="12.75">
      <c r="A102" s="70" t="s">
        <v>21</v>
      </c>
      <c r="B102" s="46"/>
      <c r="C102" s="250">
        <v>3000</v>
      </c>
      <c r="D102" s="46">
        <v>3000</v>
      </c>
      <c r="E102" s="46">
        <v>3000</v>
      </c>
      <c r="F102" s="46">
        <v>3000</v>
      </c>
      <c r="G102" s="46">
        <v>3000</v>
      </c>
    </row>
    <row r="103" spans="1:7" ht="13.5" thickBot="1">
      <c r="A103" s="70" t="s">
        <v>24</v>
      </c>
      <c r="B103" s="46"/>
      <c r="C103" s="250">
        <v>1800</v>
      </c>
      <c r="D103" s="46">
        <v>1800</v>
      </c>
      <c r="E103" s="46">
        <v>1800</v>
      </c>
      <c r="F103" s="46">
        <v>1800</v>
      </c>
      <c r="G103" s="46">
        <v>1800</v>
      </c>
    </row>
    <row r="104" spans="1:11" ht="12.75">
      <c r="A104" s="71" t="s">
        <v>128</v>
      </c>
      <c r="B104" s="76"/>
      <c r="C104" s="76">
        <f>SUM(C101:C103)</f>
        <v>2104050</v>
      </c>
      <c r="D104" s="76">
        <f>SUM(D101:D103)</f>
        <v>2214630.093</v>
      </c>
      <c r="E104" s="76">
        <f>SUM(E101:E103)</f>
        <v>2331035.102978868</v>
      </c>
      <c r="F104" s="76">
        <f>SUM(F101:F103)</f>
        <v>2453571.863263383</v>
      </c>
      <c r="G104" s="76">
        <f>SUM(G101:G103)</f>
        <v>2582563.3699326445</v>
      </c>
      <c r="I104" s="324">
        <v>679459.2487532203</v>
      </c>
      <c r="J104" s="314">
        <v>0.25259</v>
      </c>
      <c r="K104" s="315" t="s">
        <v>238</v>
      </c>
    </row>
    <row r="105" spans="1:11" ht="12.75">
      <c r="A105" s="71" t="s">
        <v>129</v>
      </c>
      <c r="B105" s="76"/>
      <c r="C105" s="76">
        <f>B86</f>
        <v>46700.66539999994</v>
      </c>
      <c r="D105" s="76">
        <f aca="true" t="shared" si="5" ref="D105:G108">C86</f>
        <v>59914.11426572391</v>
      </c>
      <c r="E105" s="76">
        <f t="shared" si="5"/>
        <v>73786.91796089883</v>
      </c>
      <c r="F105" s="76">
        <f t="shared" si="5"/>
        <v>91233.10169077077</v>
      </c>
      <c r="G105" s="76">
        <f t="shared" si="5"/>
        <v>106522.18115273782</v>
      </c>
      <c r="I105" s="316">
        <v>425090.484325371</v>
      </c>
      <c r="J105" s="317">
        <v>0.1969</v>
      </c>
      <c r="K105" s="318" t="s">
        <v>239</v>
      </c>
    </row>
    <row r="106" spans="1:11" ht="12.75">
      <c r="A106" s="70" t="s">
        <v>22</v>
      </c>
      <c r="B106" s="46"/>
      <c r="C106" s="46">
        <f>B87</f>
        <v>7005.099809999991</v>
      </c>
      <c r="D106" s="46">
        <f t="shared" si="5"/>
        <v>8987.117139858587</v>
      </c>
      <c r="E106" s="46">
        <f t="shared" si="5"/>
        <v>11068.037694134824</v>
      </c>
      <c r="F106" s="46">
        <f t="shared" si="5"/>
        <v>13684.965253615615</v>
      </c>
      <c r="G106" s="46">
        <f t="shared" si="5"/>
        <v>15978.327172910671</v>
      </c>
      <c r="I106" s="319"/>
      <c r="J106" s="320"/>
      <c r="K106" s="318"/>
    </row>
    <row r="107" spans="1:11" ht="12.75">
      <c r="A107" s="71" t="s">
        <v>130</v>
      </c>
      <c r="B107" s="76"/>
      <c r="C107" s="76">
        <f>B88</f>
        <v>39695.56558999995</v>
      </c>
      <c r="D107" s="76">
        <f t="shared" si="5"/>
        <v>50926.997125865324</v>
      </c>
      <c r="E107" s="76">
        <f t="shared" si="5"/>
        <v>62718.88026676401</v>
      </c>
      <c r="F107" s="76">
        <f t="shared" si="5"/>
        <v>77548.13643715515</v>
      </c>
      <c r="G107" s="76">
        <f t="shared" si="5"/>
        <v>90543.85397982714</v>
      </c>
      <c r="I107" s="316">
        <v>85932.13175490382</v>
      </c>
      <c r="J107" s="317">
        <v>0.11832</v>
      </c>
      <c r="K107" s="318" t="s">
        <v>240</v>
      </c>
    </row>
    <row r="108" spans="1:11" ht="13.5" thickBot="1">
      <c r="A108" s="70" t="s">
        <v>23</v>
      </c>
      <c r="B108" s="46"/>
      <c r="C108" s="46">
        <f>B89</f>
        <v>9923.891397499987</v>
      </c>
      <c r="D108" s="46">
        <f t="shared" si="5"/>
        <v>12731.749281466331</v>
      </c>
      <c r="E108" s="46">
        <f t="shared" si="5"/>
        <v>15679.720066691003</v>
      </c>
      <c r="F108" s="46">
        <f t="shared" si="5"/>
        <v>19387.034109288787</v>
      </c>
      <c r="G108" s="46">
        <f t="shared" si="5"/>
        <v>22635.963494956784</v>
      </c>
      <c r="I108" s="321">
        <v>-168436.63267294643</v>
      </c>
      <c r="J108" s="322">
        <v>0.0549</v>
      </c>
      <c r="K108" s="323" t="s">
        <v>241</v>
      </c>
    </row>
    <row r="109" spans="1:7" ht="12.75">
      <c r="A109" s="71" t="s">
        <v>131</v>
      </c>
      <c r="B109" s="76"/>
      <c r="C109" s="76">
        <f>C107-C108</f>
        <v>29771.67419249996</v>
      </c>
      <c r="D109" s="76">
        <f>D107-D108</f>
        <v>38195.247844399</v>
      </c>
      <c r="E109" s="76">
        <f>E107-E108</f>
        <v>47039.160200073005</v>
      </c>
      <c r="F109" s="76">
        <f>F107-F108</f>
        <v>58161.10232786636</v>
      </c>
      <c r="G109" s="76">
        <f>G107-G108</f>
        <v>67907.89048487035</v>
      </c>
    </row>
    <row r="110" spans="1:7" ht="12.75">
      <c r="A110" s="77" t="s">
        <v>185</v>
      </c>
      <c r="B110" s="46"/>
      <c r="C110" s="46">
        <v>13673.5136</v>
      </c>
      <c r="D110" s="46">
        <v>13673.5136</v>
      </c>
      <c r="E110" s="46">
        <v>13673.5136</v>
      </c>
      <c r="F110" s="46">
        <v>10791.5136</v>
      </c>
      <c r="G110" s="46">
        <v>10791.5136</v>
      </c>
    </row>
    <row r="111" spans="1:7" ht="12.75">
      <c r="A111" s="70" t="s">
        <v>132</v>
      </c>
      <c r="B111" s="46"/>
      <c r="C111" s="46">
        <v>572</v>
      </c>
      <c r="D111" s="46">
        <v>572</v>
      </c>
      <c r="E111" s="46">
        <v>572</v>
      </c>
      <c r="F111" s="46">
        <v>572</v>
      </c>
      <c r="G111" s="46">
        <v>572</v>
      </c>
    </row>
    <row r="112" spans="1:7" ht="12.75">
      <c r="A112" s="77" t="s">
        <v>133</v>
      </c>
      <c r="B112" s="46"/>
      <c r="C112" s="46"/>
      <c r="D112" s="46"/>
      <c r="E112" s="46"/>
      <c r="F112" s="46"/>
      <c r="G112" s="46">
        <v>36177.568</v>
      </c>
    </row>
    <row r="113" spans="1:7" ht="25.5">
      <c r="A113" s="218" t="s">
        <v>229</v>
      </c>
      <c r="B113" s="46">
        <v>-1500000</v>
      </c>
      <c r="C113" s="46"/>
      <c r="D113" s="46"/>
      <c r="E113" s="46"/>
      <c r="F113" s="46"/>
      <c r="G113" s="46"/>
    </row>
    <row r="114" spans="1:7" ht="12.75">
      <c r="A114" s="173" t="s">
        <v>110</v>
      </c>
      <c r="B114" s="175">
        <f>B113</f>
        <v>-1500000</v>
      </c>
      <c r="C114" s="175">
        <f>C99-C104+C109+C110+C111+C113</f>
        <v>433910.53779250005</v>
      </c>
      <c r="D114" s="175">
        <f>D99-D104+D109+D110+D111+D113</f>
        <v>473519.3783489991</v>
      </c>
      <c r="E114" s="175">
        <f>E99-E104+E109+E110+E111+E113</f>
        <v>515918.8807287397</v>
      </c>
      <c r="F114" s="175">
        <f>F99-F104+F109+F110+F111+F113</f>
        <v>560260.5277007074</v>
      </c>
      <c r="G114" s="175">
        <f>G99-G104+G109+G110+G111+G113-G112</f>
        <v>572666.1845054578</v>
      </c>
    </row>
    <row r="115" spans="1:7" ht="12.75">
      <c r="A115" s="178" t="s">
        <v>98</v>
      </c>
      <c r="B115" s="179">
        <f>B124</f>
        <v>425090.484325371</v>
      </c>
      <c r="C115" s="5"/>
      <c r="D115" s="5"/>
      <c r="E115" s="5"/>
      <c r="F115" s="5"/>
      <c r="G115" s="5"/>
    </row>
    <row r="116" spans="1:7" ht="12.75">
      <c r="A116" s="178" t="s">
        <v>99</v>
      </c>
      <c r="B116" s="179">
        <f>IRR(B114:G114)*100</f>
        <v>19.692635910998842</v>
      </c>
      <c r="C116" s="5"/>
      <c r="D116" s="5"/>
      <c r="E116" s="5"/>
      <c r="F116" s="5"/>
      <c r="G116" s="5"/>
    </row>
    <row r="118" ht="13.5" thickBot="1"/>
    <row r="119" spans="1:7" ht="12.75">
      <c r="A119" s="293" t="s">
        <v>114</v>
      </c>
      <c r="B119" s="294"/>
      <c r="C119" s="294"/>
      <c r="D119" s="294"/>
      <c r="E119" s="294"/>
      <c r="F119" s="294"/>
      <c r="G119" s="295"/>
    </row>
    <row r="120" spans="1:7" ht="12.75">
      <c r="A120" s="70" t="s">
        <v>115</v>
      </c>
      <c r="B120" s="170">
        <v>0.0974</v>
      </c>
      <c r="C120" s="70"/>
      <c r="D120" s="70"/>
      <c r="E120" s="70"/>
      <c r="F120" s="70"/>
      <c r="G120" s="70"/>
    </row>
    <row r="121" spans="1:7" ht="12.75">
      <c r="A121" s="70" t="s">
        <v>116</v>
      </c>
      <c r="B121" s="71">
        <v>0</v>
      </c>
      <c r="C121" s="71">
        <v>1</v>
      </c>
      <c r="D121" s="71">
        <v>2</v>
      </c>
      <c r="E121" s="71">
        <v>3</v>
      </c>
      <c r="F121" s="71">
        <v>4</v>
      </c>
      <c r="G121" s="71">
        <v>5</v>
      </c>
    </row>
    <row r="122" spans="1:7" ht="12.75">
      <c r="A122" s="70" t="s">
        <v>117</v>
      </c>
      <c r="B122" s="46">
        <f aca="true" t="shared" si="6" ref="B122:G122">B114</f>
        <v>-1500000</v>
      </c>
      <c r="C122" s="46">
        <f t="shared" si="6"/>
        <v>433910.53779250005</v>
      </c>
      <c r="D122" s="46">
        <f t="shared" si="6"/>
        <v>473519.3783489991</v>
      </c>
      <c r="E122" s="46">
        <f t="shared" si="6"/>
        <v>515918.8807287397</v>
      </c>
      <c r="F122" s="46">
        <f t="shared" si="6"/>
        <v>560260.5277007074</v>
      </c>
      <c r="G122" s="46">
        <f t="shared" si="6"/>
        <v>572666.1845054578</v>
      </c>
    </row>
    <row r="123" spans="1:7" ht="12.75">
      <c r="A123" s="71" t="s">
        <v>118</v>
      </c>
      <c r="B123" s="76">
        <f>(B122)/(1+$B$29)^B121</f>
        <v>-1500000</v>
      </c>
      <c r="C123" s="76">
        <f>(C122)/(1+$B$120)^C121</f>
        <v>395398.7040208676</v>
      </c>
      <c r="D123" s="76">
        <f>(D122)/(1+$B$120)^D121</f>
        <v>393194.8719165518</v>
      </c>
      <c r="E123" s="76">
        <f>(E122)/(1+$B$120)^E121</f>
        <v>390379.09610988124</v>
      </c>
      <c r="F123" s="76">
        <f>(F122)/(1+$B$120)^F121</f>
        <v>386304.88724277465</v>
      </c>
      <c r="G123" s="76">
        <f>(G122)/(1+$B$120)^G121</f>
        <v>359812.92503529554</v>
      </c>
    </row>
    <row r="124" spans="1:7" ht="12.75">
      <c r="A124" s="171" t="s">
        <v>98</v>
      </c>
      <c r="B124" s="172">
        <f>C123+D123+E123+F123+G123+H123+I123+J123+K123+L123+B123</f>
        <v>425090.484325371</v>
      </c>
      <c r="C124" s="46"/>
      <c r="D124" s="46"/>
      <c r="E124" s="46"/>
      <c r="F124" s="46"/>
      <c r="G124" s="46"/>
    </row>
    <row r="136" spans="1:2" ht="12.75">
      <c r="A136" s="19" t="s">
        <v>3</v>
      </c>
      <c r="B136" s="19"/>
    </row>
    <row r="137" spans="1:2" ht="12.75">
      <c r="A137" s="20"/>
      <c r="B137" s="20"/>
    </row>
    <row r="138" spans="1:2" ht="12.75">
      <c r="A138" s="20" t="s">
        <v>3</v>
      </c>
      <c r="B138" s="20"/>
    </row>
    <row r="139" spans="1:2" ht="12.75">
      <c r="A139" s="20"/>
      <c r="B139" s="20"/>
    </row>
    <row r="140" spans="1:2" ht="12.75">
      <c r="A140" s="20" t="s">
        <v>3</v>
      </c>
      <c r="B140" s="20"/>
    </row>
    <row r="141" spans="1:2" ht="12.75">
      <c r="A141" s="20" t="s">
        <v>3</v>
      </c>
      <c r="B141" s="20"/>
    </row>
  </sheetData>
  <sheetProtection/>
  <mergeCells count="9">
    <mergeCell ref="A61:G61"/>
    <mergeCell ref="A94:G94"/>
    <mergeCell ref="A119:G119"/>
    <mergeCell ref="A3:C3"/>
    <mergeCell ref="A18:F18"/>
    <mergeCell ref="B24:B26"/>
    <mergeCell ref="C24:C26"/>
    <mergeCell ref="A57:H57"/>
    <mergeCell ref="A60:G60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V141"/>
  <sheetViews>
    <sheetView zoomScalePageLayoutView="0" workbookViewId="0" topLeftCell="A88">
      <selection activeCell="J141" sqref="J141"/>
    </sheetView>
  </sheetViews>
  <sheetFormatPr defaultColWidth="11.421875" defaultRowHeight="12.75"/>
  <cols>
    <col min="1" max="1" width="31.140625" style="0" customWidth="1"/>
    <col min="2" max="2" width="17.7109375" style="0" customWidth="1"/>
    <col min="3" max="3" width="12.57421875" style="0" customWidth="1"/>
    <col min="4" max="4" width="13.140625" style="0" customWidth="1"/>
    <col min="5" max="5" width="14.7109375" style="0" customWidth="1"/>
    <col min="6" max="6" width="12.00390625" style="0" customWidth="1"/>
    <col min="7" max="7" width="12.421875" style="0" customWidth="1"/>
    <col min="8" max="8" width="11.7109375" style="0" bestFit="1" customWidth="1"/>
    <col min="9" max="9" width="13.8515625" style="0" customWidth="1"/>
    <col min="10" max="10" width="15.57421875" style="0" customWidth="1"/>
    <col min="11" max="11" width="13.00390625" style="0" customWidth="1"/>
    <col min="12" max="12" width="12.140625" style="0" customWidth="1"/>
    <col min="13" max="13" width="11.7109375" style="0" bestFit="1" customWidth="1"/>
    <col min="14" max="14" width="11.7109375" style="0" customWidth="1"/>
    <col min="15" max="15" width="11.7109375" style="0" bestFit="1" customWidth="1"/>
  </cols>
  <sheetData>
    <row r="2" spans="1:7" ht="15" thickBot="1">
      <c r="A2" s="8" t="s">
        <v>3</v>
      </c>
      <c r="B2" s="8"/>
      <c r="C2" s="8"/>
      <c r="D2" s="26"/>
      <c r="E2" s="26"/>
      <c r="F2" s="26"/>
      <c r="G2" s="8"/>
    </row>
    <row r="3" spans="1:6" ht="12.75">
      <c r="A3" s="280" t="s">
        <v>65</v>
      </c>
      <c r="B3" s="281"/>
      <c r="C3" s="282"/>
      <c r="D3" s="27"/>
      <c r="E3" s="27"/>
      <c r="F3" s="27"/>
    </row>
    <row r="4" spans="1:6" s="185" customFormat="1" ht="14.25">
      <c r="A4" s="231" t="s">
        <v>186</v>
      </c>
      <c r="B4" s="193"/>
      <c r="C4" s="194">
        <v>8000</v>
      </c>
      <c r="D4" s="27"/>
      <c r="E4" s="27"/>
      <c r="F4" s="27"/>
    </row>
    <row r="5" spans="1:3" ht="12.75" customHeight="1">
      <c r="A5" s="28" t="s">
        <v>187</v>
      </c>
      <c r="B5" s="24"/>
      <c r="C5" s="29">
        <v>22000</v>
      </c>
    </row>
    <row r="6" spans="1:3" ht="13.5" customHeight="1">
      <c r="A6" s="186" t="s">
        <v>190</v>
      </c>
      <c r="B6" s="25"/>
      <c r="C6" s="30">
        <v>36671.22</v>
      </c>
    </row>
    <row r="7" spans="1:3" ht="14.25">
      <c r="A7" s="31" t="s">
        <v>189</v>
      </c>
      <c r="B7" s="22"/>
      <c r="C7" s="32"/>
    </row>
    <row r="8" spans="1:3" ht="14.25">
      <c r="A8" s="28" t="s">
        <v>188</v>
      </c>
      <c r="B8" s="24"/>
      <c r="C8" s="29">
        <v>36780</v>
      </c>
    </row>
    <row r="9" spans="1:3" ht="13.5" thickBot="1">
      <c r="A9" s="33" t="s">
        <v>15</v>
      </c>
      <c r="B9" s="88"/>
      <c r="C9" s="34">
        <f>C5+C6+C8</f>
        <v>95451.22</v>
      </c>
    </row>
    <row r="10" spans="1:2" ht="12.75">
      <c r="A10" s="20"/>
      <c r="B10" s="20"/>
    </row>
    <row r="11" spans="1:22" ht="14.25">
      <c r="A11" s="8" t="s">
        <v>183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5" thickBo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5" ht="13.5" thickBot="1">
      <c r="A13" s="35" t="s">
        <v>66</v>
      </c>
      <c r="B13" s="89"/>
      <c r="C13" s="187">
        <v>1500000</v>
      </c>
      <c r="E13" s="5"/>
    </row>
    <row r="14" spans="1:5" ht="12.75">
      <c r="A14" s="20"/>
      <c r="B14" s="20"/>
      <c r="C14" s="17"/>
      <c r="D14" s="23"/>
      <c r="E14" s="5"/>
    </row>
    <row r="15" spans="1:5" ht="12.75">
      <c r="A15" s="20"/>
      <c r="B15" s="20"/>
      <c r="E15" s="5"/>
    </row>
    <row r="16" spans="1:4" ht="18">
      <c r="A16" s="180" t="s">
        <v>230</v>
      </c>
      <c r="B16" s="10"/>
      <c r="C16" s="10"/>
      <c r="D16" s="10"/>
    </row>
    <row r="17" spans="1:3" ht="15.75" thickBot="1">
      <c r="A17" s="9"/>
      <c r="B17" s="9"/>
      <c r="C17" s="10"/>
    </row>
    <row r="18" spans="1:6" ht="13.5" thickBot="1">
      <c r="A18" s="283" t="s">
        <v>68</v>
      </c>
      <c r="B18" s="284"/>
      <c r="C18" s="284"/>
      <c r="D18" s="284"/>
      <c r="E18" s="284"/>
      <c r="F18" s="285"/>
    </row>
    <row r="19" spans="1:7" ht="14.25">
      <c r="A19" s="37" t="s">
        <v>0</v>
      </c>
      <c r="B19" s="38"/>
      <c r="C19" s="38"/>
      <c r="D19" s="38"/>
      <c r="E19" s="38"/>
      <c r="F19" s="39">
        <v>450</v>
      </c>
      <c r="G19" s="1" t="s">
        <v>3</v>
      </c>
    </row>
    <row r="20" spans="1:7" ht="14.25">
      <c r="A20" s="40" t="s">
        <v>4</v>
      </c>
      <c r="B20" s="36"/>
      <c r="C20" s="36"/>
      <c r="D20" s="36"/>
      <c r="E20" s="36"/>
      <c r="F20" s="260">
        <v>0.026</v>
      </c>
      <c r="G20" s="2" t="s">
        <v>3</v>
      </c>
    </row>
    <row r="21" spans="1:7" ht="14.25">
      <c r="A21" s="40" t="s">
        <v>1</v>
      </c>
      <c r="B21" s="36"/>
      <c r="C21" s="36"/>
      <c r="D21" s="36"/>
      <c r="E21" s="36"/>
      <c r="F21" s="42" t="s">
        <v>2</v>
      </c>
      <c r="G21" s="3" t="s">
        <v>3</v>
      </c>
    </row>
    <row r="22" spans="1:7" ht="15.75" thickBot="1">
      <c r="A22" s="43" t="s">
        <v>67</v>
      </c>
      <c r="B22" s="44"/>
      <c r="C22" s="44"/>
      <c r="D22" s="44"/>
      <c r="E22" s="44"/>
      <c r="F22" s="45">
        <v>0.026</v>
      </c>
      <c r="G22" s="2" t="s">
        <v>3</v>
      </c>
    </row>
    <row r="23" ht="12.75">
      <c r="G23" s="2" t="s">
        <v>3</v>
      </c>
    </row>
    <row r="24" spans="1:9" ht="12.75">
      <c r="A24" s="53"/>
      <c r="B24" s="286" t="s">
        <v>92</v>
      </c>
      <c r="C24" s="286" t="s">
        <v>91</v>
      </c>
      <c r="D24" s="54" t="s">
        <v>93</v>
      </c>
      <c r="E24" s="55" t="s">
        <v>94</v>
      </c>
      <c r="F24" s="54" t="s">
        <v>8</v>
      </c>
      <c r="G24" s="56"/>
      <c r="H24" s="57">
        <v>0.02</v>
      </c>
      <c r="I24" s="58"/>
    </row>
    <row r="25" spans="1:9" ht="12.75">
      <c r="A25" s="59" t="s">
        <v>3</v>
      </c>
      <c r="B25" s="287"/>
      <c r="C25" s="287"/>
      <c r="D25" s="60" t="s">
        <v>17</v>
      </c>
      <c r="E25" s="61" t="s">
        <v>95</v>
      </c>
      <c r="F25" s="60" t="s">
        <v>9</v>
      </c>
      <c r="G25" s="61" t="s">
        <v>13</v>
      </c>
      <c r="H25" s="60" t="s">
        <v>56</v>
      </c>
      <c r="I25" s="62" t="s">
        <v>61</v>
      </c>
    </row>
    <row r="26" spans="1:9" ht="12.75">
      <c r="A26" s="63" t="s">
        <v>5</v>
      </c>
      <c r="B26" s="288"/>
      <c r="C26" s="288"/>
      <c r="D26" s="64" t="s">
        <v>6</v>
      </c>
      <c r="E26" s="65" t="s">
        <v>7</v>
      </c>
      <c r="F26" s="64" t="s">
        <v>10</v>
      </c>
      <c r="G26" s="65" t="s">
        <v>17</v>
      </c>
      <c r="H26" s="64" t="s">
        <v>57</v>
      </c>
      <c r="I26" s="66" t="s">
        <v>62</v>
      </c>
    </row>
    <row r="27" spans="1:9" s="51" customFormat="1" ht="12">
      <c r="A27" s="47">
        <v>2009</v>
      </c>
      <c r="B27" s="48">
        <v>933</v>
      </c>
      <c r="C27" s="47">
        <v>5</v>
      </c>
      <c r="D27" s="49">
        <v>450</v>
      </c>
      <c r="E27" s="49">
        <f>D27*C27</f>
        <v>2250</v>
      </c>
      <c r="F27" s="49">
        <f>B27*E27</f>
        <v>2099250</v>
      </c>
      <c r="G27" s="50">
        <f>F27*0.18</f>
        <v>377865</v>
      </c>
      <c r="H27" s="50">
        <f>F27*2/100</f>
        <v>41985</v>
      </c>
      <c r="I27" s="212">
        <f>F27*16.78/100*6/100</f>
        <v>21135.249000000003</v>
      </c>
    </row>
    <row r="28" spans="1:9" s="51" customFormat="1" ht="12">
      <c r="A28" s="47">
        <v>2010</v>
      </c>
      <c r="B28" s="52">
        <f>B27*2.6/100+B27</f>
        <v>957.258</v>
      </c>
      <c r="C28" s="52">
        <v>5</v>
      </c>
      <c r="D28" s="49">
        <f>D27*F20+D27</f>
        <v>461.7</v>
      </c>
      <c r="E28" s="49">
        <f>D28*C28</f>
        <v>2308.5</v>
      </c>
      <c r="F28" s="49">
        <f>(E28*B28)</f>
        <v>2209830.093</v>
      </c>
      <c r="G28" s="50">
        <f>F28*0.18</f>
        <v>397769.41673999996</v>
      </c>
      <c r="H28" s="50">
        <f>F28*2/100</f>
        <v>44196.601859999995</v>
      </c>
      <c r="I28" s="212">
        <f>F28*16.78/100*6/100</f>
        <v>22248.569376324</v>
      </c>
    </row>
    <row r="29" spans="1:9" s="51" customFormat="1" ht="12">
      <c r="A29" s="47">
        <v>2011</v>
      </c>
      <c r="B29" s="52">
        <f>B28*2.6/100+B28</f>
        <v>982.146708</v>
      </c>
      <c r="C29" s="52">
        <v>5</v>
      </c>
      <c r="D29" s="49">
        <f>D28*F20+D28</f>
        <v>473.7042</v>
      </c>
      <c r="E29" s="49">
        <f>D29*C29</f>
        <v>2368.521</v>
      </c>
      <c r="F29" s="49">
        <f>(E29*B29)</f>
        <v>2326235.102978868</v>
      </c>
      <c r="G29" s="50">
        <f>F29*0.18</f>
        <v>418722.3185361962</v>
      </c>
      <c r="H29" s="50">
        <f>F29*2/100</f>
        <v>46524.70205957736</v>
      </c>
      <c r="I29" s="212">
        <f>F29*16.78/100*6/100</f>
        <v>23420.535016791247</v>
      </c>
    </row>
    <row r="30" spans="1:9" s="51" customFormat="1" ht="12">
      <c r="A30" s="47">
        <v>2012</v>
      </c>
      <c r="B30" s="52">
        <f>B29*2.6/100+B29</f>
        <v>1007.682522408</v>
      </c>
      <c r="C30" s="52">
        <v>5</v>
      </c>
      <c r="D30" s="49">
        <f>D29*F20+D29</f>
        <v>486.0205092</v>
      </c>
      <c r="E30" s="49">
        <f>D30*C30</f>
        <v>2430.102546</v>
      </c>
      <c r="F30" s="49">
        <f>(E30*B30)</f>
        <v>2448771.863263383</v>
      </c>
      <c r="G30" s="50">
        <f>F30*0.18</f>
        <v>440778.93538740894</v>
      </c>
      <c r="H30" s="50">
        <f>F30*2/100</f>
        <v>48975.43726526766</v>
      </c>
      <c r="I30" s="212">
        <f>F30*16.78/100*6/100</f>
        <v>24654.23511933574</v>
      </c>
    </row>
    <row r="31" spans="1:9" s="51" customFormat="1" ht="12">
      <c r="A31" s="47">
        <v>2013</v>
      </c>
      <c r="B31" s="52">
        <f>B30*2.6/100+B30</f>
        <v>1033.882267990608</v>
      </c>
      <c r="C31" s="52">
        <v>5</v>
      </c>
      <c r="D31" s="49">
        <f>D30*F20+D30</f>
        <v>498.6570424392</v>
      </c>
      <c r="E31" s="49">
        <f>D31*C31</f>
        <v>2493.285212196</v>
      </c>
      <c r="F31" s="49">
        <f>(E31*B31)</f>
        <v>2577763.3699326445</v>
      </c>
      <c r="G31" s="50">
        <f>F31*0.18</f>
        <v>463997.406587876</v>
      </c>
      <c r="H31" s="50">
        <f>F31*2/100</f>
        <v>51555.26739865289</v>
      </c>
      <c r="I31" s="212">
        <f>F31*16.78/100*6/100</f>
        <v>25952.92160848186</v>
      </c>
    </row>
    <row r="32" spans="1:9" s="51" customFormat="1" ht="12">
      <c r="A32" s="67" t="s">
        <v>69</v>
      </c>
      <c r="B32" s="68"/>
      <c r="C32" s="69"/>
      <c r="D32" s="68"/>
      <c r="E32" s="68"/>
      <c r="F32" s="83">
        <f>SUM(F27:F31)</f>
        <v>11661850.429174896</v>
      </c>
      <c r="G32" s="83">
        <f>SUM(G27:G31)</f>
        <v>2099133.077251481</v>
      </c>
      <c r="H32" s="83">
        <f>SUM(H27:H31)</f>
        <v>233237.0085834979</v>
      </c>
      <c r="I32" s="83">
        <f>SUM(I27:I31)</f>
        <v>117411.51012093284</v>
      </c>
    </row>
    <row r="33" spans="4:8" ht="12.75">
      <c r="D33" s="4"/>
      <c r="G33" s="5"/>
      <c r="H33" s="5"/>
    </row>
    <row r="34" spans="1:8" ht="14.25">
      <c r="A34" s="7" t="s">
        <v>18</v>
      </c>
      <c r="B34" s="7"/>
      <c r="C34" s="7"/>
      <c r="D34" s="11"/>
      <c r="E34" s="7"/>
      <c r="F34" s="7"/>
      <c r="G34" s="12"/>
      <c r="H34" s="12"/>
    </row>
    <row r="35" spans="1:8" ht="14.25">
      <c r="A35" s="7" t="s">
        <v>103</v>
      </c>
      <c r="B35" s="7"/>
      <c r="C35" s="7"/>
      <c r="D35" s="11"/>
      <c r="E35" s="7"/>
      <c r="F35" s="7"/>
      <c r="G35" s="12"/>
      <c r="H35" s="12"/>
    </row>
    <row r="36" spans="1:8" ht="14.25">
      <c r="A36" s="7" t="s">
        <v>59</v>
      </c>
      <c r="B36" s="7"/>
      <c r="C36" s="7"/>
      <c r="D36" s="11"/>
      <c r="E36" s="7"/>
      <c r="F36" s="7"/>
      <c r="G36" s="12"/>
      <c r="H36" s="12"/>
    </row>
    <row r="37" spans="1:8" ht="15">
      <c r="A37" s="8" t="s">
        <v>184</v>
      </c>
      <c r="B37" s="7"/>
      <c r="C37" s="7"/>
      <c r="D37" s="11"/>
      <c r="E37" s="7"/>
      <c r="F37" s="7"/>
      <c r="G37" s="235"/>
      <c r="H37" s="235"/>
    </row>
    <row r="38" spans="1:8" ht="14.25">
      <c r="A38" s="7" t="s">
        <v>58</v>
      </c>
      <c r="B38" s="7"/>
      <c r="C38" s="7"/>
      <c r="D38" s="11"/>
      <c r="E38" s="7"/>
      <c r="F38" s="7"/>
      <c r="G38" s="12"/>
      <c r="H38" s="12"/>
    </row>
    <row r="39" spans="1:8" ht="14.25">
      <c r="A39" s="7"/>
      <c r="B39" s="7"/>
      <c r="C39" s="7"/>
      <c r="D39" s="11"/>
      <c r="E39" s="7"/>
      <c r="F39" s="7"/>
      <c r="G39" s="12"/>
      <c r="H39" s="12"/>
    </row>
    <row r="41" spans="1:4" ht="18">
      <c r="A41" s="180" t="s">
        <v>11</v>
      </c>
      <c r="B41" s="10"/>
      <c r="C41" s="10"/>
      <c r="D41" s="10"/>
    </row>
    <row r="43" spans="1:8" ht="14.25">
      <c r="A43" s="7" t="s">
        <v>16</v>
      </c>
      <c r="B43" s="7"/>
      <c r="C43" s="7"/>
      <c r="D43" s="7"/>
      <c r="E43" s="7"/>
      <c r="F43" s="7"/>
      <c r="G43" s="7"/>
      <c r="H43" s="7"/>
    </row>
    <row r="44" spans="1:8" ht="14.25">
      <c r="A44" s="7" t="s">
        <v>113</v>
      </c>
      <c r="B44" s="7"/>
      <c r="C44" s="7"/>
      <c r="D44" s="7"/>
      <c r="E44" s="18">
        <v>0.07</v>
      </c>
      <c r="F44" s="7"/>
      <c r="G44" s="7"/>
      <c r="H44" s="7"/>
    </row>
    <row r="45" spans="1:6" ht="14.25">
      <c r="A45" s="7" t="s">
        <v>63</v>
      </c>
      <c r="B45" s="7"/>
      <c r="C45" s="7" t="s">
        <v>3</v>
      </c>
      <c r="D45" s="7"/>
      <c r="E45" s="7"/>
      <c r="F45" s="7"/>
    </row>
    <row r="47" spans="1:4" ht="12.75">
      <c r="A47" s="72" t="s">
        <v>5</v>
      </c>
      <c r="B47" s="72" t="s">
        <v>12</v>
      </c>
      <c r="C47" s="72" t="s">
        <v>14</v>
      </c>
      <c r="D47" s="72" t="s">
        <v>13</v>
      </c>
    </row>
    <row r="48" spans="1:4" s="51" customFormat="1" ht="12">
      <c r="A48" s="47">
        <v>2009</v>
      </c>
      <c r="B48" s="49">
        <v>600000</v>
      </c>
      <c r="C48" s="47">
        <v>6</v>
      </c>
      <c r="D48" s="49">
        <f>B48*C48/100</f>
        <v>36000</v>
      </c>
    </row>
    <row r="49" spans="1:4" s="51" customFormat="1" ht="12">
      <c r="A49" s="47">
        <v>2010</v>
      </c>
      <c r="B49" s="49">
        <f>B48*E44+B48</f>
        <v>642000</v>
      </c>
      <c r="C49" s="47">
        <v>6</v>
      </c>
      <c r="D49" s="49">
        <f>B49*C49/100</f>
        <v>38520</v>
      </c>
    </row>
    <row r="50" spans="1:4" s="51" customFormat="1" ht="12">
      <c r="A50" s="47">
        <v>2011</v>
      </c>
      <c r="B50" s="49">
        <f>B49*E44+B49</f>
        <v>686940</v>
      </c>
      <c r="C50" s="47">
        <v>6</v>
      </c>
      <c r="D50" s="49">
        <f>B50*C50/100</f>
        <v>41216.4</v>
      </c>
    </row>
    <row r="51" spans="1:4" s="51" customFormat="1" ht="12">
      <c r="A51" s="47">
        <v>2012</v>
      </c>
      <c r="B51" s="49">
        <f>B50*E44+B50</f>
        <v>735025.8</v>
      </c>
      <c r="C51" s="47">
        <v>6</v>
      </c>
      <c r="D51" s="49">
        <f>B51*C51/100</f>
        <v>44101.54800000001</v>
      </c>
    </row>
    <row r="52" spans="1:5" s="51" customFormat="1" ht="12">
      <c r="A52" s="47">
        <v>2013</v>
      </c>
      <c r="B52" s="49">
        <f>B51*E44+B51</f>
        <v>786477.606</v>
      </c>
      <c r="C52" s="47">
        <v>6</v>
      </c>
      <c r="D52" s="49">
        <f>B52*C52/100</f>
        <v>47188.65636</v>
      </c>
      <c r="E52" s="51" t="s">
        <v>228</v>
      </c>
    </row>
    <row r="53" spans="1:4" s="51" customFormat="1" ht="12">
      <c r="A53" s="73" t="s">
        <v>15</v>
      </c>
      <c r="B53" s="74">
        <f>SUM(B48:B52)</f>
        <v>3450443.406</v>
      </c>
      <c r="C53" s="75"/>
      <c r="D53" s="74">
        <f>SUM(D48:D52)</f>
        <v>207026.60436</v>
      </c>
    </row>
    <row r="54" spans="3:5" ht="12.75">
      <c r="C54" s="6"/>
      <c r="E54" s="6"/>
    </row>
    <row r="55" spans="1:5" ht="12.75">
      <c r="A55" s="16"/>
      <c r="B55" s="16"/>
      <c r="C55" s="16"/>
      <c r="D55" s="16"/>
      <c r="E55" s="16"/>
    </row>
    <row r="56" ht="12.75">
      <c r="D56" s="14"/>
    </row>
    <row r="57" spans="1:8" ht="19.5">
      <c r="A57" s="279" t="s">
        <v>64</v>
      </c>
      <c r="B57" s="279"/>
      <c r="C57" s="279"/>
      <c r="D57" s="279"/>
      <c r="E57" s="279"/>
      <c r="F57" s="279"/>
      <c r="G57" s="279"/>
      <c r="H57" s="279"/>
    </row>
    <row r="58" spans="1:8" ht="19.5">
      <c r="A58" s="184"/>
      <c r="B58" s="184"/>
      <c r="C58" s="184"/>
      <c r="D58" s="184"/>
      <c r="E58" s="184"/>
      <c r="F58" s="184"/>
      <c r="G58" s="184"/>
      <c r="H58" s="184"/>
    </row>
    <row r="59" spans="9:14" ht="13.5" thickBot="1">
      <c r="I59" s="16"/>
      <c r="J59" s="81"/>
      <c r="K59" s="81"/>
      <c r="L59" s="81"/>
      <c r="M59" s="81"/>
      <c r="N59" s="81"/>
    </row>
    <row r="60" spans="1:14" ht="18">
      <c r="A60" s="289" t="s">
        <v>70</v>
      </c>
      <c r="B60" s="290"/>
      <c r="C60" s="290"/>
      <c r="D60" s="290"/>
      <c r="E60" s="290"/>
      <c r="F60" s="290"/>
      <c r="G60" s="291"/>
      <c r="H60" s="188"/>
      <c r="I60" s="16"/>
      <c r="J60" s="81"/>
      <c r="K60" s="81"/>
      <c r="L60" s="81"/>
      <c r="M60" s="81"/>
      <c r="N60" s="81"/>
    </row>
    <row r="61" spans="1:14" ht="12.75">
      <c r="A61" s="276" t="s">
        <v>77</v>
      </c>
      <c r="B61" s="277"/>
      <c r="C61" s="277"/>
      <c r="D61" s="277"/>
      <c r="E61" s="277"/>
      <c r="F61" s="277"/>
      <c r="G61" s="278"/>
      <c r="H61" s="189"/>
      <c r="I61" s="16"/>
      <c r="J61" s="16"/>
      <c r="K61" s="16"/>
      <c r="L61" s="16"/>
      <c r="M61" s="16"/>
      <c r="N61" s="16"/>
    </row>
    <row r="62" spans="1:14" ht="12.75">
      <c r="A62" s="114"/>
      <c r="B62" s="65"/>
      <c r="C62" s="65"/>
      <c r="D62" s="65"/>
      <c r="E62" s="65"/>
      <c r="F62" s="65"/>
      <c r="G62" s="115"/>
      <c r="H62" s="190"/>
      <c r="I62" s="16"/>
      <c r="J62" s="16"/>
      <c r="K62" s="16"/>
      <c r="L62" s="16"/>
      <c r="M62" s="16"/>
      <c r="N62" s="16"/>
    </row>
    <row r="63" spans="1:13" ht="12.75">
      <c r="A63" s="103"/>
      <c r="B63" s="80">
        <v>2009</v>
      </c>
      <c r="C63" s="80">
        <v>2010</v>
      </c>
      <c r="D63" s="80">
        <v>2011</v>
      </c>
      <c r="E63" s="80">
        <v>2012</v>
      </c>
      <c r="F63" s="80">
        <v>2013</v>
      </c>
      <c r="G63" s="116" t="s">
        <v>8</v>
      </c>
      <c r="H63" s="16"/>
      <c r="I63" s="16"/>
      <c r="J63" s="16"/>
      <c r="K63" s="16"/>
      <c r="L63" s="16"/>
      <c r="M63" s="16"/>
    </row>
    <row r="64" spans="1:13" ht="15">
      <c r="A64" s="117" t="s">
        <v>72</v>
      </c>
      <c r="B64" s="79"/>
      <c r="C64" s="79"/>
      <c r="D64" s="79"/>
      <c r="E64" s="79"/>
      <c r="F64" s="79"/>
      <c r="G64" s="118"/>
      <c r="H64" s="16"/>
      <c r="I64" s="16"/>
      <c r="J64" s="16"/>
      <c r="K64" s="16"/>
      <c r="L64" s="16"/>
      <c r="M64" s="16"/>
    </row>
    <row r="65" spans="1:13" ht="12.75">
      <c r="A65" s="245" t="s">
        <v>25</v>
      </c>
      <c r="B65" s="241">
        <f>G27</f>
        <v>377865</v>
      </c>
      <c r="C65" s="241">
        <f>G28</f>
        <v>397769.41673999996</v>
      </c>
      <c r="D65" s="241">
        <f>G29</f>
        <v>418722.3185361962</v>
      </c>
      <c r="E65" s="241">
        <f>G30</f>
        <v>440778.93538740894</v>
      </c>
      <c r="F65" s="241">
        <f>G31</f>
        <v>463997.406587876</v>
      </c>
      <c r="G65" s="246">
        <f>SUM(B65:F65)</f>
        <v>2099133.077251481</v>
      </c>
      <c r="H65" s="232"/>
      <c r="I65" s="16"/>
      <c r="J65" s="16"/>
      <c r="K65" s="16"/>
      <c r="L65" s="16"/>
      <c r="M65" s="16"/>
    </row>
    <row r="66" spans="1:13" ht="12.75">
      <c r="A66" s="119" t="s">
        <v>26</v>
      </c>
      <c r="B66" s="46">
        <f>I27</f>
        <v>21135.249000000003</v>
      </c>
      <c r="C66" s="46">
        <f>I28</f>
        <v>22248.569376324</v>
      </c>
      <c r="D66" s="46">
        <f>I29</f>
        <v>23420.535016791247</v>
      </c>
      <c r="E66" s="46">
        <f>I30</f>
        <v>24654.23511933574</v>
      </c>
      <c r="F66" s="46">
        <f>I31</f>
        <v>25952.92160848186</v>
      </c>
      <c r="G66" s="104">
        <f>SUM(B66:F66)</f>
        <v>117411.51012093284</v>
      </c>
      <c r="H66" s="16"/>
      <c r="I66" s="168"/>
      <c r="J66" s="181"/>
      <c r="K66" s="16"/>
      <c r="L66" s="16"/>
      <c r="M66" s="16"/>
    </row>
    <row r="67" spans="1:13" ht="12.75">
      <c r="A67" s="105" t="s">
        <v>73</v>
      </c>
      <c r="B67" s="76">
        <f>SUM(B65:B66)</f>
        <v>399000.249</v>
      </c>
      <c r="C67" s="76">
        <f>SUM(C65:C66)</f>
        <v>420017.98611632397</v>
      </c>
      <c r="D67" s="76">
        <f>SUM(D65:D66)</f>
        <v>442142.85355298745</v>
      </c>
      <c r="E67" s="76">
        <f>SUM(E65:E66)</f>
        <v>465433.1705067447</v>
      </c>
      <c r="F67" s="76">
        <f>SUM(F65:F66)</f>
        <v>489950.3281963578</v>
      </c>
      <c r="G67" s="106">
        <f>SUM(B67:F67)</f>
        <v>2216544.587372414</v>
      </c>
      <c r="H67" s="16"/>
      <c r="I67" s="168"/>
      <c r="J67" s="182"/>
      <c r="K67" s="16"/>
      <c r="L67" s="16"/>
      <c r="M67" s="16"/>
    </row>
    <row r="68" spans="1:13" ht="15">
      <c r="A68" s="117" t="s">
        <v>71</v>
      </c>
      <c r="B68" s="78"/>
      <c r="C68" s="78"/>
      <c r="D68" s="78"/>
      <c r="E68" s="78"/>
      <c r="F68" s="78"/>
      <c r="G68" s="120"/>
      <c r="H68" s="16"/>
      <c r="I68" s="168"/>
      <c r="J68" s="183"/>
      <c r="K68" s="16"/>
      <c r="L68" s="16"/>
      <c r="M68" s="16"/>
    </row>
    <row r="69" spans="1:13" ht="12.75">
      <c r="A69" s="105" t="s">
        <v>106</v>
      </c>
      <c r="B69" s="46"/>
      <c r="C69" s="46"/>
      <c r="D69" s="46"/>
      <c r="E69" s="46"/>
      <c r="F69" s="46"/>
      <c r="G69" s="104" t="s">
        <v>3</v>
      </c>
      <c r="H69" s="16"/>
      <c r="I69" s="168"/>
      <c r="J69" s="102"/>
      <c r="K69" s="16"/>
      <c r="L69" s="16"/>
      <c r="M69" s="16"/>
    </row>
    <row r="70" spans="1:13" ht="12.75">
      <c r="A70" s="103" t="s">
        <v>125</v>
      </c>
      <c r="B70" s="46">
        <f>D48</f>
        <v>36000</v>
      </c>
      <c r="C70" s="46">
        <f>D49</f>
        <v>38520</v>
      </c>
      <c r="D70" s="46">
        <f>D50</f>
        <v>41216.4</v>
      </c>
      <c r="E70" s="46">
        <f>D51</f>
        <v>44101.54800000001</v>
      </c>
      <c r="F70" s="46">
        <f>D52</f>
        <v>47188.65636</v>
      </c>
      <c r="G70" s="104">
        <f>SUM(B70:F70)</f>
        <v>207026.60436</v>
      </c>
      <c r="H70" s="16"/>
      <c r="I70" s="16"/>
      <c r="J70" s="16"/>
      <c r="K70" s="16"/>
      <c r="L70" s="16"/>
      <c r="M70" s="16"/>
    </row>
    <row r="71" spans="1:7" ht="12.75">
      <c r="A71" s="245" t="s">
        <v>193</v>
      </c>
      <c r="B71" s="241">
        <f>H27</f>
        <v>41985</v>
      </c>
      <c r="C71" s="241">
        <f>H28</f>
        <v>44196.601859999995</v>
      </c>
      <c r="D71" s="241">
        <f>H29</f>
        <v>46524.70205957736</v>
      </c>
      <c r="E71" s="241">
        <f>H30</f>
        <v>48975.43726526766</v>
      </c>
      <c r="F71" s="241">
        <f>H31</f>
        <v>51555.26739865289</v>
      </c>
      <c r="G71" s="246">
        <f>SUM(B71:F71)</f>
        <v>233237.0085834979</v>
      </c>
    </row>
    <row r="72" spans="1:9" ht="12.75">
      <c r="A72" s="245" t="s">
        <v>27</v>
      </c>
      <c r="B72" s="241">
        <f>3500*12</f>
        <v>42000</v>
      </c>
      <c r="C72" s="241">
        <f>B72*1.05</f>
        <v>44100</v>
      </c>
      <c r="D72" s="241">
        <f>C72*1.05</f>
        <v>46305</v>
      </c>
      <c r="E72" s="241">
        <f>D72*1.05</f>
        <v>48620.25</v>
      </c>
      <c r="F72" s="241">
        <f>E72*1.05</f>
        <v>51051.262500000004</v>
      </c>
      <c r="G72" s="246">
        <f>SUM(B72:F72)</f>
        <v>232076.5125</v>
      </c>
      <c r="H72" s="233"/>
      <c r="I72" s="234"/>
    </row>
    <row r="73" spans="1:7" ht="12.75">
      <c r="A73" s="105" t="s">
        <v>30</v>
      </c>
      <c r="B73" s="76">
        <f aca="true" t="shared" si="0" ref="B73:G73">SUM(B70:B72)</f>
        <v>119985</v>
      </c>
      <c r="C73" s="76">
        <f t="shared" si="0"/>
        <v>126816.60186</v>
      </c>
      <c r="D73" s="76">
        <f t="shared" si="0"/>
        <v>134046.10205957736</v>
      </c>
      <c r="E73" s="76">
        <f t="shared" si="0"/>
        <v>141697.23526526766</v>
      </c>
      <c r="F73" s="76">
        <f t="shared" si="0"/>
        <v>149795.1862586529</v>
      </c>
      <c r="G73" s="106">
        <f t="shared" si="0"/>
        <v>672340.1254434979</v>
      </c>
    </row>
    <row r="74" spans="1:7" ht="12.75">
      <c r="A74" s="105" t="s">
        <v>107</v>
      </c>
      <c r="B74" s="46"/>
      <c r="C74" s="46"/>
      <c r="D74" s="46"/>
      <c r="E74" s="46"/>
      <c r="F74" s="46"/>
      <c r="G74" s="104"/>
    </row>
    <row r="75" spans="1:7" ht="12.75">
      <c r="A75" s="245" t="s">
        <v>192</v>
      </c>
      <c r="B75" s="241">
        <v>5000</v>
      </c>
      <c r="C75" s="241">
        <f>B75*1.05</f>
        <v>5250</v>
      </c>
      <c r="D75" s="241">
        <f aca="true" t="shared" si="1" ref="D75:F76">C75*1.05</f>
        <v>5512.5</v>
      </c>
      <c r="E75" s="241">
        <f t="shared" si="1"/>
        <v>5788.125</v>
      </c>
      <c r="F75" s="241">
        <f t="shared" si="1"/>
        <v>6077.53125</v>
      </c>
      <c r="G75" s="246">
        <f aca="true" t="shared" si="2" ref="G75:G80">SUM(B75:F75)</f>
        <v>27628.15625</v>
      </c>
    </row>
    <row r="76" spans="1:7" ht="12.75">
      <c r="A76" s="103" t="s">
        <v>104</v>
      </c>
      <c r="B76" s="46">
        <v>4680</v>
      </c>
      <c r="C76" s="46">
        <f>B76*1.05</f>
        <v>4914</v>
      </c>
      <c r="D76" s="46">
        <f t="shared" si="1"/>
        <v>5159.7</v>
      </c>
      <c r="E76" s="46">
        <f t="shared" si="1"/>
        <v>5417.685</v>
      </c>
      <c r="F76" s="46">
        <f t="shared" si="1"/>
        <v>5688.5692500000005</v>
      </c>
      <c r="G76" s="104">
        <f t="shared" si="2"/>
        <v>25859.954250000003</v>
      </c>
    </row>
    <row r="77" spans="1:8" ht="12.75">
      <c r="A77" s="245" t="s">
        <v>75</v>
      </c>
      <c r="B77" s="241">
        <v>32400</v>
      </c>
      <c r="C77" s="241">
        <v>32400</v>
      </c>
      <c r="D77" s="241">
        <v>32400</v>
      </c>
      <c r="E77" s="241">
        <v>32400</v>
      </c>
      <c r="F77" s="241">
        <v>32400</v>
      </c>
      <c r="G77" s="246">
        <f t="shared" si="2"/>
        <v>162000</v>
      </c>
      <c r="H77" s="233"/>
    </row>
    <row r="78" spans="1:13" s="21" customFormat="1" ht="12.75">
      <c r="A78" s="245" t="s">
        <v>101</v>
      </c>
      <c r="B78" s="241">
        <f>700*12</f>
        <v>8400</v>
      </c>
      <c r="C78" s="241">
        <f>700*12</f>
        <v>8400</v>
      </c>
      <c r="D78" s="241">
        <f>700*12</f>
        <v>8400</v>
      </c>
      <c r="E78" s="241">
        <f>700*12</f>
        <v>8400</v>
      </c>
      <c r="F78" s="241">
        <f>700*12</f>
        <v>8400</v>
      </c>
      <c r="G78" s="246">
        <f t="shared" si="2"/>
        <v>42000</v>
      </c>
      <c r="H78"/>
      <c r="I78"/>
      <c r="J78"/>
      <c r="K78"/>
      <c r="L78"/>
      <c r="M78"/>
    </row>
    <row r="79" spans="1:13" s="21" customFormat="1" ht="12.75">
      <c r="A79" s="245" t="s">
        <v>28</v>
      </c>
      <c r="B79" s="241">
        <f>'[1]SALARIOS'!$F$29</f>
        <v>138963.36000000002</v>
      </c>
      <c r="C79" s="241">
        <f>'[1]SALARIOS'!$F$29</f>
        <v>138963.36000000002</v>
      </c>
      <c r="D79" s="241">
        <f>'[1]SALARIOS'!$F$29</f>
        <v>138963.36000000002</v>
      </c>
      <c r="E79" s="241">
        <f>'[1]SALARIOS'!$F$29</f>
        <v>138963.36000000002</v>
      </c>
      <c r="F79" s="241">
        <f>'[1]SALARIOS'!$F$29</f>
        <v>138963.36000000002</v>
      </c>
      <c r="G79" s="246">
        <f t="shared" si="2"/>
        <v>694816.8</v>
      </c>
      <c r="H79" s="233"/>
      <c r="I79"/>
      <c r="J79"/>
      <c r="K79"/>
      <c r="L79"/>
      <c r="M79"/>
    </row>
    <row r="80" spans="1:7" ht="12.75">
      <c r="A80" s="103" t="s">
        <v>29</v>
      </c>
      <c r="B80" s="46">
        <f>'[1]SALARIOS'!$I$15</f>
        <v>19323.86</v>
      </c>
      <c r="C80" s="46">
        <f>'[1]SALARIOS'!$I$15</f>
        <v>19323.86</v>
      </c>
      <c r="D80" s="46">
        <f>'[1]SALARIOS'!$I$15</f>
        <v>19323.86</v>
      </c>
      <c r="E80" s="46">
        <f>'[1]SALARIOS'!$I$15</f>
        <v>19323.86</v>
      </c>
      <c r="F80" s="46">
        <f>'[1]SALARIOS'!$I$15</f>
        <v>19323.86</v>
      </c>
      <c r="G80" s="104">
        <f t="shared" si="2"/>
        <v>96619.3</v>
      </c>
    </row>
    <row r="81" spans="1:7" ht="12.75">
      <c r="A81" s="121" t="s">
        <v>194</v>
      </c>
      <c r="B81" s="46">
        <v>485</v>
      </c>
      <c r="C81" s="46">
        <f>B81*1.05</f>
        <v>509.25</v>
      </c>
      <c r="D81" s="46">
        <f>C81*1.05</f>
        <v>534.7125</v>
      </c>
      <c r="E81" s="46">
        <f>D81*1.05</f>
        <v>561.448125</v>
      </c>
      <c r="F81" s="46">
        <f>E81*1.05</f>
        <v>589.52053125</v>
      </c>
      <c r="G81" s="104">
        <f>SUM(B81:F81)</f>
        <v>2679.9311562499997</v>
      </c>
    </row>
    <row r="82" spans="1:7" ht="12.75">
      <c r="A82" s="103" t="s">
        <v>31</v>
      </c>
      <c r="B82" s="46">
        <f>'DEP. Y AMORT.'!B59</f>
        <v>13673.5136</v>
      </c>
      <c r="C82" s="46">
        <f>'DEP. Y AMORT.'!C59</f>
        <v>13673.5136</v>
      </c>
      <c r="D82" s="46">
        <f>'DEP. Y AMORT.'!D59</f>
        <v>13673.5136</v>
      </c>
      <c r="E82" s="46">
        <f>'DEP. Y AMORT.'!E59</f>
        <v>10791.5136</v>
      </c>
      <c r="F82" s="46">
        <f>'DEP. Y AMORT.'!F59</f>
        <v>10791.5136</v>
      </c>
      <c r="G82" s="104">
        <f aca="true" t="shared" si="3" ref="G82:G88">SUM(B82:F82)</f>
        <v>62603.568</v>
      </c>
    </row>
    <row r="83" spans="1:7" ht="12.75">
      <c r="A83" s="103" t="s">
        <v>32</v>
      </c>
      <c r="B83" s="46">
        <f>'DEP. Y AMORT.'!B84</f>
        <v>572</v>
      </c>
      <c r="C83" s="46">
        <f>'DEP. Y AMORT.'!C84</f>
        <v>572</v>
      </c>
      <c r="D83" s="46">
        <f>'DEP. Y AMORT.'!D84</f>
        <v>572</v>
      </c>
      <c r="E83" s="46">
        <f>'DEP. Y AMORT.'!E84</f>
        <v>572</v>
      </c>
      <c r="F83" s="46">
        <f>'DEP. Y AMORT.'!F84</f>
        <v>572</v>
      </c>
      <c r="G83" s="104">
        <f>SUM(B83:F83)</f>
        <v>2860</v>
      </c>
    </row>
    <row r="84" spans="1:7" ht="12.75">
      <c r="A84" s="105" t="s">
        <v>76</v>
      </c>
      <c r="B84" s="76">
        <f>SUM(B75:B83)</f>
        <v>223497.73360000004</v>
      </c>
      <c r="C84" s="76">
        <f>SUM(C75:C83)</f>
        <v>224005.98360000004</v>
      </c>
      <c r="D84" s="76">
        <f>SUM(D75:D83)</f>
        <v>224539.64609999998</v>
      </c>
      <c r="E84" s="76">
        <f>SUM(E75:E83)</f>
        <v>222217.99172500003</v>
      </c>
      <c r="F84" s="76">
        <f>SUM(F75:F83)</f>
        <v>222806.35463125003</v>
      </c>
      <c r="G84" s="106">
        <f>SUM(B84:F84)</f>
        <v>1117067.7096562502</v>
      </c>
    </row>
    <row r="85" spans="1:7" ht="12.75">
      <c r="A85" s="105" t="s">
        <v>74</v>
      </c>
      <c r="B85" s="76">
        <f>B84+B73</f>
        <v>343482.73360000004</v>
      </c>
      <c r="C85" s="76">
        <f>C84+C73</f>
        <v>350822.58546000003</v>
      </c>
      <c r="D85" s="76">
        <f>D84+D73</f>
        <v>358585.7481595774</v>
      </c>
      <c r="E85" s="76">
        <f>E84+E73</f>
        <v>363915.2269902677</v>
      </c>
      <c r="F85" s="76">
        <f>F84+F73</f>
        <v>372601.5408899029</v>
      </c>
      <c r="G85" s="106">
        <f t="shared" si="3"/>
        <v>1789407.835099748</v>
      </c>
    </row>
    <row r="86" spans="1:8" ht="12.75">
      <c r="A86" s="105" t="s">
        <v>33</v>
      </c>
      <c r="B86" s="46">
        <f>SUM(B67-B85)</f>
        <v>55517.515399999975</v>
      </c>
      <c r="C86" s="46">
        <f>SUM(C67-C85)</f>
        <v>69195.40065632394</v>
      </c>
      <c r="D86" s="46">
        <f>SUM(D67-D85)</f>
        <v>83557.10539341008</v>
      </c>
      <c r="E86" s="46">
        <f>SUM(E67-E85)</f>
        <v>101517.94351647701</v>
      </c>
      <c r="F86" s="46">
        <f>SUM(F67-F85)</f>
        <v>117348.7873064549</v>
      </c>
      <c r="G86" s="104">
        <f t="shared" si="3"/>
        <v>427136.7522726659</v>
      </c>
      <c r="H86" s="236"/>
    </row>
    <row r="87" spans="1:13" ht="12.75">
      <c r="A87" s="103" t="s">
        <v>34</v>
      </c>
      <c r="B87" s="46">
        <f>B86*0.15</f>
        <v>8327.627309999996</v>
      </c>
      <c r="C87" s="46">
        <f>C86*0.15</f>
        <v>10379.31009844859</v>
      </c>
      <c r="D87" s="46">
        <f>D86*0.15</f>
        <v>12533.565809011512</v>
      </c>
      <c r="E87" s="46">
        <f>E86*0.15</f>
        <v>15227.69152747155</v>
      </c>
      <c r="F87" s="46">
        <f>F86*0.15</f>
        <v>17602.318095968236</v>
      </c>
      <c r="G87" s="104">
        <f>SUM(B87:F87)</f>
        <v>64070.512840899886</v>
      </c>
      <c r="H87" s="21"/>
      <c r="I87" s="21"/>
      <c r="J87" s="21"/>
      <c r="K87" s="21"/>
      <c r="L87" s="21"/>
      <c r="M87" s="21"/>
    </row>
    <row r="88" spans="1:13" ht="12.75">
      <c r="A88" s="105" t="s">
        <v>60</v>
      </c>
      <c r="B88" s="46">
        <f>SUM(B86-B87)</f>
        <v>47189.88808999998</v>
      </c>
      <c r="C88" s="46">
        <f>SUM(C86-C87)</f>
        <v>58816.090557875345</v>
      </c>
      <c r="D88" s="46">
        <f>SUM(D86-D87)</f>
        <v>71023.53958439856</v>
      </c>
      <c r="E88" s="46">
        <f>SUM(E86-E87)</f>
        <v>86290.25198900545</v>
      </c>
      <c r="F88" s="46">
        <f>SUM(F86-F87)</f>
        <v>99746.46921048667</v>
      </c>
      <c r="G88" s="104">
        <f t="shared" si="3"/>
        <v>363066.23943176604</v>
      </c>
      <c r="H88" s="21"/>
      <c r="I88" s="21"/>
      <c r="J88" s="21"/>
      <c r="K88" s="21"/>
      <c r="L88" s="21"/>
      <c r="M88" s="21"/>
    </row>
    <row r="89" spans="1:7" ht="12.75">
      <c r="A89" s="103" t="s">
        <v>37</v>
      </c>
      <c r="B89" s="46">
        <f aca="true" t="shared" si="4" ref="B89:G89">B88*0.25</f>
        <v>11797.472022499995</v>
      </c>
      <c r="C89" s="46">
        <f t="shared" si="4"/>
        <v>14704.022639468836</v>
      </c>
      <c r="D89" s="46">
        <f t="shared" si="4"/>
        <v>17755.88489609964</v>
      </c>
      <c r="E89" s="46">
        <f t="shared" si="4"/>
        <v>21572.562997251363</v>
      </c>
      <c r="F89" s="46">
        <f t="shared" si="4"/>
        <v>24936.617302621667</v>
      </c>
      <c r="G89" s="104">
        <f t="shared" si="4"/>
        <v>90766.55985794151</v>
      </c>
    </row>
    <row r="90" spans="1:7" ht="15">
      <c r="A90" s="117" t="s">
        <v>35</v>
      </c>
      <c r="B90" s="78">
        <f>SUM(B88-B89)</f>
        <v>35392.41606749999</v>
      </c>
      <c r="C90" s="78">
        <f>SUM(C88-C89)</f>
        <v>44112.06791840651</v>
      </c>
      <c r="D90" s="78">
        <f>SUM(D88-D89)</f>
        <v>53267.65468829892</v>
      </c>
      <c r="E90" s="78">
        <f>SUM(E88-E89)</f>
        <v>64717.68899175409</v>
      </c>
      <c r="F90" s="78">
        <f>SUM(F88-F89)</f>
        <v>74809.851907865</v>
      </c>
      <c r="G90" s="120">
        <f>SUM(B90:F90)</f>
        <v>272299.6795738245</v>
      </c>
    </row>
    <row r="91" spans="1:7" ht="13.5" thickBot="1">
      <c r="A91" s="122" t="s">
        <v>36</v>
      </c>
      <c r="B91" s="123">
        <f>SUM(B90/B67)</f>
        <v>0.08870274180580771</v>
      </c>
      <c r="C91" s="123">
        <f>SUM(C90/C67)</f>
        <v>0.10502423557211589</v>
      </c>
      <c r="D91" s="123">
        <f>SUM(D90/D67)</f>
        <v>0.1204761182053465</v>
      </c>
      <c r="E91" s="123">
        <f>SUM(E90/E67)</f>
        <v>0.13904829542185854</v>
      </c>
      <c r="F91" s="123">
        <f>SUM(F90/F67)</f>
        <v>0.15268864536382837</v>
      </c>
      <c r="G91" s="124"/>
    </row>
    <row r="94" spans="1:7" ht="18">
      <c r="A94" s="292" t="s">
        <v>96</v>
      </c>
      <c r="B94" s="292"/>
      <c r="C94" s="292"/>
      <c r="D94" s="292"/>
      <c r="E94" s="292"/>
      <c r="F94" s="292"/>
      <c r="G94" s="292"/>
    </row>
    <row r="95" spans="1:7" ht="12.75">
      <c r="A95" s="70"/>
      <c r="B95" s="176" t="s">
        <v>100</v>
      </c>
      <c r="C95" s="176">
        <v>2009</v>
      </c>
      <c r="D95" s="176">
        <v>2010</v>
      </c>
      <c r="E95" s="176">
        <v>2011</v>
      </c>
      <c r="F95" s="176">
        <v>2012</v>
      </c>
      <c r="G95" s="176">
        <v>2013</v>
      </c>
    </row>
    <row r="96" spans="1:7" ht="12.75">
      <c r="A96" s="173" t="s">
        <v>72</v>
      </c>
      <c r="B96" s="174"/>
      <c r="C96" s="174"/>
      <c r="D96" s="174"/>
      <c r="E96" s="174"/>
      <c r="F96" s="174"/>
      <c r="G96" s="174"/>
    </row>
    <row r="97" spans="1:7" ht="12.75">
      <c r="A97" s="70" t="s">
        <v>20</v>
      </c>
      <c r="B97" s="46"/>
      <c r="C97" s="46">
        <v>600000</v>
      </c>
      <c r="D97" s="46">
        <v>642000</v>
      </c>
      <c r="E97" s="46">
        <v>686940</v>
      </c>
      <c r="F97" s="46">
        <v>735025.8</v>
      </c>
      <c r="G97" s="46">
        <v>786477.606</v>
      </c>
    </row>
    <row r="98" spans="1:7" ht="12.75">
      <c r="A98" s="237" t="s">
        <v>127</v>
      </c>
      <c r="B98" s="241"/>
      <c r="C98" s="241">
        <f>C101-(C101*0.1678)</f>
        <v>1746995.85</v>
      </c>
      <c r="D98" s="241">
        <f>D101-(D101*0.1678)</f>
        <v>1839020.6033945999</v>
      </c>
      <c r="E98" s="241">
        <f>E101-(E101*0.1678)</f>
        <v>1935892.852699014</v>
      </c>
      <c r="F98" s="241">
        <f>F101-(F101*0.1678)</f>
        <v>2037867.9446077873</v>
      </c>
      <c r="G98" s="241">
        <f>G101-(G101*0.1678)</f>
        <v>2145214.6764579467</v>
      </c>
    </row>
    <row r="99" spans="1:7" ht="12.75">
      <c r="A99" s="71" t="s">
        <v>126</v>
      </c>
      <c r="B99" s="76"/>
      <c r="C99" s="76">
        <f>SUM(C97:C98)</f>
        <v>2346995.85</v>
      </c>
      <c r="D99" s="76">
        <f>SUM(D97:D98)</f>
        <v>2481020.6033945996</v>
      </c>
      <c r="E99" s="76">
        <f>SUM(E97:E98)</f>
        <v>2622832.852699014</v>
      </c>
      <c r="F99" s="76">
        <f>SUM(F97:F98)</f>
        <v>2772893.7446077876</v>
      </c>
      <c r="G99" s="76">
        <f>SUM(G97:G98)</f>
        <v>2931692.282457947</v>
      </c>
    </row>
    <row r="100" spans="1:7" ht="12.75">
      <c r="A100" s="173" t="s">
        <v>97</v>
      </c>
      <c r="B100" s="174"/>
      <c r="C100" s="174"/>
      <c r="D100" s="174"/>
      <c r="E100" s="174"/>
      <c r="F100" s="174"/>
      <c r="G100" s="174"/>
    </row>
    <row r="101" spans="1:7" ht="12.75">
      <c r="A101" s="70" t="s">
        <v>102</v>
      </c>
      <c r="B101" s="46"/>
      <c r="C101" s="46">
        <f>F$27</f>
        <v>2099250</v>
      </c>
      <c r="D101" s="46">
        <f>F28</f>
        <v>2209830.093</v>
      </c>
      <c r="E101" s="46">
        <f>F29</f>
        <v>2326235.102978868</v>
      </c>
      <c r="F101" s="46">
        <f>F30</f>
        <v>2448771.863263383</v>
      </c>
      <c r="G101" s="46">
        <f>F31</f>
        <v>2577763.3699326445</v>
      </c>
    </row>
    <row r="102" spans="1:7" ht="12.75">
      <c r="A102" s="70" t="s">
        <v>21</v>
      </c>
      <c r="B102" s="46"/>
      <c r="C102" s="250">
        <v>3000</v>
      </c>
      <c r="D102" s="46">
        <v>3000</v>
      </c>
      <c r="E102" s="46">
        <v>3000</v>
      </c>
      <c r="F102" s="46">
        <v>3000</v>
      </c>
      <c r="G102" s="46">
        <v>3000</v>
      </c>
    </row>
    <row r="103" spans="1:7" ht="12.75">
      <c r="A103" s="70" t="s">
        <v>24</v>
      </c>
      <c r="B103" s="46"/>
      <c r="C103" s="250">
        <v>1800</v>
      </c>
      <c r="D103" s="46">
        <v>1800</v>
      </c>
      <c r="E103" s="46">
        <v>1800</v>
      </c>
      <c r="F103" s="46">
        <v>1800</v>
      </c>
      <c r="G103" s="46">
        <v>1800</v>
      </c>
    </row>
    <row r="104" spans="1:7" ht="12.75">
      <c r="A104" s="71" t="s">
        <v>128</v>
      </c>
      <c r="B104" s="76"/>
      <c r="C104" s="76">
        <f>SUM(C101:C103)</f>
        <v>2104050</v>
      </c>
      <c r="D104" s="76">
        <f>SUM(D101:D103)</f>
        <v>2214630.093</v>
      </c>
      <c r="E104" s="76">
        <f>SUM(E101:E103)</f>
        <v>2331035.102978868</v>
      </c>
      <c r="F104" s="76">
        <f>SUM(F101:F103)</f>
        <v>2453571.863263383</v>
      </c>
      <c r="G104" s="76">
        <f>SUM(G101:G103)</f>
        <v>2582563.3699326445</v>
      </c>
    </row>
    <row r="105" spans="1:7" ht="12.75">
      <c r="A105" s="71" t="s">
        <v>129</v>
      </c>
      <c r="B105" s="76"/>
      <c r="C105" s="76">
        <f>B86</f>
        <v>55517.515399999975</v>
      </c>
      <c r="D105" s="76">
        <f aca="true" t="shared" si="5" ref="D105:G108">C86</f>
        <v>69195.40065632394</v>
      </c>
      <c r="E105" s="76">
        <f t="shared" si="5"/>
        <v>83557.10539341008</v>
      </c>
      <c r="F105" s="76">
        <f t="shared" si="5"/>
        <v>101517.94351647701</v>
      </c>
      <c r="G105" s="76">
        <f t="shared" si="5"/>
        <v>117348.7873064549</v>
      </c>
    </row>
    <row r="106" spans="1:7" ht="12.75">
      <c r="A106" s="70" t="s">
        <v>22</v>
      </c>
      <c r="B106" s="46"/>
      <c r="C106" s="46">
        <f>B87</f>
        <v>8327.627309999996</v>
      </c>
      <c r="D106" s="46">
        <f t="shared" si="5"/>
        <v>10379.31009844859</v>
      </c>
      <c r="E106" s="46">
        <f t="shared" si="5"/>
        <v>12533.565809011512</v>
      </c>
      <c r="F106" s="46">
        <f t="shared" si="5"/>
        <v>15227.69152747155</v>
      </c>
      <c r="G106" s="46">
        <f t="shared" si="5"/>
        <v>17602.318095968236</v>
      </c>
    </row>
    <row r="107" spans="1:7" ht="12.75">
      <c r="A107" s="71" t="s">
        <v>130</v>
      </c>
      <c r="B107" s="76"/>
      <c r="C107" s="76">
        <f>B88</f>
        <v>47189.88808999998</v>
      </c>
      <c r="D107" s="76">
        <f t="shared" si="5"/>
        <v>58816.090557875345</v>
      </c>
      <c r="E107" s="76">
        <f t="shared" si="5"/>
        <v>71023.53958439856</v>
      </c>
      <c r="F107" s="76">
        <f t="shared" si="5"/>
        <v>86290.25198900545</v>
      </c>
      <c r="G107" s="76">
        <f t="shared" si="5"/>
        <v>99746.46921048667</v>
      </c>
    </row>
    <row r="108" spans="1:7" ht="12.75">
      <c r="A108" s="70" t="s">
        <v>23</v>
      </c>
      <c r="B108" s="46"/>
      <c r="C108" s="46">
        <f>B89</f>
        <v>11797.472022499995</v>
      </c>
      <c r="D108" s="46">
        <f t="shared" si="5"/>
        <v>14704.022639468836</v>
      </c>
      <c r="E108" s="46">
        <f t="shared" si="5"/>
        <v>17755.88489609964</v>
      </c>
      <c r="F108" s="46">
        <f t="shared" si="5"/>
        <v>21572.562997251363</v>
      </c>
      <c r="G108" s="46">
        <f t="shared" si="5"/>
        <v>24936.617302621667</v>
      </c>
    </row>
    <row r="109" spans="1:7" ht="12.75">
      <c r="A109" s="71" t="s">
        <v>131</v>
      </c>
      <c r="B109" s="76"/>
      <c r="C109" s="76">
        <f>C107-C108</f>
        <v>35392.41606749999</v>
      </c>
      <c r="D109" s="76">
        <f>D107-D108</f>
        <v>44112.06791840651</v>
      </c>
      <c r="E109" s="76">
        <f>E107-E108</f>
        <v>53267.65468829892</v>
      </c>
      <c r="F109" s="76">
        <f>F107-F108</f>
        <v>64717.68899175409</v>
      </c>
      <c r="G109" s="76">
        <f>G107-G108</f>
        <v>74809.851907865</v>
      </c>
    </row>
    <row r="110" spans="1:7" ht="12.75">
      <c r="A110" s="77" t="s">
        <v>185</v>
      </c>
      <c r="B110" s="46"/>
      <c r="C110" s="46">
        <v>13673.5136</v>
      </c>
      <c r="D110" s="46">
        <v>13673.5136</v>
      </c>
      <c r="E110" s="46">
        <v>13673.5136</v>
      </c>
      <c r="F110" s="46">
        <v>10791.5136</v>
      </c>
      <c r="G110" s="46">
        <v>10791.5136</v>
      </c>
    </row>
    <row r="111" spans="1:7" ht="12.75">
      <c r="A111" s="70" t="s">
        <v>132</v>
      </c>
      <c r="B111" s="46"/>
      <c r="C111" s="46">
        <v>572</v>
      </c>
      <c r="D111" s="46">
        <v>572</v>
      </c>
      <c r="E111" s="46">
        <v>572</v>
      </c>
      <c r="F111" s="46">
        <v>572</v>
      </c>
      <c r="G111" s="46">
        <v>572</v>
      </c>
    </row>
    <row r="112" spans="1:7" ht="12.75">
      <c r="A112" s="77" t="s">
        <v>133</v>
      </c>
      <c r="B112" s="46"/>
      <c r="C112" s="46"/>
      <c r="D112" s="46"/>
      <c r="E112" s="46"/>
      <c r="F112" s="46"/>
      <c r="G112" s="46">
        <v>36177.568</v>
      </c>
    </row>
    <row r="113" spans="1:7" ht="25.5">
      <c r="A113" s="218" t="s">
        <v>229</v>
      </c>
      <c r="B113" s="46">
        <v>-1500000</v>
      </c>
      <c r="C113" s="46"/>
      <c r="D113" s="46"/>
      <c r="E113" s="46"/>
      <c r="F113" s="46"/>
      <c r="G113" s="46"/>
    </row>
    <row r="114" spans="1:7" ht="12.75">
      <c r="A114" s="173" t="s">
        <v>110</v>
      </c>
      <c r="B114" s="175">
        <f>B113</f>
        <v>-1500000</v>
      </c>
      <c r="C114" s="175">
        <f>C99-C104+C109+C110+C111+C113</f>
        <v>292583.7796675001</v>
      </c>
      <c r="D114" s="175">
        <f>D99-D104+D109+D110+D111+D113</f>
        <v>324748.09191300627</v>
      </c>
      <c r="E114" s="175">
        <f>E99-E104+E109+E110+E111+E113</f>
        <v>359310.9180084449</v>
      </c>
      <c r="F114" s="175">
        <f>F99-F104+F109+F110+F111+F113</f>
        <v>395403.0839361586</v>
      </c>
      <c r="G114" s="175">
        <f>G99-G104+G109+G110+G111+G113-G112</f>
        <v>399124.71003316727</v>
      </c>
    </row>
    <row r="115" spans="1:7" ht="12.75">
      <c r="A115" s="178" t="s">
        <v>98</v>
      </c>
      <c r="B115" s="179">
        <f>B124</f>
        <v>-168436.63267294643</v>
      </c>
      <c r="C115" s="5"/>
      <c r="D115" s="5"/>
      <c r="E115" s="5"/>
      <c r="F115" s="5"/>
      <c r="G115" s="5"/>
    </row>
    <row r="116" spans="1:7" ht="12.75">
      <c r="A116" s="178" t="s">
        <v>99</v>
      </c>
      <c r="B116" s="179">
        <f>IRR(B114:G114)*100</f>
        <v>5.492068058006386</v>
      </c>
      <c r="C116" s="5"/>
      <c r="D116" s="5"/>
      <c r="E116" s="5"/>
      <c r="F116" s="5"/>
      <c r="G116" s="5"/>
    </row>
    <row r="118" ht="13.5" thickBot="1"/>
    <row r="119" spans="1:7" ht="12.75">
      <c r="A119" s="293" t="s">
        <v>114</v>
      </c>
      <c r="B119" s="294"/>
      <c r="C119" s="294"/>
      <c r="D119" s="294"/>
      <c r="E119" s="294"/>
      <c r="F119" s="294"/>
      <c r="G119" s="295"/>
    </row>
    <row r="120" spans="1:7" ht="12.75">
      <c r="A120" s="70" t="s">
        <v>115</v>
      </c>
      <c r="B120" s="170">
        <v>0.0974</v>
      </c>
      <c r="C120" s="70"/>
      <c r="D120" s="70"/>
      <c r="E120" s="70"/>
      <c r="F120" s="70"/>
      <c r="G120" s="70"/>
    </row>
    <row r="121" spans="1:7" ht="12.75">
      <c r="A121" s="70" t="s">
        <v>116</v>
      </c>
      <c r="B121" s="71">
        <v>0</v>
      </c>
      <c r="C121" s="71">
        <v>1</v>
      </c>
      <c r="D121" s="71">
        <v>2</v>
      </c>
      <c r="E121" s="71">
        <v>3</v>
      </c>
      <c r="F121" s="71">
        <v>4</v>
      </c>
      <c r="G121" s="71">
        <v>5</v>
      </c>
    </row>
    <row r="122" spans="1:7" ht="12.75">
      <c r="A122" s="70" t="s">
        <v>117</v>
      </c>
      <c r="B122" s="46">
        <f aca="true" t="shared" si="6" ref="B122:G122">B114</f>
        <v>-1500000</v>
      </c>
      <c r="C122" s="46">
        <f t="shared" si="6"/>
        <v>292583.7796675001</v>
      </c>
      <c r="D122" s="46">
        <f t="shared" si="6"/>
        <v>324748.09191300627</v>
      </c>
      <c r="E122" s="46">
        <f t="shared" si="6"/>
        <v>359310.9180084449</v>
      </c>
      <c r="F122" s="46">
        <f t="shared" si="6"/>
        <v>395403.0839361586</v>
      </c>
      <c r="G122" s="46">
        <f t="shared" si="6"/>
        <v>399124.71003316727</v>
      </c>
    </row>
    <row r="123" spans="1:7" ht="12.75">
      <c r="A123" s="71" t="s">
        <v>118</v>
      </c>
      <c r="B123" s="76">
        <f>(B122)/(1+$B$29)^B121</f>
        <v>-1500000</v>
      </c>
      <c r="C123" s="76">
        <f>(C122)/(1+$B$120)^C121</f>
        <v>266615.43618325144</v>
      </c>
      <c r="D123" s="76">
        <f>(D122)/(1+$B$120)^D121</f>
        <v>269660.1031410545</v>
      </c>
      <c r="E123" s="76">
        <f>(E122)/(1+$B$120)^E121</f>
        <v>271878.926385519</v>
      </c>
      <c r="F123" s="76">
        <f>(F122)/(1+$B$120)^F121</f>
        <v>272634.1339488412</v>
      </c>
      <c r="G123" s="76">
        <f>(G122)/(1+$B$120)^G121</f>
        <v>250774.76766838747</v>
      </c>
    </row>
    <row r="124" spans="1:7" ht="12.75">
      <c r="A124" s="171" t="s">
        <v>98</v>
      </c>
      <c r="B124" s="172">
        <f>C123+D123+E123+F123+G123+H123+I123+J123+K123+L123+B123</f>
        <v>-168436.63267294643</v>
      </c>
      <c r="C124" s="46"/>
      <c r="D124" s="46"/>
      <c r="E124" s="46"/>
      <c r="F124" s="46"/>
      <c r="G124" s="46"/>
    </row>
    <row r="136" spans="1:2" ht="12.75">
      <c r="A136" s="19" t="s">
        <v>3</v>
      </c>
      <c r="B136" s="19"/>
    </row>
    <row r="137" spans="1:2" ht="12.75">
      <c r="A137" s="20"/>
      <c r="B137" s="20"/>
    </row>
    <row r="138" spans="1:2" ht="12.75">
      <c r="A138" s="20" t="s">
        <v>3</v>
      </c>
      <c r="B138" s="20"/>
    </row>
    <row r="139" spans="1:2" ht="12.75">
      <c r="A139" s="20"/>
      <c r="B139" s="20"/>
    </row>
    <row r="140" spans="1:2" ht="12.75">
      <c r="A140" s="20" t="s">
        <v>3</v>
      </c>
      <c r="B140" s="20"/>
    </row>
    <row r="141" spans="1:2" ht="12.75">
      <c r="A141" s="20" t="s">
        <v>3</v>
      </c>
      <c r="B141" s="20"/>
    </row>
  </sheetData>
  <sheetProtection/>
  <mergeCells count="9">
    <mergeCell ref="A61:G61"/>
    <mergeCell ref="A94:G94"/>
    <mergeCell ref="A119:G119"/>
    <mergeCell ref="A3:C3"/>
    <mergeCell ref="A18:F18"/>
    <mergeCell ref="B24:B26"/>
    <mergeCell ref="C24:C26"/>
    <mergeCell ref="A57:H57"/>
    <mergeCell ref="A60:G6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V141"/>
  <sheetViews>
    <sheetView zoomScalePageLayoutView="0" workbookViewId="0" topLeftCell="D20">
      <selection activeCell="G59" sqref="G58:G59"/>
    </sheetView>
  </sheetViews>
  <sheetFormatPr defaultColWidth="11.421875" defaultRowHeight="12.75"/>
  <cols>
    <col min="1" max="1" width="31.140625" style="0" customWidth="1"/>
    <col min="2" max="2" width="17.7109375" style="0" customWidth="1"/>
    <col min="3" max="3" width="12.57421875" style="0" customWidth="1"/>
    <col min="4" max="4" width="13.140625" style="0" customWidth="1"/>
    <col min="5" max="5" width="14.7109375" style="0" customWidth="1"/>
    <col min="6" max="6" width="12.00390625" style="0" customWidth="1"/>
    <col min="7" max="7" width="12.421875" style="0" customWidth="1"/>
    <col min="8" max="8" width="11.7109375" style="0" bestFit="1" customWidth="1"/>
    <col min="9" max="9" width="13.8515625" style="0" customWidth="1"/>
    <col min="10" max="10" width="15.57421875" style="0" customWidth="1"/>
    <col min="11" max="11" width="13.00390625" style="0" customWidth="1"/>
    <col min="12" max="12" width="12.140625" style="0" customWidth="1"/>
    <col min="13" max="13" width="11.7109375" style="0" bestFit="1" customWidth="1"/>
    <col min="14" max="14" width="11.7109375" style="0" customWidth="1"/>
    <col min="15" max="15" width="11.7109375" style="0" bestFit="1" customWidth="1"/>
  </cols>
  <sheetData>
    <row r="2" spans="1:7" ht="15" thickBot="1">
      <c r="A2" s="8" t="s">
        <v>3</v>
      </c>
      <c r="B2" s="8"/>
      <c r="C2" s="8"/>
      <c r="D2" s="26"/>
      <c r="E2" s="26"/>
      <c r="F2" s="26"/>
      <c r="G2" s="8"/>
    </row>
    <row r="3" spans="1:6" ht="12.75">
      <c r="A3" s="280" t="s">
        <v>65</v>
      </c>
      <c r="B3" s="281"/>
      <c r="C3" s="282"/>
      <c r="D3" s="27"/>
      <c r="E3" s="27"/>
      <c r="F3" s="27"/>
    </row>
    <row r="4" spans="1:6" s="185" customFormat="1" ht="14.25">
      <c r="A4" s="231" t="s">
        <v>186</v>
      </c>
      <c r="B4" s="193"/>
      <c r="C4" s="194">
        <v>8000</v>
      </c>
      <c r="D4" s="27"/>
      <c r="E4" s="27"/>
      <c r="F4" s="27"/>
    </row>
    <row r="5" spans="1:3" ht="12.75" customHeight="1">
      <c r="A5" s="28" t="s">
        <v>187</v>
      </c>
      <c r="B5" s="24"/>
      <c r="C5" s="29">
        <v>22000</v>
      </c>
    </row>
    <row r="6" spans="1:3" ht="13.5" customHeight="1">
      <c r="A6" s="186" t="s">
        <v>190</v>
      </c>
      <c r="B6" s="25"/>
      <c r="C6" s="30">
        <v>36671.22</v>
      </c>
    </row>
    <row r="7" spans="1:3" ht="14.25">
      <c r="A7" s="31" t="s">
        <v>189</v>
      </c>
      <c r="B7" s="22"/>
      <c r="C7" s="32"/>
    </row>
    <row r="8" spans="1:3" ht="14.25">
      <c r="A8" s="28" t="s">
        <v>188</v>
      </c>
      <c r="B8" s="24"/>
      <c r="C8" s="29">
        <v>36780</v>
      </c>
    </row>
    <row r="9" spans="1:3" ht="13.5" thickBot="1">
      <c r="A9" s="33" t="s">
        <v>15</v>
      </c>
      <c r="B9" s="88"/>
      <c r="C9" s="34">
        <f>C5+C6+C8</f>
        <v>95451.22</v>
      </c>
    </row>
    <row r="10" spans="1:2" ht="12.75">
      <c r="A10" s="20"/>
      <c r="B10" s="20"/>
    </row>
    <row r="11" spans="1:22" ht="14.25">
      <c r="A11" s="8" t="s">
        <v>183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5" thickBo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5" ht="13.5" thickBot="1">
      <c r="A13" s="35" t="s">
        <v>66</v>
      </c>
      <c r="B13" s="89"/>
      <c r="C13" s="187">
        <v>1500000</v>
      </c>
      <c r="E13" s="5"/>
    </row>
    <row r="14" spans="1:5" ht="12.75">
      <c r="A14" s="20"/>
      <c r="B14" s="20"/>
      <c r="C14" s="17"/>
      <c r="D14" s="23"/>
      <c r="E14" s="5"/>
    </row>
    <row r="15" spans="1:5" ht="12.75">
      <c r="A15" s="20"/>
      <c r="B15" s="20"/>
      <c r="E15" s="5"/>
    </row>
    <row r="16" spans="1:4" ht="18">
      <c r="A16" s="180" t="s">
        <v>230</v>
      </c>
      <c r="B16" s="10"/>
      <c r="C16" s="10"/>
      <c r="D16" s="10"/>
    </row>
    <row r="17" spans="1:3" ht="15.75" thickBot="1">
      <c r="A17" s="9"/>
      <c r="B17" s="9"/>
      <c r="C17" s="10"/>
    </row>
    <row r="18" spans="1:6" ht="13.5" thickBot="1">
      <c r="A18" s="283" t="s">
        <v>68</v>
      </c>
      <c r="B18" s="284"/>
      <c r="C18" s="284"/>
      <c r="D18" s="284"/>
      <c r="E18" s="284"/>
      <c r="F18" s="285"/>
    </row>
    <row r="19" spans="1:7" ht="14.25">
      <c r="A19" s="37" t="s">
        <v>0</v>
      </c>
      <c r="B19" s="38"/>
      <c r="C19" s="38"/>
      <c r="D19" s="38"/>
      <c r="E19" s="38"/>
      <c r="F19" s="39">
        <v>450</v>
      </c>
      <c r="G19" s="1" t="s">
        <v>3</v>
      </c>
    </row>
    <row r="20" spans="1:7" ht="14.25">
      <c r="A20" s="40" t="s">
        <v>4</v>
      </c>
      <c r="B20" s="36"/>
      <c r="C20" s="36"/>
      <c r="D20" s="36"/>
      <c r="E20" s="36"/>
      <c r="F20" s="260">
        <v>0.026</v>
      </c>
      <c r="G20" s="2" t="s">
        <v>3</v>
      </c>
    </row>
    <row r="21" spans="1:7" ht="14.25">
      <c r="A21" s="40" t="s">
        <v>1</v>
      </c>
      <c r="B21" s="36"/>
      <c r="C21" s="36"/>
      <c r="D21" s="36"/>
      <c r="E21" s="36"/>
      <c r="F21" s="42" t="s">
        <v>2</v>
      </c>
      <c r="G21" s="3" t="s">
        <v>3</v>
      </c>
    </row>
    <row r="22" spans="1:7" ht="15.75" thickBot="1">
      <c r="A22" s="43" t="s">
        <v>67</v>
      </c>
      <c r="B22" s="44"/>
      <c r="C22" s="44"/>
      <c r="D22" s="44"/>
      <c r="E22" s="44"/>
      <c r="F22" s="45">
        <v>0.026</v>
      </c>
      <c r="G22" s="2" t="s">
        <v>3</v>
      </c>
    </row>
    <row r="23" ht="12.75">
      <c r="G23" s="2" t="s">
        <v>3</v>
      </c>
    </row>
    <row r="24" spans="1:9" ht="12.75">
      <c r="A24" s="53"/>
      <c r="B24" s="286" t="s">
        <v>92</v>
      </c>
      <c r="C24" s="286" t="s">
        <v>91</v>
      </c>
      <c r="D24" s="54" t="s">
        <v>93</v>
      </c>
      <c r="E24" s="55" t="s">
        <v>94</v>
      </c>
      <c r="F24" s="54" t="s">
        <v>8</v>
      </c>
      <c r="G24" s="56"/>
      <c r="H24" s="57">
        <v>0.02</v>
      </c>
      <c r="I24" s="58"/>
    </row>
    <row r="25" spans="1:9" ht="12.75">
      <c r="A25" s="59" t="s">
        <v>3</v>
      </c>
      <c r="B25" s="287"/>
      <c r="C25" s="287"/>
      <c r="D25" s="60" t="s">
        <v>17</v>
      </c>
      <c r="E25" s="61" t="s">
        <v>95</v>
      </c>
      <c r="F25" s="60" t="s">
        <v>9</v>
      </c>
      <c r="G25" s="61" t="s">
        <v>13</v>
      </c>
      <c r="H25" s="60" t="s">
        <v>56</v>
      </c>
      <c r="I25" s="62" t="s">
        <v>61</v>
      </c>
    </row>
    <row r="26" spans="1:9" ht="12.75">
      <c r="A26" s="63" t="s">
        <v>5</v>
      </c>
      <c r="B26" s="288"/>
      <c r="C26" s="288"/>
      <c r="D26" s="64" t="s">
        <v>6</v>
      </c>
      <c r="E26" s="65" t="s">
        <v>7</v>
      </c>
      <c r="F26" s="64" t="s">
        <v>10</v>
      </c>
      <c r="G26" s="65" t="s">
        <v>17</v>
      </c>
      <c r="H26" s="64" t="s">
        <v>57</v>
      </c>
      <c r="I26" s="66" t="s">
        <v>62</v>
      </c>
    </row>
    <row r="27" spans="1:9" s="51" customFormat="1" ht="12">
      <c r="A27" s="47">
        <v>2009</v>
      </c>
      <c r="B27" s="48">
        <v>933</v>
      </c>
      <c r="C27" s="47">
        <v>5</v>
      </c>
      <c r="D27" s="49">
        <v>450</v>
      </c>
      <c r="E27" s="49">
        <f>D27*C27</f>
        <v>2250</v>
      </c>
      <c r="F27" s="49">
        <f>B27*E27</f>
        <v>2099250</v>
      </c>
      <c r="G27" s="212">
        <f>F27*13/100</f>
        <v>272902.5</v>
      </c>
      <c r="H27" s="50">
        <f>F27*2/100</f>
        <v>41985</v>
      </c>
      <c r="I27" s="50">
        <f>F27*11.78/100</f>
        <v>247291.65</v>
      </c>
    </row>
    <row r="28" spans="1:9" s="51" customFormat="1" ht="12">
      <c r="A28" s="47">
        <v>2010</v>
      </c>
      <c r="B28" s="52">
        <f>B27*2.6/100+B27</f>
        <v>957.258</v>
      </c>
      <c r="C28" s="52">
        <v>5</v>
      </c>
      <c r="D28" s="49">
        <f>D27*F20+D27</f>
        <v>461.7</v>
      </c>
      <c r="E28" s="49">
        <f>D28*C28</f>
        <v>2308.5</v>
      </c>
      <c r="F28" s="49">
        <f>(E28*B28)</f>
        <v>2209830.093</v>
      </c>
      <c r="G28" s="212">
        <f>F28*13/100</f>
        <v>287277.91209</v>
      </c>
      <c r="H28" s="50">
        <f>F28*2/100</f>
        <v>44196.601859999995</v>
      </c>
      <c r="I28" s="50">
        <f>F28*11.78/100</f>
        <v>260317.98495539997</v>
      </c>
    </row>
    <row r="29" spans="1:9" s="51" customFormat="1" ht="12">
      <c r="A29" s="47">
        <v>2011</v>
      </c>
      <c r="B29" s="52">
        <f>B28*2.6/100+B28</f>
        <v>982.146708</v>
      </c>
      <c r="C29" s="52">
        <v>5</v>
      </c>
      <c r="D29" s="49">
        <f>D28*F20+D28</f>
        <v>473.7042</v>
      </c>
      <c r="E29" s="49">
        <f>D29*C29</f>
        <v>2368.521</v>
      </c>
      <c r="F29" s="49">
        <f>(E29*B29)</f>
        <v>2326235.102978868</v>
      </c>
      <c r="G29" s="212">
        <f>F29*13/100</f>
        <v>302410.56338725286</v>
      </c>
      <c r="H29" s="50">
        <f>F29*2/100</f>
        <v>46524.70205957736</v>
      </c>
      <c r="I29" s="50">
        <f>F29*11.78/100</f>
        <v>274030.4951309106</v>
      </c>
    </row>
    <row r="30" spans="1:9" s="51" customFormat="1" ht="12">
      <c r="A30" s="47">
        <v>2012</v>
      </c>
      <c r="B30" s="52">
        <f>B29*2.6/100+B29</f>
        <v>1007.682522408</v>
      </c>
      <c r="C30" s="52">
        <v>5</v>
      </c>
      <c r="D30" s="49">
        <f>D29*F20+D29</f>
        <v>486.0205092</v>
      </c>
      <c r="E30" s="49">
        <f>D30*C30</f>
        <v>2430.102546</v>
      </c>
      <c r="F30" s="49">
        <f>(E30*B30)</f>
        <v>2448771.863263383</v>
      </c>
      <c r="G30" s="212">
        <f>F30*13/100</f>
        <v>318340.3422242398</v>
      </c>
      <c r="H30" s="50">
        <f>F30*2/100</f>
        <v>48975.43726526766</v>
      </c>
      <c r="I30" s="50">
        <f>F30*11.78/100</f>
        <v>288465.3254924265</v>
      </c>
    </row>
    <row r="31" spans="1:9" s="51" customFormat="1" ht="12">
      <c r="A31" s="47">
        <v>2013</v>
      </c>
      <c r="B31" s="52">
        <f>B30*2.6/100+B30</f>
        <v>1033.882267990608</v>
      </c>
      <c r="C31" s="52">
        <v>5</v>
      </c>
      <c r="D31" s="49">
        <f>D30*F20+D30</f>
        <v>498.6570424392</v>
      </c>
      <c r="E31" s="49">
        <f>D31*C31</f>
        <v>2493.285212196</v>
      </c>
      <c r="F31" s="49">
        <f>(E31*B31)</f>
        <v>2577763.3699326445</v>
      </c>
      <c r="G31" s="212">
        <f>F31*13/100</f>
        <v>335109.2380912438</v>
      </c>
      <c r="H31" s="50">
        <f>F31*2/100</f>
        <v>51555.26739865289</v>
      </c>
      <c r="I31" s="50">
        <f>F31*11.78/100</f>
        <v>303660.5249780655</v>
      </c>
    </row>
    <row r="32" spans="1:9" s="51" customFormat="1" ht="12">
      <c r="A32" s="67" t="s">
        <v>69</v>
      </c>
      <c r="B32" s="68"/>
      <c r="C32" s="69"/>
      <c r="D32" s="68"/>
      <c r="E32" s="68"/>
      <c r="F32" s="83">
        <f>SUM(F27:F31)</f>
        <v>11661850.429174896</v>
      </c>
      <c r="G32" s="83">
        <f>SUM(G27:G31)</f>
        <v>1516040.5557927364</v>
      </c>
      <c r="H32" s="83">
        <f>SUM(H27:H31)</f>
        <v>233237.0085834979</v>
      </c>
      <c r="I32" s="83">
        <f>SUM(I27:I31)</f>
        <v>1373765.9805568024</v>
      </c>
    </row>
    <row r="33" spans="4:8" ht="12.75">
      <c r="D33" s="4"/>
      <c r="G33" s="5"/>
      <c r="H33" s="5"/>
    </row>
    <row r="34" spans="1:8" ht="14.25">
      <c r="A34" s="7" t="s">
        <v>18</v>
      </c>
      <c r="B34" s="7"/>
      <c r="C34" s="7"/>
      <c r="D34" s="11"/>
      <c r="E34" s="7"/>
      <c r="F34" s="7"/>
      <c r="G34" s="12"/>
      <c r="H34" s="12"/>
    </row>
    <row r="35" spans="1:8" ht="14.25">
      <c r="A35" s="7" t="s">
        <v>103</v>
      </c>
      <c r="B35" s="7"/>
      <c r="C35" s="7"/>
      <c r="D35" s="11"/>
      <c r="E35" s="7"/>
      <c r="F35" s="7"/>
      <c r="G35" s="12"/>
      <c r="H35" s="12"/>
    </row>
    <row r="36" spans="1:8" ht="14.25">
      <c r="A36" s="7" t="s">
        <v>59</v>
      </c>
      <c r="B36" s="7"/>
      <c r="C36" s="7"/>
      <c r="D36" s="11"/>
      <c r="E36" s="7"/>
      <c r="F36" s="7"/>
      <c r="G36" s="12"/>
      <c r="H36" s="12"/>
    </row>
    <row r="37" spans="1:8" ht="15">
      <c r="A37" s="8" t="s">
        <v>184</v>
      </c>
      <c r="B37" s="7"/>
      <c r="C37" s="7"/>
      <c r="D37" s="11"/>
      <c r="E37" s="7"/>
      <c r="F37" s="7"/>
      <c r="G37" s="235"/>
      <c r="H37" s="235"/>
    </row>
    <row r="38" spans="1:8" ht="14.25">
      <c r="A38" s="7" t="s">
        <v>58</v>
      </c>
      <c r="B38" s="7"/>
      <c r="C38" s="7"/>
      <c r="D38" s="11"/>
      <c r="E38" s="7"/>
      <c r="F38" s="7"/>
      <c r="G38" s="12"/>
      <c r="H38" s="12"/>
    </row>
    <row r="39" spans="1:8" ht="14.25">
      <c r="A39" s="7"/>
      <c r="B39" s="7"/>
      <c r="C39" s="7"/>
      <c r="D39" s="11"/>
      <c r="E39" s="7"/>
      <c r="F39" s="7"/>
      <c r="G39" s="12"/>
      <c r="H39" s="12"/>
    </row>
    <row r="41" spans="1:4" ht="18">
      <c r="A41" s="180" t="s">
        <v>11</v>
      </c>
      <c r="B41" s="10"/>
      <c r="C41" s="10"/>
      <c r="D41" s="10"/>
    </row>
    <row r="43" spans="1:8" ht="14.25">
      <c r="A43" s="7" t="s">
        <v>16</v>
      </c>
      <c r="B43" s="7"/>
      <c r="C43" s="7"/>
      <c r="D43" s="7"/>
      <c r="E43" s="7"/>
      <c r="F43" s="7"/>
      <c r="G43" s="7"/>
      <c r="H43" s="7"/>
    </row>
    <row r="44" spans="1:8" ht="14.25">
      <c r="A44" s="7" t="s">
        <v>113</v>
      </c>
      <c r="B44" s="7"/>
      <c r="C44" s="7"/>
      <c r="D44" s="7"/>
      <c r="E44" s="18">
        <v>0.07</v>
      </c>
      <c r="F44" s="7"/>
      <c r="G44" s="7"/>
      <c r="H44" s="7"/>
    </row>
    <row r="45" spans="1:6" ht="14.25">
      <c r="A45" s="7" t="s">
        <v>63</v>
      </c>
      <c r="B45" s="7"/>
      <c r="C45" s="7" t="s">
        <v>3</v>
      </c>
      <c r="D45" s="7"/>
      <c r="E45" s="7"/>
      <c r="F45" s="7"/>
    </row>
    <row r="47" spans="1:4" ht="12.75">
      <c r="A47" s="72" t="s">
        <v>5</v>
      </c>
      <c r="B47" s="72" t="s">
        <v>12</v>
      </c>
      <c r="C47" s="72" t="s">
        <v>14</v>
      </c>
      <c r="D47" s="72" t="s">
        <v>13</v>
      </c>
    </row>
    <row r="48" spans="1:4" s="51" customFormat="1" ht="12">
      <c r="A48" s="47">
        <v>2009</v>
      </c>
      <c r="B48" s="49">
        <v>600000</v>
      </c>
      <c r="C48" s="47">
        <v>6</v>
      </c>
      <c r="D48" s="49">
        <f>B48*C48/100</f>
        <v>36000</v>
      </c>
    </row>
    <row r="49" spans="1:4" s="51" customFormat="1" ht="12">
      <c r="A49" s="47">
        <v>2010</v>
      </c>
      <c r="B49" s="49">
        <f>B48*E44+B48</f>
        <v>642000</v>
      </c>
      <c r="C49" s="47">
        <v>6</v>
      </c>
      <c r="D49" s="49">
        <f>B49*C49/100</f>
        <v>38520</v>
      </c>
    </row>
    <row r="50" spans="1:4" s="51" customFormat="1" ht="12">
      <c r="A50" s="47">
        <v>2011</v>
      </c>
      <c r="B50" s="49">
        <f>B49*E44+B49</f>
        <v>686940</v>
      </c>
      <c r="C50" s="47">
        <v>6</v>
      </c>
      <c r="D50" s="49">
        <f>B50*C50/100</f>
        <v>41216.4</v>
      </c>
    </row>
    <row r="51" spans="1:4" s="51" customFormat="1" ht="12">
      <c r="A51" s="47">
        <v>2012</v>
      </c>
      <c r="B51" s="49">
        <f>B50*E44+B50</f>
        <v>735025.8</v>
      </c>
      <c r="C51" s="47">
        <v>6</v>
      </c>
      <c r="D51" s="49">
        <f>B51*C51/100</f>
        <v>44101.54800000001</v>
      </c>
    </row>
    <row r="52" spans="1:5" s="51" customFormat="1" ht="12">
      <c r="A52" s="47">
        <v>2013</v>
      </c>
      <c r="B52" s="49">
        <f>B51*E44+B51</f>
        <v>786477.606</v>
      </c>
      <c r="C52" s="47">
        <v>6</v>
      </c>
      <c r="D52" s="49">
        <f>B52*C52/100</f>
        <v>47188.65636</v>
      </c>
      <c r="E52" s="51" t="s">
        <v>228</v>
      </c>
    </row>
    <row r="53" spans="1:4" s="51" customFormat="1" ht="12">
      <c r="A53" s="73" t="s">
        <v>15</v>
      </c>
      <c r="B53" s="74">
        <f>SUM(B48:B52)</f>
        <v>3450443.406</v>
      </c>
      <c r="C53" s="75"/>
      <c r="D53" s="74">
        <f>SUM(D48:D52)</f>
        <v>207026.60436</v>
      </c>
    </row>
    <row r="54" spans="3:5" ht="12.75">
      <c r="C54" s="6"/>
      <c r="E54" s="6"/>
    </row>
    <row r="55" spans="1:5" ht="12.75">
      <c r="A55" s="16"/>
      <c r="B55" s="16"/>
      <c r="C55" s="16"/>
      <c r="D55" s="16"/>
      <c r="E55" s="16"/>
    </row>
    <row r="56" ht="12.75">
      <c r="D56" s="14"/>
    </row>
    <row r="57" spans="1:8" ht="19.5">
      <c r="A57" s="279" t="s">
        <v>64</v>
      </c>
      <c r="B57" s="279"/>
      <c r="C57" s="279"/>
      <c r="D57" s="279"/>
      <c r="E57" s="279"/>
      <c r="F57" s="279"/>
      <c r="G57" s="279"/>
      <c r="H57" s="279"/>
    </row>
    <row r="58" spans="1:8" ht="19.5">
      <c r="A58" s="184"/>
      <c r="B58" s="184"/>
      <c r="C58" s="184"/>
      <c r="D58" s="184"/>
      <c r="E58" s="184"/>
      <c r="F58" s="184"/>
      <c r="G58" s="184"/>
      <c r="H58" s="184"/>
    </row>
    <row r="59" spans="9:14" ht="13.5" thickBot="1">
      <c r="I59" s="16"/>
      <c r="J59" s="81"/>
      <c r="K59" s="81"/>
      <c r="L59" s="81"/>
      <c r="M59" s="81"/>
      <c r="N59" s="81"/>
    </row>
    <row r="60" spans="1:14" ht="18">
      <c r="A60" s="289" t="s">
        <v>70</v>
      </c>
      <c r="B60" s="290"/>
      <c r="C60" s="290"/>
      <c r="D60" s="290"/>
      <c r="E60" s="290"/>
      <c r="F60" s="290"/>
      <c r="G60" s="291"/>
      <c r="H60" s="188"/>
      <c r="I60" s="16"/>
      <c r="J60" s="81"/>
      <c r="K60" s="81"/>
      <c r="L60" s="81"/>
      <c r="M60" s="81"/>
      <c r="N60" s="81"/>
    </row>
    <row r="61" spans="1:14" ht="12.75">
      <c r="A61" s="276" t="s">
        <v>77</v>
      </c>
      <c r="B61" s="277"/>
      <c r="C61" s="277"/>
      <c r="D61" s="277"/>
      <c r="E61" s="277"/>
      <c r="F61" s="277"/>
      <c r="G61" s="278"/>
      <c r="H61" s="189"/>
      <c r="I61" s="16"/>
      <c r="J61" s="16"/>
      <c r="K61" s="16"/>
      <c r="L61" s="16"/>
      <c r="M61" s="16"/>
      <c r="N61" s="16"/>
    </row>
    <row r="62" spans="1:14" ht="12.75">
      <c r="A62" s="114"/>
      <c r="B62" s="65"/>
      <c r="C62" s="65"/>
      <c r="D62" s="65"/>
      <c r="E62" s="65"/>
      <c r="F62" s="65"/>
      <c r="G62" s="115"/>
      <c r="H62" s="190"/>
      <c r="I62" s="16"/>
      <c r="J62" s="16"/>
      <c r="K62" s="16"/>
      <c r="L62" s="16"/>
      <c r="M62" s="16"/>
      <c r="N62" s="16"/>
    </row>
    <row r="63" spans="1:13" ht="12.75">
      <c r="A63" s="103"/>
      <c r="B63" s="80">
        <v>2009</v>
      </c>
      <c r="C63" s="80">
        <v>2010</v>
      </c>
      <c r="D63" s="80">
        <v>2011</v>
      </c>
      <c r="E63" s="80">
        <v>2012</v>
      </c>
      <c r="F63" s="80">
        <v>2013</v>
      </c>
      <c r="G63" s="116" t="s">
        <v>8</v>
      </c>
      <c r="H63" s="16"/>
      <c r="I63" s="16"/>
      <c r="J63" s="16"/>
      <c r="K63" s="16"/>
      <c r="L63" s="16"/>
      <c r="M63" s="16"/>
    </row>
    <row r="64" spans="1:13" ht="15">
      <c r="A64" s="117" t="s">
        <v>72</v>
      </c>
      <c r="B64" s="79"/>
      <c r="C64" s="79"/>
      <c r="D64" s="79"/>
      <c r="E64" s="79"/>
      <c r="F64" s="79"/>
      <c r="G64" s="118"/>
      <c r="H64" s="16"/>
      <c r="I64" s="16"/>
      <c r="J64" s="16"/>
      <c r="K64" s="16"/>
      <c r="L64" s="16"/>
      <c r="M64" s="16"/>
    </row>
    <row r="65" spans="1:13" ht="12.75">
      <c r="A65" s="245" t="s">
        <v>25</v>
      </c>
      <c r="B65" s="241">
        <f>G27</f>
        <v>272902.5</v>
      </c>
      <c r="C65" s="241">
        <f>G28</f>
        <v>287277.91209</v>
      </c>
      <c r="D65" s="241">
        <f>G29</f>
        <v>302410.56338725286</v>
      </c>
      <c r="E65" s="241">
        <f>G30</f>
        <v>318340.3422242398</v>
      </c>
      <c r="F65" s="241">
        <f>G31</f>
        <v>335109.2380912438</v>
      </c>
      <c r="G65" s="246">
        <f>SUM(B65:F65)</f>
        <v>1516040.5557927364</v>
      </c>
      <c r="H65" s="232"/>
      <c r="I65" s="16"/>
      <c r="J65" s="16"/>
      <c r="K65" s="16"/>
      <c r="L65" s="16"/>
      <c r="M65" s="16"/>
    </row>
    <row r="66" spans="1:13" ht="12.75">
      <c r="A66" s="119" t="s">
        <v>26</v>
      </c>
      <c r="B66" s="46">
        <f>I27</f>
        <v>247291.65</v>
      </c>
      <c r="C66" s="46">
        <f>I28</f>
        <v>260317.98495539997</v>
      </c>
      <c r="D66" s="46">
        <f>I29</f>
        <v>274030.4951309106</v>
      </c>
      <c r="E66" s="46">
        <f>I30</f>
        <v>288465.3254924265</v>
      </c>
      <c r="F66" s="46">
        <f>I31</f>
        <v>303660.5249780655</v>
      </c>
      <c r="G66" s="104">
        <f>SUM(B66:F66)</f>
        <v>1373765.9805568024</v>
      </c>
      <c r="H66" s="16"/>
      <c r="I66" s="168"/>
      <c r="J66" s="181"/>
      <c r="K66" s="16"/>
      <c r="L66" s="16"/>
      <c r="M66" s="16"/>
    </row>
    <row r="67" spans="1:13" ht="12.75">
      <c r="A67" s="105" t="s">
        <v>73</v>
      </c>
      <c r="B67" s="76">
        <f>SUM(B65:B66)</f>
        <v>520194.15</v>
      </c>
      <c r="C67" s="76">
        <f>SUM(C65:C66)</f>
        <v>547595.8970454</v>
      </c>
      <c r="D67" s="76">
        <f>SUM(D65:D66)</f>
        <v>576441.0585181634</v>
      </c>
      <c r="E67" s="76">
        <f>SUM(E65:E66)</f>
        <v>606805.6677166664</v>
      </c>
      <c r="F67" s="76">
        <f>SUM(F65:F66)</f>
        <v>638769.7630693093</v>
      </c>
      <c r="G67" s="106">
        <f>SUM(B67:F67)</f>
        <v>2889806.5363495387</v>
      </c>
      <c r="H67" s="16"/>
      <c r="I67" s="168"/>
      <c r="J67" s="182"/>
      <c r="K67" s="16"/>
      <c r="L67" s="16"/>
      <c r="M67" s="16"/>
    </row>
    <row r="68" spans="1:13" ht="15">
      <c r="A68" s="117" t="s">
        <v>71</v>
      </c>
      <c r="B68" s="78"/>
      <c r="C68" s="78"/>
      <c r="D68" s="78"/>
      <c r="E68" s="78"/>
      <c r="F68" s="78"/>
      <c r="G68" s="120"/>
      <c r="H68" s="16"/>
      <c r="I68" s="168"/>
      <c r="J68" s="183"/>
      <c r="K68" s="16"/>
      <c r="L68" s="16"/>
      <c r="M68" s="16"/>
    </row>
    <row r="69" spans="1:13" ht="12.75">
      <c r="A69" s="105" t="s">
        <v>106</v>
      </c>
      <c r="B69" s="46"/>
      <c r="C69" s="46"/>
      <c r="D69" s="46"/>
      <c r="E69" s="46"/>
      <c r="F69" s="46"/>
      <c r="G69" s="104" t="s">
        <v>3</v>
      </c>
      <c r="H69" s="16"/>
      <c r="I69" s="168"/>
      <c r="J69" s="102"/>
      <c r="K69" s="16"/>
      <c r="L69" s="16"/>
      <c r="M69" s="16"/>
    </row>
    <row r="70" spans="1:13" ht="12.75">
      <c r="A70" s="103" t="s">
        <v>125</v>
      </c>
      <c r="B70" s="46">
        <f>D48</f>
        <v>36000</v>
      </c>
      <c r="C70" s="46">
        <f>D49</f>
        <v>38520</v>
      </c>
      <c r="D70" s="46">
        <f>D50</f>
        <v>41216.4</v>
      </c>
      <c r="E70" s="46">
        <f>D51</f>
        <v>44101.54800000001</v>
      </c>
      <c r="F70" s="46">
        <f>D52</f>
        <v>47188.65636</v>
      </c>
      <c r="G70" s="104">
        <f>SUM(B70:F70)</f>
        <v>207026.60436</v>
      </c>
      <c r="H70" s="16"/>
      <c r="I70" s="16"/>
      <c r="J70" s="16"/>
      <c r="K70" s="16"/>
      <c r="L70" s="16"/>
      <c r="M70" s="16"/>
    </row>
    <row r="71" spans="1:7" ht="12.75">
      <c r="A71" s="245" t="s">
        <v>193</v>
      </c>
      <c r="B71" s="241">
        <f>H27</f>
        <v>41985</v>
      </c>
      <c r="C71" s="241">
        <f>H28</f>
        <v>44196.601859999995</v>
      </c>
      <c r="D71" s="241">
        <f>H29</f>
        <v>46524.70205957736</v>
      </c>
      <c r="E71" s="241">
        <f>H30</f>
        <v>48975.43726526766</v>
      </c>
      <c r="F71" s="241">
        <f>H31</f>
        <v>51555.26739865289</v>
      </c>
      <c r="G71" s="246">
        <f>SUM(B71:F71)</f>
        <v>233237.0085834979</v>
      </c>
    </row>
    <row r="72" spans="1:9" ht="12.75">
      <c r="A72" s="245" t="s">
        <v>27</v>
      </c>
      <c r="B72" s="241">
        <f>3500*12</f>
        <v>42000</v>
      </c>
      <c r="C72" s="241">
        <f>B72*1.05</f>
        <v>44100</v>
      </c>
      <c r="D72" s="241">
        <f>C72*1.05</f>
        <v>46305</v>
      </c>
      <c r="E72" s="241">
        <f>D72*1.05</f>
        <v>48620.25</v>
      </c>
      <c r="F72" s="241">
        <f>E72*1.05</f>
        <v>51051.262500000004</v>
      </c>
      <c r="G72" s="246">
        <f>SUM(B72:F72)</f>
        <v>232076.5125</v>
      </c>
      <c r="H72" s="233"/>
      <c r="I72" s="234"/>
    </row>
    <row r="73" spans="1:7" ht="12.75">
      <c r="A73" s="105" t="s">
        <v>30</v>
      </c>
      <c r="B73" s="76">
        <f aca="true" t="shared" si="0" ref="B73:G73">SUM(B70:B72)</f>
        <v>119985</v>
      </c>
      <c r="C73" s="76">
        <f t="shared" si="0"/>
        <v>126816.60186</v>
      </c>
      <c r="D73" s="76">
        <f t="shared" si="0"/>
        <v>134046.10205957736</v>
      </c>
      <c r="E73" s="76">
        <f t="shared" si="0"/>
        <v>141697.23526526766</v>
      </c>
      <c r="F73" s="76">
        <f t="shared" si="0"/>
        <v>149795.1862586529</v>
      </c>
      <c r="G73" s="106">
        <f t="shared" si="0"/>
        <v>672340.1254434979</v>
      </c>
    </row>
    <row r="74" spans="1:7" ht="12.75">
      <c r="A74" s="105" t="s">
        <v>107</v>
      </c>
      <c r="B74" s="46"/>
      <c r="C74" s="46"/>
      <c r="D74" s="46"/>
      <c r="E74" s="46"/>
      <c r="F74" s="46"/>
      <c r="G74" s="104"/>
    </row>
    <row r="75" spans="1:7" ht="12.75">
      <c r="A75" s="245" t="s">
        <v>192</v>
      </c>
      <c r="B75" s="241">
        <v>5000</v>
      </c>
      <c r="C75" s="241">
        <f>B75*1.05</f>
        <v>5250</v>
      </c>
      <c r="D75" s="241">
        <f aca="true" t="shared" si="1" ref="D75:F76">C75*1.05</f>
        <v>5512.5</v>
      </c>
      <c r="E75" s="241">
        <f t="shared" si="1"/>
        <v>5788.125</v>
      </c>
      <c r="F75" s="241">
        <f t="shared" si="1"/>
        <v>6077.53125</v>
      </c>
      <c r="G75" s="246">
        <f aca="true" t="shared" si="2" ref="G75:G80">SUM(B75:F75)</f>
        <v>27628.15625</v>
      </c>
    </row>
    <row r="76" spans="1:7" ht="12.75">
      <c r="A76" s="103" t="s">
        <v>104</v>
      </c>
      <c r="B76" s="46">
        <v>4680</v>
      </c>
      <c r="C76" s="46">
        <f>B76*1.05</f>
        <v>4914</v>
      </c>
      <c r="D76" s="46">
        <f t="shared" si="1"/>
        <v>5159.7</v>
      </c>
      <c r="E76" s="46">
        <f t="shared" si="1"/>
        <v>5417.685</v>
      </c>
      <c r="F76" s="46">
        <f t="shared" si="1"/>
        <v>5688.5692500000005</v>
      </c>
      <c r="G76" s="104">
        <f t="shared" si="2"/>
        <v>25859.954250000003</v>
      </c>
    </row>
    <row r="77" spans="1:8" ht="12.75">
      <c r="A77" s="245" t="s">
        <v>75</v>
      </c>
      <c r="B77" s="241">
        <v>32400</v>
      </c>
      <c r="C77" s="241">
        <v>32400</v>
      </c>
      <c r="D77" s="241">
        <v>32400</v>
      </c>
      <c r="E77" s="241">
        <v>32400</v>
      </c>
      <c r="F77" s="241">
        <v>32400</v>
      </c>
      <c r="G77" s="246">
        <f t="shared" si="2"/>
        <v>162000</v>
      </c>
      <c r="H77" s="233"/>
    </row>
    <row r="78" spans="1:13" s="21" customFormat="1" ht="12.75">
      <c r="A78" s="245" t="s">
        <v>101</v>
      </c>
      <c r="B78" s="241">
        <f>700*12</f>
        <v>8400</v>
      </c>
      <c r="C78" s="241">
        <f>700*12</f>
        <v>8400</v>
      </c>
      <c r="D78" s="241">
        <f>700*12</f>
        <v>8400</v>
      </c>
      <c r="E78" s="241">
        <f>700*12</f>
        <v>8400</v>
      </c>
      <c r="F78" s="241">
        <f>700*12</f>
        <v>8400</v>
      </c>
      <c r="G78" s="246">
        <f t="shared" si="2"/>
        <v>42000</v>
      </c>
      <c r="H78"/>
      <c r="I78"/>
      <c r="J78"/>
      <c r="K78"/>
      <c r="L78"/>
      <c r="M78"/>
    </row>
    <row r="79" spans="1:13" s="21" customFormat="1" ht="12.75">
      <c r="A79" s="245" t="s">
        <v>28</v>
      </c>
      <c r="B79" s="241">
        <f>'[1]SALARIOS'!$F$29</f>
        <v>138963.36000000002</v>
      </c>
      <c r="C79" s="241">
        <f>'[1]SALARIOS'!$F$29</f>
        <v>138963.36000000002</v>
      </c>
      <c r="D79" s="241">
        <f>'[1]SALARIOS'!$F$29</f>
        <v>138963.36000000002</v>
      </c>
      <c r="E79" s="241">
        <f>'[1]SALARIOS'!$F$29</f>
        <v>138963.36000000002</v>
      </c>
      <c r="F79" s="241">
        <f>'[1]SALARIOS'!$F$29</f>
        <v>138963.36000000002</v>
      </c>
      <c r="G79" s="246">
        <f t="shared" si="2"/>
        <v>694816.8</v>
      </c>
      <c r="H79" s="233"/>
      <c r="I79"/>
      <c r="J79"/>
      <c r="K79"/>
      <c r="L79"/>
      <c r="M79"/>
    </row>
    <row r="80" spans="1:7" ht="12.75">
      <c r="A80" s="103" t="s">
        <v>29</v>
      </c>
      <c r="B80" s="46">
        <f>'[1]SALARIOS'!$I$15</f>
        <v>19323.86</v>
      </c>
      <c r="C80" s="46">
        <f>'[1]SALARIOS'!$I$15</f>
        <v>19323.86</v>
      </c>
      <c r="D80" s="46">
        <f>'[1]SALARIOS'!$I$15</f>
        <v>19323.86</v>
      </c>
      <c r="E80" s="46">
        <f>'[1]SALARIOS'!$I$15</f>
        <v>19323.86</v>
      </c>
      <c r="F80" s="46">
        <f>'[1]SALARIOS'!$I$15</f>
        <v>19323.86</v>
      </c>
      <c r="G80" s="104">
        <f t="shared" si="2"/>
        <v>96619.3</v>
      </c>
    </row>
    <row r="81" spans="1:7" ht="12.75">
      <c r="A81" s="121" t="s">
        <v>194</v>
      </c>
      <c r="B81" s="46">
        <v>485</v>
      </c>
      <c r="C81" s="46">
        <f>B81*1.05</f>
        <v>509.25</v>
      </c>
      <c r="D81" s="46">
        <f>C81*1.05</f>
        <v>534.7125</v>
      </c>
      <c r="E81" s="46">
        <f>D81*1.05</f>
        <v>561.448125</v>
      </c>
      <c r="F81" s="46">
        <f>E81*1.05</f>
        <v>589.52053125</v>
      </c>
      <c r="G81" s="104">
        <f>SUM(B81:F81)</f>
        <v>2679.9311562499997</v>
      </c>
    </row>
    <row r="82" spans="1:7" ht="12.75">
      <c r="A82" s="103" t="s">
        <v>31</v>
      </c>
      <c r="B82" s="46">
        <f>'DEP. Y AMORT.'!B59</f>
        <v>13673.5136</v>
      </c>
      <c r="C82" s="46">
        <f>'DEP. Y AMORT.'!C59</f>
        <v>13673.5136</v>
      </c>
      <c r="D82" s="46">
        <f>'DEP. Y AMORT.'!D59</f>
        <v>13673.5136</v>
      </c>
      <c r="E82" s="46">
        <f>'DEP. Y AMORT.'!E59</f>
        <v>10791.5136</v>
      </c>
      <c r="F82" s="46">
        <f>'DEP. Y AMORT.'!F59</f>
        <v>10791.5136</v>
      </c>
      <c r="G82" s="104">
        <f aca="true" t="shared" si="3" ref="G82:G88">SUM(B82:F82)</f>
        <v>62603.568</v>
      </c>
    </row>
    <row r="83" spans="1:7" ht="12.75">
      <c r="A83" s="103" t="s">
        <v>32</v>
      </c>
      <c r="B83" s="46">
        <f>'DEP. Y AMORT.'!B84</f>
        <v>572</v>
      </c>
      <c r="C83" s="46">
        <f>'DEP. Y AMORT.'!C84</f>
        <v>572</v>
      </c>
      <c r="D83" s="46">
        <f>'DEP. Y AMORT.'!D84</f>
        <v>572</v>
      </c>
      <c r="E83" s="46">
        <f>'DEP. Y AMORT.'!E84</f>
        <v>572</v>
      </c>
      <c r="F83" s="46">
        <f>'DEP. Y AMORT.'!F84</f>
        <v>572</v>
      </c>
      <c r="G83" s="104">
        <f>SUM(B83:F83)</f>
        <v>2860</v>
      </c>
    </row>
    <row r="84" spans="1:7" ht="12.75">
      <c r="A84" s="105" t="s">
        <v>76</v>
      </c>
      <c r="B84" s="76">
        <f>SUM(B75:B83)</f>
        <v>223497.73360000004</v>
      </c>
      <c r="C84" s="76">
        <f>SUM(C75:C83)</f>
        <v>224005.98360000004</v>
      </c>
      <c r="D84" s="76">
        <f>SUM(D75:D83)</f>
        <v>224539.64609999998</v>
      </c>
      <c r="E84" s="76">
        <f>SUM(E75:E83)</f>
        <v>222217.99172500003</v>
      </c>
      <c r="F84" s="76">
        <f>SUM(F75:F83)</f>
        <v>222806.35463125003</v>
      </c>
      <c r="G84" s="106">
        <f>SUM(B84:F84)</f>
        <v>1117067.7096562502</v>
      </c>
    </row>
    <row r="85" spans="1:7" ht="12.75">
      <c r="A85" s="105" t="s">
        <v>74</v>
      </c>
      <c r="B85" s="76">
        <f>B84+B73</f>
        <v>343482.73360000004</v>
      </c>
      <c r="C85" s="76">
        <f>C84+C73</f>
        <v>350822.58546000003</v>
      </c>
      <c r="D85" s="76">
        <f>D84+D73</f>
        <v>358585.7481595774</v>
      </c>
      <c r="E85" s="76">
        <f>E84+E73</f>
        <v>363915.2269902677</v>
      </c>
      <c r="F85" s="76">
        <f>F84+F73</f>
        <v>372601.5408899029</v>
      </c>
      <c r="G85" s="106">
        <f t="shared" si="3"/>
        <v>1789407.835099748</v>
      </c>
    </row>
    <row r="86" spans="1:8" ht="12.75">
      <c r="A86" s="105" t="s">
        <v>33</v>
      </c>
      <c r="B86" s="46">
        <f>SUM(B67-B85)</f>
        <v>176711.4164</v>
      </c>
      <c r="C86" s="46">
        <f>SUM(C67-C85)</f>
        <v>196773.31158539996</v>
      </c>
      <c r="D86" s="46">
        <f>SUM(D67-D85)</f>
        <v>217855.31035858602</v>
      </c>
      <c r="E86" s="46">
        <f>SUM(E67-E85)</f>
        <v>242890.44072639866</v>
      </c>
      <c r="F86" s="46">
        <f>SUM(F67-F85)</f>
        <v>266168.2221794064</v>
      </c>
      <c r="G86" s="104">
        <f t="shared" si="3"/>
        <v>1100398.701249791</v>
      </c>
      <c r="H86" s="236"/>
    </row>
    <row r="87" spans="1:13" ht="12.75">
      <c r="A87" s="103" t="s">
        <v>34</v>
      </c>
      <c r="B87" s="46">
        <f>B86*0.15</f>
        <v>26506.71246</v>
      </c>
      <c r="C87" s="46">
        <f>C86*0.15</f>
        <v>29515.996737809994</v>
      </c>
      <c r="D87" s="46">
        <f>D86*0.15</f>
        <v>32678.296553787903</v>
      </c>
      <c r="E87" s="46">
        <f>E86*0.15</f>
        <v>36433.5661089598</v>
      </c>
      <c r="F87" s="46">
        <f>F86*0.15</f>
        <v>39925.23332691096</v>
      </c>
      <c r="G87" s="104">
        <f>SUM(B87:F87)</f>
        <v>165059.80518746865</v>
      </c>
      <c r="H87" s="21"/>
      <c r="I87" s="21"/>
      <c r="J87" s="21"/>
      <c r="K87" s="21"/>
      <c r="L87" s="21"/>
      <c r="M87" s="21"/>
    </row>
    <row r="88" spans="1:13" ht="12.75">
      <c r="A88" s="105" t="s">
        <v>60</v>
      </c>
      <c r="B88" s="46">
        <f>SUM(B86-B87)</f>
        <v>150204.70393999998</v>
      </c>
      <c r="C88" s="46">
        <f>SUM(C86-C87)</f>
        <v>167257.31484758997</v>
      </c>
      <c r="D88" s="46">
        <f>SUM(D86-D87)</f>
        <v>185177.01380479813</v>
      </c>
      <c r="E88" s="46">
        <f>SUM(E86-E87)</f>
        <v>206456.87461743888</v>
      </c>
      <c r="F88" s="46">
        <f>SUM(F86-F87)</f>
        <v>226242.98885249541</v>
      </c>
      <c r="G88" s="104">
        <f t="shared" si="3"/>
        <v>935338.8960623224</v>
      </c>
      <c r="H88" s="21"/>
      <c r="I88" s="21"/>
      <c r="J88" s="21"/>
      <c r="K88" s="21"/>
      <c r="L88" s="21"/>
      <c r="M88" s="21"/>
    </row>
    <row r="89" spans="1:7" ht="12.75">
      <c r="A89" s="103" t="s">
        <v>37</v>
      </c>
      <c r="B89" s="46">
        <f aca="true" t="shared" si="4" ref="B89:G89">B88*0.25</f>
        <v>37551.175984999994</v>
      </c>
      <c r="C89" s="46">
        <f t="shared" si="4"/>
        <v>41814.32871189749</v>
      </c>
      <c r="D89" s="46">
        <f t="shared" si="4"/>
        <v>46294.25345119953</v>
      </c>
      <c r="E89" s="46">
        <f t="shared" si="4"/>
        <v>51614.21865435972</v>
      </c>
      <c r="F89" s="46">
        <f t="shared" si="4"/>
        <v>56560.747213123854</v>
      </c>
      <c r="G89" s="104">
        <f t="shared" si="4"/>
        <v>233834.7240155806</v>
      </c>
    </row>
    <row r="90" spans="1:7" ht="15">
      <c r="A90" s="117" t="s">
        <v>35</v>
      </c>
      <c r="B90" s="78">
        <f>SUM(B88-B89)</f>
        <v>112653.52795499998</v>
      </c>
      <c r="C90" s="78">
        <f>SUM(C88-C89)</f>
        <v>125442.98613569248</v>
      </c>
      <c r="D90" s="78">
        <f>SUM(D88-D89)</f>
        <v>138882.7603535986</v>
      </c>
      <c r="E90" s="78">
        <f>SUM(E88-E89)</f>
        <v>154842.65596307916</v>
      </c>
      <c r="F90" s="78">
        <f>SUM(F88-F89)</f>
        <v>169682.24163937155</v>
      </c>
      <c r="G90" s="120">
        <f>SUM(B90:F90)</f>
        <v>701504.1720467417</v>
      </c>
    </row>
    <row r="91" spans="1:7" ht="13.5" thickBot="1">
      <c r="A91" s="122" t="s">
        <v>36</v>
      </c>
      <c r="B91" s="123">
        <f>SUM(B90/B67)</f>
        <v>0.2165605437027694</v>
      </c>
      <c r="C91" s="123">
        <f>SUM(C90/C67)</f>
        <v>0.22907948509572612</v>
      </c>
      <c r="D91" s="123">
        <f>SUM(D90/D67)</f>
        <v>0.24093141579924857</v>
      </c>
      <c r="E91" s="123">
        <f>SUM(E90/E67)</f>
        <v>0.25517668044488223</v>
      </c>
      <c r="F91" s="123">
        <f>SUM(F90/F67)</f>
        <v>0.2656391260977084</v>
      </c>
      <c r="G91" s="124"/>
    </row>
    <row r="94" spans="1:7" ht="18">
      <c r="A94" s="292" t="s">
        <v>96</v>
      </c>
      <c r="B94" s="292"/>
      <c r="C94" s="292"/>
      <c r="D94" s="292"/>
      <c r="E94" s="292"/>
      <c r="F94" s="292"/>
      <c r="G94" s="292"/>
    </row>
    <row r="95" spans="1:7" ht="12.75">
      <c r="A95" s="70"/>
      <c r="B95" s="176" t="s">
        <v>100</v>
      </c>
      <c r="C95" s="176">
        <v>2009</v>
      </c>
      <c r="D95" s="176">
        <v>2010</v>
      </c>
      <c r="E95" s="176">
        <v>2011</v>
      </c>
      <c r="F95" s="176">
        <v>2012</v>
      </c>
      <c r="G95" s="176">
        <v>2013</v>
      </c>
    </row>
    <row r="96" spans="1:7" ht="12.75">
      <c r="A96" s="173" t="s">
        <v>72</v>
      </c>
      <c r="B96" s="174"/>
      <c r="C96" s="174"/>
      <c r="D96" s="174"/>
      <c r="E96" s="174"/>
      <c r="F96" s="174"/>
      <c r="G96" s="174"/>
    </row>
    <row r="97" spans="1:7" ht="12.75">
      <c r="A97" s="70" t="s">
        <v>20</v>
      </c>
      <c r="B97" s="46"/>
      <c r="C97" s="46">
        <v>600000</v>
      </c>
      <c r="D97" s="46">
        <v>642000</v>
      </c>
      <c r="E97" s="46">
        <v>686940</v>
      </c>
      <c r="F97" s="46">
        <v>735025.8</v>
      </c>
      <c r="G97" s="46">
        <v>786477.606</v>
      </c>
    </row>
    <row r="98" spans="1:7" ht="12.75">
      <c r="A98" s="237" t="s">
        <v>127</v>
      </c>
      <c r="B98" s="241"/>
      <c r="C98" s="241">
        <v>1851958.35</v>
      </c>
      <c r="D98" s="241">
        <v>1949512.1080445999</v>
      </c>
      <c r="E98" s="241">
        <v>2052204.6078479574</v>
      </c>
      <c r="F98" s="241">
        <v>2160306.5377709568</v>
      </c>
      <c r="G98" s="241">
        <v>2274102.844954579</v>
      </c>
    </row>
    <row r="99" spans="1:7" ht="12.75">
      <c r="A99" s="71" t="s">
        <v>126</v>
      </c>
      <c r="B99" s="76"/>
      <c r="C99" s="76">
        <f>SUM(C97:C98)</f>
        <v>2451958.35</v>
      </c>
      <c r="D99" s="76">
        <f>SUM(D97:D98)</f>
        <v>2591512.1080446</v>
      </c>
      <c r="E99" s="76">
        <f>SUM(E97:E98)</f>
        <v>2739144.6078479574</v>
      </c>
      <c r="F99" s="76">
        <f>SUM(F97:F98)</f>
        <v>2895332.3377709566</v>
      </c>
      <c r="G99" s="76">
        <f>SUM(G97:G98)</f>
        <v>3060580.4509545793</v>
      </c>
    </row>
    <row r="100" spans="1:7" ht="12.75">
      <c r="A100" s="173" t="s">
        <v>97</v>
      </c>
      <c r="B100" s="174"/>
      <c r="C100" s="174"/>
      <c r="D100" s="174"/>
      <c r="E100" s="174"/>
      <c r="F100" s="174"/>
      <c r="G100" s="174"/>
    </row>
    <row r="101" spans="1:7" ht="12.75">
      <c r="A101" s="70" t="s">
        <v>102</v>
      </c>
      <c r="B101" s="46"/>
      <c r="C101" s="46">
        <f>F$27</f>
        <v>2099250</v>
      </c>
      <c r="D101" s="46">
        <f>F28</f>
        <v>2209830.093</v>
      </c>
      <c r="E101" s="46">
        <f>F29</f>
        <v>2326235.102978868</v>
      </c>
      <c r="F101" s="46">
        <f>F30</f>
        <v>2448771.863263383</v>
      </c>
      <c r="G101" s="46">
        <f>F31</f>
        <v>2577763.3699326445</v>
      </c>
    </row>
    <row r="102" spans="1:7" ht="12.75">
      <c r="A102" s="70" t="s">
        <v>21</v>
      </c>
      <c r="B102" s="46"/>
      <c r="C102" s="250">
        <v>3000</v>
      </c>
      <c r="D102" s="46">
        <v>3000</v>
      </c>
      <c r="E102" s="46">
        <v>3000</v>
      </c>
      <c r="F102" s="46">
        <v>3000</v>
      </c>
      <c r="G102" s="46">
        <v>3000</v>
      </c>
    </row>
    <row r="103" spans="1:7" ht="12.75">
      <c r="A103" s="70" t="s">
        <v>24</v>
      </c>
      <c r="B103" s="46"/>
      <c r="C103" s="250">
        <v>1800</v>
      </c>
      <c r="D103" s="46">
        <v>1800</v>
      </c>
      <c r="E103" s="46">
        <v>1800</v>
      </c>
      <c r="F103" s="46">
        <v>1800</v>
      </c>
      <c r="G103" s="46">
        <v>1800</v>
      </c>
    </row>
    <row r="104" spans="1:7" ht="12.75">
      <c r="A104" s="71" t="s">
        <v>128</v>
      </c>
      <c r="B104" s="76"/>
      <c r="C104" s="76">
        <f>SUM(C101:C103)</f>
        <v>2104050</v>
      </c>
      <c r="D104" s="76">
        <f>SUM(D101:D103)</f>
        <v>2214630.093</v>
      </c>
      <c r="E104" s="76">
        <f>SUM(E101:E103)</f>
        <v>2331035.102978868</v>
      </c>
      <c r="F104" s="76">
        <f>SUM(F101:F103)</f>
        <v>2453571.863263383</v>
      </c>
      <c r="G104" s="76">
        <f>SUM(G101:G103)</f>
        <v>2582563.3699326445</v>
      </c>
    </row>
    <row r="105" spans="1:7" ht="12.75">
      <c r="A105" s="71" t="s">
        <v>129</v>
      </c>
      <c r="B105" s="76"/>
      <c r="C105" s="76">
        <f>B86</f>
        <v>176711.4164</v>
      </c>
      <c r="D105" s="76">
        <f aca="true" t="shared" si="5" ref="D105:G108">C86</f>
        <v>196773.31158539996</v>
      </c>
      <c r="E105" s="76">
        <f t="shared" si="5"/>
        <v>217855.31035858602</v>
      </c>
      <c r="F105" s="76">
        <f t="shared" si="5"/>
        <v>242890.44072639866</v>
      </c>
      <c r="G105" s="76">
        <f t="shared" si="5"/>
        <v>266168.2221794064</v>
      </c>
    </row>
    <row r="106" spans="1:7" ht="12.75">
      <c r="A106" s="70" t="s">
        <v>22</v>
      </c>
      <c r="B106" s="46"/>
      <c r="C106" s="46">
        <f>B87</f>
        <v>26506.71246</v>
      </c>
      <c r="D106" s="46">
        <f t="shared" si="5"/>
        <v>29515.996737809994</v>
      </c>
      <c r="E106" s="46">
        <f t="shared" si="5"/>
        <v>32678.296553787903</v>
      </c>
      <c r="F106" s="46">
        <f t="shared" si="5"/>
        <v>36433.5661089598</v>
      </c>
      <c r="G106" s="46">
        <f t="shared" si="5"/>
        <v>39925.23332691096</v>
      </c>
    </row>
    <row r="107" spans="1:7" ht="12.75">
      <c r="A107" s="71" t="s">
        <v>130</v>
      </c>
      <c r="B107" s="76"/>
      <c r="C107" s="76">
        <f>B88</f>
        <v>150204.70393999998</v>
      </c>
      <c r="D107" s="76">
        <f t="shared" si="5"/>
        <v>167257.31484758997</v>
      </c>
      <c r="E107" s="76">
        <f t="shared" si="5"/>
        <v>185177.01380479813</v>
      </c>
      <c r="F107" s="76">
        <f t="shared" si="5"/>
        <v>206456.87461743888</v>
      </c>
      <c r="G107" s="76">
        <f t="shared" si="5"/>
        <v>226242.98885249541</v>
      </c>
    </row>
    <row r="108" spans="1:7" ht="12.75">
      <c r="A108" s="70" t="s">
        <v>23</v>
      </c>
      <c r="B108" s="46"/>
      <c r="C108" s="46">
        <f>B89</f>
        <v>37551.175984999994</v>
      </c>
      <c r="D108" s="46">
        <f t="shared" si="5"/>
        <v>41814.32871189749</v>
      </c>
      <c r="E108" s="46">
        <f t="shared" si="5"/>
        <v>46294.25345119953</v>
      </c>
      <c r="F108" s="46">
        <f t="shared" si="5"/>
        <v>51614.21865435972</v>
      </c>
      <c r="G108" s="46">
        <f t="shared" si="5"/>
        <v>56560.747213123854</v>
      </c>
    </row>
    <row r="109" spans="1:7" ht="12.75">
      <c r="A109" s="71" t="s">
        <v>131</v>
      </c>
      <c r="B109" s="76"/>
      <c r="C109" s="76">
        <f>C107-C108</f>
        <v>112653.52795499998</v>
      </c>
      <c r="D109" s="76">
        <f>D107-D108</f>
        <v>125442.98613569248</v>
      </c>
      <c r="E109" s="76">
        <f>E107-E108</f>
        <v>138882.7603535986</v>
      </c>
      <c r="F109" s="76">
        <f>F107-F108</f>
        <v>154842.65596307916</v>
      </c>
      <c r="G109" s="76">
        <f>G107-G108</f>
        <v>169682.24163937155</v>
      </c>
    </row>
    <row r="110" spans="1:7" ht="12.75">
      <c r="A110" s="77" t="s">
        <v>185</v>
      </c>
      <c r="B110" s="46"/>
      <c r="C110" s="46">
        <v>13673.5136</v>
      </c>
      <c r="D110" s="46">
        <v>13673.5136</v>
      </c>
      <c r="E110" s="46">
        <v>13673.5136</v>
      </c>
      <c r="F110" s="46">
        <v>10791.5136</v>
      </c>
      <c r="G110" s="46">
        <v>10791.5136</v>
      </c>
    </row>
    <row r="111" spans="1:7" ht="12.75">
      <c r="A111" s="70" t="s">
        <v>132</v>
      </c>
      <c r="B111" s="46"/>
      <c r="C111" s="46">
        <v>572</v>
      </c>
      <c r="D111" s="46">
        <v>572</v>
      </c>
      <c r="E111" s="46">
        <v>572</v>
      </c>
      <c r="F111" s="46">
        <v>572</v>
      </c>
      <c r="G111" s="46">
        <v>572</v>
      </c>
    </row>
    <row r="112" spans="1:7" ht="12.75">
      <c r="A112" s="77" t="s">
        <v>133</v>
      </c>
      <c r="B112" s="46"/>
      <c r="C112" s="46"/>
      <c r="D112" s="46"/>
      <c r="E112" s="46"/>
      <c r="F112" s="46"/>
      <c r="G112" s="46">
        <v>36177.568</v>
      </c>
    </row>
    <row r="113" spans="1:7" ht="25.5">
      <c r="A113" s="218" t="s">
        <v>229</v>
      </c>
      <c r="B113" s="46">
        <v>-1500000</v>
      </c>
      <c r="C113" s="46"/>
      <c r="D113" s="46"/>
      <c r="E113" s="46"/>
      <c r="F113" s="46"/>
      <c r="G113" s="46"/>
    </row>
    <row r="114" spans="1:7" ht="12.75">
      <c r="A114" s="173" t="s">
        <v>110</v>
      </c>
      <c r="B114" s="175">
        <f>B113</f>
        <v>-1500000</v>
      </c>
      <c r="C114" s="175">
        <f>C99-C104+C109+C110+C111+C113</f>
        <v>474807.3915550001</v>
      </c>
      <c r="D114" s="175">
        <f>D99-D104+D109+D110+D111+D113</f>
        <v>516570.5147802927</v>
      </c>
      <c r="E114" s="175">
        <f>E99-E104+E109+E110+E111+E113</f>
        <v>561237.778822688</v>
      </c>
      <c r="F114" s="175">
        <f>F99-F104+F109+F110+F111+F113</f>
        <v>607966.6440706527</v>
      </c>
      <c r="G114" s="175">
        <f>G99-G104+G109+G110+G111+G113-G112</f>
        <v>622885.2682613062</v>
      </c>
    </row>
    <row r="115" spans="1:7" ht="12.75">
      <c r="A115" s="178" t="s">
        <v>98</v>
      </c>
      <c r="B115" s="179">
        <f>B124</f>
        <v>596844.1708175584</v>
      </c>
      <c r="C115" s="5"/>
      <c r="D115" s="5"/>
      <c r="E115" s="5"/>
      <c r="F115" s="5"/>
      <c r="G115" s="5"/>
    </row>
    <row r="116" spans="1:7" ht="12.75">
      <c r="A116" s="178" t="s">
        <v>99</v>
      </c>
      <c r="B116" s="179">
        <f>IRR(B114:G114)*100</f>
        <v>23.477233990900938</v>
      </c>
      <c r="C116" s="5"/>
      <c r="D116" s="5"/>
      <c r="E116" s="5"/>
      <c r="F116" s="5"/>
      <c r="G116" s="5"/>
    </row>
    <row r="118" ht="13.5" thickBot="1"/>
    <row r="119" spans="1:7" ht="12.75">
      <c r="A119" s="293" t="s">
        <v>114</v>
      </c>
      <c r="B119" s="294"/>
      <c r="C119" s="294"/>
      <c r="D119" s="294"/>
      <c r="E119" s="294"/>
      <c r="F119" s="294"/>
      <c r="G119" s="295"/>
    </row>
    <row r="120" spans="1:7" ht="12.75">
      <c r="A120" s="70" t="s">
        <v>115</v>
      </c>
      <c r="B120" s="170">
        <v>0.0974</v>
      </c>
      <c r="C120" s="70"/>
      <c r="D120" s="70"/>
      <c r="E120" s="70"/>
      <c r="F120" s="70"/>
      <c r="G120" s="70"/>
    </row>
    <row r="121" spans="1:7" ht="12.75">
      <c r="A121" s="70" t="s">
        <v>116</v>
      </c>
      <c r="B121" s="71">
        <v>0</v>
      </c>
      <c r="C121" s="71">
        <v>1</v>
      </c>
      <c r="D121" s="71">
        <v>2</v>
      </c>
      <c r="E121" s="71">
        <v>3</v>
      </c>
      <c r="F121" s="71">
        <v>4</v>
      </c>
      <c r="G121" s="71">
        <v>5</v>
      </c>
    </row>
    <row r="122" spans="1:7" ht="12.75">
      <c r="A122" s="70" t="s">
        <v>117</v>
      </c>
      <c r="B122" s="46">
        <f aca="true" t="shared" si="6" ref="B122:G122">B114</f>
        <v>-1500000</v>
      </c>
      <c r="C122" s="46">
        <f t="shared" si="6"/>
        <v>474807.3915550001</v>
      </c>
      <c r="D122" s="46">
        <f t="shared" si="6"/>
        <v>516570.5147802927</v>
      </c>
      <c r="E122" s="46">
        <f t="shared" si="6"/>
        <v>561237.778822688</v>
      </c>
      <c r="F122" s="46">
        <f t="shared" si="6"/>
        <v>607966.6440706527</v>
      </c>
      <c r="G122" s="46">
        <f t="shared" si="6"/>
        <v>622885.2682613062</v>
      </c>
    </row>
    <row r="123" spans="1:7" ht="12.75">
      <c r="A123" s="71" t="s">
        <v>118</v>
      </c>
      <c r="B123" s="76">
        <f>(B122)/(1+$B$29)^B121</f>
        <v>-1500000</v>
      </c>
      <c r="C123" s="76">
        <f>(C122)/(1+$B$120)^C121</f>
        <v>432665.74772644445</v>
      </c>
      <c r="D123" s="76">
        <f>(D122)/(1+$B$120)^D121</f>
        <v>428943.1154921049</v>
      </c>
      <c r="E123" s="76">
        <f>(E122)/(1+$B$120)^E121</f>
        <v>424670.4375115021</v>
      </c>
      <c r="F123" s="76">
        <f>(F122)/(1+$B$120)^F121</f>
        <v>419198.70180564397</v>
      </c>
      <c r="G123" s="76">
        <f>(G122)/(1+$B$120)^G121</f>
        <v>391366.1682818629</v>
      </c>
    </row>
    <row r="124" spans="1:7" ht="12.75">
      <c r="A124" s="171" t="s">
        <v>98</v>
      </c>
      <c r="B124" s="172">
        <f>C123+D123+E123+F123+G123+H123+I123+J123+K123+L123+B123</f>
        <v>596844.1708175584</v>
      </c>
      <c r="C124" s="46"/>
      <c r="D124" s="46"/>
      <c r="E124" s="46"/>
      <c r="F124" s="46"/>
      <c r="G124" s="46"/>
    </row>
    <row r="136" spans="1:2" ht="12.75">
      <c r="A136" s="19" t="s">
        <v>3</v>
      </c>
      <c r="B136" s="19"/>
    </row>
    <row r="137" spans="1:2" ht="12.75">
      <c r="A137" s="20"/>
      <c r="B137" s="20"/>
    </row>
    <row r="138" spans="1:2" ht="12.75">
      <c r="A138" s="20" t="s">
        <v>3</v>
      </c>
      <c r="B138" s="20"/>
    </row>
    <row r="139" spans="1:2" ht="12.75">
      <c r="A139" s="20"/>
      <c r="B139" s="20"/>
    </row>
    <row r="140" spans="1:2" ht="12.75">
      <c r="A140" s="20" t="s">
        <v>3</v>
      </c>
      <c r="B140" s="20"/>
    </row>
    <row r="141" spans="1:2" ht="12.75">
      <c r="A141" s="20" t="s">
        <v>3</v>
      </c>
      <c r="B141" s="20"/>
    </row>
  </sheetData>
  <sheetProtection/>
  <mergeCells count="9">
    <mergeCell ref="A119:G119"/>
    <mergeCell ref="A61:G61"/>
    <mergeCell ref="A94:G94"/>
    <mergeCell ref="A3:C3"/>
    <mergeCell ref="A18:F18"/>
    <mergeCell ref="B24:B26"/>
    <mergeCell ref="C24:C26"/>
    <mergeCell ref="A57:H57"/>
    <mergeCell ref="A60:G6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HOME</cp:lastModifiedBy>
  <cp:lastPrinted>2008-03-24T21:09:33Z</cp:lastPrinted>
  <dcterms:created xsi:type="dcterms:W3CDTF">2008-01-24T23:03:18Z</dcterms:created>
  <dcterms:modified xsi:type="dcterms:W3CDTF">2008-04-13T08:13:06Z</dcterms:modified>
  <cp:category/>
  <cp:version/>
  <cp:contentType/>
  <cp:contentStatus/>
</cp:coreProperties>
</file>