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85" activeTab="1"/>
  </bookViews>
  <sheets>
    <sheet name="Hoja1" sheetId="1" r:id="rId1"/>
    <sheet name="ING Y CTOS" sheetId="2" r:id="rId2"/>
    <sheet name="DEPRECIACION" sheetId="3" r:id="rId3"/>
    <sheet name="sUELDOS" sheetId="4" r:id="rId4"/>
    <sheet name="Hoja5" sheetId="5" r:id="rId5"/>
  </sheets>
  <definedNames/>
  <calcPr fullCalcOnLoad="1"/>
</workbook>
</file>

<file path=xl/sharedStrings.xml><?xml version="1.0" encoding="utf-8"?>
<sst xmlns="http://schemas.openxmlformats.org/spreadsheetml/2006/main" count="306" uniqueCount="136">
  <si>
    <t>PIZZAS</t>
  </si>
  <si>
    <t>PRECIO</t>
  </si>
  <si>
    <t>COSTO</t>
  </si>
  <si>
    <t>ING. MENSUAL</t>
  </si>
  <si>
    <t>PESO PASTA</t>
  </si>
  <si>
    <t>PESO QUESO</t>
  </si>
  <si>
    <t>INF. ANUAL ESTIM.</t>
  </si>
  <si>
    <t>COSTO QUESO</t>
  </si>
  <si>
    <t>COSTO PASTA</t>
  </si>
  <si>
    <t>Inversiones</t>
  </si>
  <si>
    <t>Cantidad</t>
  </si>
  <si>
    <t>GRANDE</t>
  </si>
  <si>
    <t>CREC. POB. ANUAL</t>
  </si>
  <si>
    <t>Computadoras</t>
  </si>
  <si>
    <t>MEDIANA</t>
  </si>
  <si>
    <t>REGALIAS 5%</t>
  </si>
  <si>
    <t>Impresora</t>
  </si>
  <si>
    <t>PEQUEÑA</t>
  </si>
  <si>
    <t>Fax</t>
  </si>
  <si>
    <t>PERSONAL</t>
  </si>
  <si>
    <t>Muebles de Oficina</t>
  </si>
  <si>
    <t>TOTAL</t>
  </si>
  <si>
    <t>Aire Acondicionado</t>
  </si>
  <si>
    <t>INGRESOS DEL PROYECTO FRANQUICIA</t>
  </si>
  <si>
    <t>Equipos de Oficina</t>
  </si>
  <si>
    <t>PRECIO PASTA</t>
  </si>
  <si>
    <t>PRECIO QUESO</t>
  </si>
  <si>
    <t>REGALIAS</t>
  </si>
  <si>
    <t>PASTA</t>
  </si>
  <si>
    <t>QUESOS</t>
  </si>
  <si>
    <t>Utiles de Oficina</t>
  </si>
  <si>
    <t>Instalaciones</t>
  </si>
  <si>
    <t xml:space="preserve">Vehiculo </t>
  </si>
  <si>
    <t>Alquiler</t>
  </si>
  <si>
    <t>Total</t>
  </si>
  <si>
    <t>COSTOS DEL PROYECTO FRANQUICIA</t>
  </si>
  <si>
    <t>VENTAS</t>
  </si>
  <si>
    <t>COSTOS</t>
  </si>
  <si>
    <t xml:space="preserve">PUESTO </t>
  </si>
  <si>
    <t>No. EMPLEADOS</t>
  </si>
  <si>
    <t>SUELDO</t>
  </si>
  <si>
    <t>SUELDO TOTAL</t>
  </si>
  <si>
    <t>PUBLICIDAD</t>
  </si>
  <si>
    <t>LIDER DE GRUPO</t>
  </si>
  <si>
    <t>PIZZEROS</t>
  </si>
  <si>
    <t xml:space="preserve">MESEROS </t>
  </si>
  <si>
    <t>MOTORIZADOS</t>
  </si>
  <si>
    <t>GUARDIA</t>
  </si>
  <si>
    <t>MANTENIMIENTO</t>
  </si>
  <si>
    <t>SERVICIOS BASICOS</t>
  </si>
  <si>
    <t xml:space="preserve">COLAS </t>
  </si>
  <si>
    <t>SUMINISTROS DE OFICINA</t>
  </si>
  <si>
    <t>2 LITROS</t>
  </si>
  <si>
    <t>ALQUILER</t>
  </si>
  <si>
    <t>VASOS</t>
  </si>
  <si>
    <t>DEPRECIACION</t>
  </si>
  <si>
    <t>S. BASICOS</t>
  </si>
  <si>
    <t>S. OFICINA</t>
  </si>
  <si>
    <t>SUELDOS OPER.</t>
  </si>
  <si>
    <t>MANTENIEMIENTO</t>
  </si>
  <si>
    <t>COLAS ING.</t>
  </si>
  <si>
    <t>COLAS CTO.</t>
  </si>
  <si>
    <t>CAPACITACION</t>
  </si>
  <si>
    <t>ING. FRANQ.</t>
  </si>
  <si>
    <t>COST. FRANQ.</t>
  </si>
  <si>
    <t>I N G R E S O S   P O R   R E G A L I A S</t>
  </si>
  <si>
    <t>4 MESES</t>
  </si>
  <si>
    <t>8 MESES</t>
  </si>
  <si>
    <t>12 MESES</t>
  </si>
  <si>
    <t>16 MESES</t>
  </si>
  <si>
    <t>20 MESES</t>
  </si>
  <si>
    <t>24 MESES</t>
  </si>
  <si>
    <t>60 MESES</t>
  </si>
  <si>
    <t>56 MESES</t>
  </si>
  <si>
    <t>52 MESES</t>
  </si>
  <si>
    <t>48 MESES</t>
  </si>
  <si>
    <t>44 MESES</t>
  </si>
  <si>
    <t>40 MESES</t>
  </si>
  <si>
    <t>CENTRO</t>
  </si>
  <si>
    <t>GARZOTA</t>
  </si>
  <si>
    <t>SAMBORON</t>
  </si>
  <si>
    <t>PASEO SUR</t>
  </si>
  <si>
    <t>URDESA</t>
  </si>
  <si>
    <t>NUEVA</t>
  </si>
  <si>
    <t>I N G R E S O S   P O R   P A S T A   D E   T O M A T E</t>
  </si>
  <si>
    <t>I N G R E S O S   P O R   Q U E S O</t>
  </si>
  <si>
    <t>C O S T O S   P O R   P U B L I C I D A D</t>
  </si>
  <si>
    <t xml:space="preserve"> PROYECTO DE FRANQUICIA</t>
  </si>
  <si>
    <t>PUBLICIDAD ( FRANQUICIA )</t>
  </si>
  <si>
    <t>C O S T O S   P O R   P A S T A   D E   T O M A T E</t>
  </si>
  <si>
    <t>C O S T O S   P O R   Q U E S O</t>
  </si>
  <si>
    <t>PRESTAMO</t>
  </si>
  <si>
    <t>DIRECTOR</t>
  </si>
  <si>
    <t>ASISTENTE</t>
  </si>
  <si>
    <t>GTE. OPERACIONES</t>
  </si>
  <si>
    <t>CTE. ADM. FINANCIERO</t>
  </si>
  <si>
    <t xml:space="preserve">AÑO </t>
  </si>
  <si>
    <t>PAGO</t>
  </si>
  <si>
    <t>INTERES</t>
  </si>
  <si>
    <t>SALDO</t>
  </si>
  <si>
    <t>GTE. MARKETING</t>
  </si>
  <si>
    <t>JEFE RRHH</t>
  </si>
  <si>
    <t>JEFE DE BODEGA</t>
  </si>
  <si>
    <t>JEFE DE PROD.  PASTA</t>
  </si>
  <si>
    <t>ASISTENTE CONTABLE</t>
  </si>
  <si>
    <t>ASISTENTE MKT</t>
  </si>
  <si>
    <t>ASISTENTE BODEGA</t>
  </si>
  <si>
    <t>CHOFER</t>
  </si>
  <si>
    <t>AYUDANTES PROD. PASTA</t>
  </si>
  <si>
    <t>ACTIVOS</t>
  </si>
  <si>
    <t>AÑO 1</t>
  </si>
  <si>
    <t>AÑO 2</t>
  </si>
  <si>
    <t>AÑO 3</t>
  </si>
  <si>
    <t>AÑO 4</t>
  </si>
  <si>
    <t>AÑO 5</t>
  </si>
  <si>
    <t>AÑO 6</t>
  </si>
  <si>
    <t>AÑO 7</t>
  </si>
  <si>
    <t>Impresoras</t>
  </si>
  <si>
    <t>Vehiculo</t>
  </si>
  <si>
    <t>ACUMALADA</t>
  </si>
  <si>
    <t>VALOR DE SALVAMENTO</t>
  </si>
  <si>
    <t>COMPRA DE NUEVOS EQUIPO</t>
  </si>
  <si>
    <t xml:space="preserve">CAPITAL </t>
  </si>
  <si>
    <t>SUELDOS ADM.</t>
  </si>
  <si>
    <t>C U A D R O   D E    D E P R E C I A C I O N    D E L   P R O Y E C T O    D E     F R A N Q U I C I A</t>
  </si>
  <si>
    <t>S U E L D O S     P R O Y E C T O    D E    F R A N Q U I C I A</t>
  </si>
  <si>
    <t>SUELDOS  ADMINISTRATIVOS Y OPERATIVOS DE LA PIZZERIA</t>
  </si>
  <si>
    <t>CAPITAL</t>
  </si>
  <si>
    <t>Costo Uni.</t>
  </si>
  <si>
    <t>Cto. Total</t>
  </si>
  <si>
    <t xml:space="preserve">Anexo # 16 </t>
  </si>
  <si>
    <t>Cálculos para Ingresos y Egresos de los Estados Financieros</t>
  </si>
  <si>
    <t>NEGOCIO DE PIZZERIA</t>
  </si>
  <si>
    <t>JEFE DE PIZZERIA</t>
  </si>
  <si>
    <t>CONTADOR</t>
  </si>
  <si>
    <t>CAJERA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</si>
</sst>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[$$-409]#,##0"/>
    <numFmt numFmtId="165" formatCode="0.00000"/>
    <numFmt numFmtId="166" formatCode="0.0000000"/>
    <numFmt numFmtId="167" formatCode="#,##0.000000"/>
    <numFmt numFmtId="168" formatCode="&quot;S/.&quot;\ #,##0"/>
  </numFmts>
  <fonts count="12">
    <font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6"/>
      <name val="Arial Narrow"/>
      <family val="2"/>
    </font>
    <font>
      <sz val="7"/>
      <name val="Arial"/>
      <family val="0"/>
    </font>
    <font>
      <b/>
      <sz val="7"/>
      <name val="Arial Narrow"/>
      <family val="2"/>
    </font>
    <font>
      <sz val="7"/>
      <name val="Arial Narrow"/>
      <family val="2"/>
    </font>
    <font>
      <sz val="8"/>
      <name val="Arial"/>
      <family val="0"/>
    </font>
    <font>
      <b/>
      <sz val="9"/>
      <name val="Arial"/>
      <family val="2"/>
    </font>
    <font>
      <b/>
      <sz val="9"/>
      <name val="Arial Narrow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0" fontId="1" fillId="0" borderId="3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3" fontId="1" fillId="0" borderId="8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7" xfId="0" applyFont="1" applyBorder="1" applyAlignment="1">
      <alignment/>
    </xf>
    <xf numFmtId="1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10" fontId="1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166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" xfId="0" applyFont="1" applyBorder="1" applyAlignment="1">
      <alignment/>
    </xf>
    <xf numFmtId="4" fontId="2" fillId="0" borderId="2" xfId="0" applyNumberFormat="1" applyFont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1" fillId="0" borderId="9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9" xfId="0" applyFont="1" applyBorder="1" applyAlignment="1">
      <alignment/>
    </xf>
    <xf numFmtId="4" fontId="2" fillId="0" borderId="19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1" fillId="0" borderId="2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1" fillId="0" borderId="21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4" xfId="0" applyFont="1" applyBorder="1" applyAlignment="1">
      <alignment/>
    </xf>
    <xf numFmtId="2" fontId="1" fillId="0" borderId="0" xfId="0" applyNumberFormat="1" applyFont="1" applyAlignment="1">
      <alignment/>
    </xf>
    <xf numFmtId="4" fontId="2" fillId="0" borderId="17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0" fontId="5" fillId="0" borderId="12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8" fontId="5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0" xfId="0" applyFont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0" fillId="0" borderId="1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0" fontId="11" fillId="0" borderId="0" xfId="0" applyNumberFormat="1" applyFont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8" fontId="1" fillId="2" borderId="6" xfId="0" applyNumberFormat="1" applyFont="1" applyFill="1" applyBorder="1" applyAlignment="1">
      <alignment horizontal="center"/>
    </xf>
    <xf numFmtId="168" fontId="2" fillId="2" borderId="5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left"/>
    </xf>
    <xf numFmtId="4" fontId="1" fillId="0" borderId="12" xfId="0" applyNumberFormat="1" applyFont="1" applyBorder="1" applyAlignment="1">
      <alignment horizontal="left"/>
    </xf>
    <xf numFmtId="4" fontId="2" fillId="0" borderId="4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2" borderId="4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24"/>
  <sheetViews>
    <sheetView workbookViewId="0" topLeftCell="A1">
      <selection activeCell="I9" sqref="I9"/>
    </sheetView>
  </sheetViews>
  <sheetFormatPr defaultColWidth="11.421875" defaultRowHeight="12.75"/>
  <cols>
    <col min="1" max="1" width="5.8515625" style="1" customWidth="1"/>
    <col min="2" max="2" width="8.421875" style="2" bestFit="1" customWidth="1"/>
    <col min="3" max="3" width="8.8515625" style="1" bestFit="1" customWidth="1"/>
    <col min="4" max="4" width="8.00390625" style="1" bestFit="1" customWidth="1"/>
    <col min="5" max="5" width="8.421875" style="1" bestFit="1" customWidth="1"/>
    <col min="6" max="6" width="11.00390625" style="1" bestFit="1" customWidth="1"/>
    <col min="7" max="7" width="11.421875" style="1" customWidth="1"/>
    <col min="8" max="8" width="12.00390625" style="1" bestFit="1" customWidth="1"/>
    <col min="9" max="9" width="13.140625" style="1" bestFit="1" customWidth="1"/>
    <col min="10" max="11" width="11.421875" style="1" bestFit="1" customWidth="1"/>
    <col min="12" max="12" width="9.7109375" style="1" customWidth="1"/>
    <col min="13" max="13" width="10.7109375" style="1" bestFit="1" customWidth="1"/>
    <col min="14" max="14" width="8.00390625" style="1" bestFit="1" customWidth="1"/>
    <col min="15" max="15" width="14.28125" style="1" bestFit="1" customWidth="1"/>
    <col min="16" max="17" width="7.57421875" style="1" bestFit="1" customWidth="1"/>
    <col min="18" max="18" width="10.7109375" style="1" bestFit="1" customWidth="1"/>
    <col min="19" max="19" width="10.7109375" style="1" customWidth="1"/>
    <col min="20" max="20" width="5.421875" style="1" customWidth="1"/>
    <col min="21" max="21" width="11.8515625" style="1" customWidth="1"/>
    <col min="22" max="16384" width="11.421875" style="1" customWidth="1"/>
  </cols>
  <sheetData>
    <row r="1" spans="2:14" ht="15">
      <c r="B1" s="114" t="s">
        <v>130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4" ht="15">
      <c r="B2" s="115" t="s">
        <v>131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2:8" ht="15">
      <c r="B3" s="115"/>
      <c r="C3" s="115"/>
      <c r="D3" s="115"/>
      <c r="E3" s="115"/>
      <c r="F3" s="115"/>
      <c r="G3" s="115"/>
      <c r="H3" s="115"/>
    </row>
    <row r="4" ht="13.5" thickBot="1"/>
    <row r="5" spans="2:14" s="3" customFormat="1" ht="12.75">
      <c r="B5" s="4"/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6" t="s">
        <v>5</v>
      </c>
      <c r="K5" s="43"/>
      <c r="L5" s="5" t="s">
        <v>36</v>
      </c>
      <c r="M5" s="5" t="s">
        <v>37</v>
      </c>
      <c r="N5" s="6" t="s">
        <v>27</v>
      </c>
    </row>
    <row r="6" spans="2:26" ht="12.75">
      <c r="B6" s="11" t="s">
        <v>11</v>
      </c>
      <c r="C6" s="12">
        <f>3009.84821242122</f>
        <v>3009.84821242122</v>
      </c>
      <c r="D6" s="13">
        <f>15.49</f>
        <v>15.49</v>
      </c>
      <c r="E6" s="13">
        <f>3.99+3</f>
        <v>6.99</v>
      </c>
      <c r="F6" s="13">
        <f>+C6*D6</f>
        <v>46622.548810404696</v>
      </c>
      <c r="G6" s="14">
        <v>0.45</v>
      </c>
      <c r="H6" s="15">
        <v>0.45</v>
      </c>
      <c r="K6" s="46">
        <v>2004</v>
      </c>
      <c r="L6" s="13">
        <f>+C13*D13</f>
        <v>789739.8109278609</v>
      </c>
      <c r="M6" s="13">
        <f>+C13*E13</f>
        <v>349958.6262420721</v>
      </c>
      <c r="N6" s="57">
        <f>+L6*Hoja5!$H$4</f>
        <v>39486.99054639305</v>
      </c>
      <c r="Y6" s="24"/>
      <c r="Z6" s="24"/>
    </row>
    <row r="7" spans="2:26" ht="12.75">
      <c r="B7" s="11" t="s">
        <v>14</v>
      </c>
      <c r="C7" s="12">
        <f>1703.53906144437</f>
        <v>1703.53906144437</v>
      </c>
      <c r="D7" s="13">
        <v>10.06</v>
      </c>
      <c r="E7" s="13">
        <f>2.46+1.76</f>
        <v>4.22</v>
      </c>
      <c r="F7" s="13">
        <f>+C7*D7</f>
        <v>17137.602958130363</v>
      </c>
      <c r="G7" s="14">
        <v>0.25</v>
      </c>
      <c r="H7" s="15">
        <v>0.25</v>
      </c>
      <c r="K7" s="46">
        <v>2005</v>
      </c>
      <c r="L7" s="13">
        <f>+C14*D14</f>
        <v>845084.7768776853</v>
      </c>
      <c r="M7" s="13">
        <f>+C14*E14</f>
        <v>374483.7267691164</v>
      </c>
      <c r="N7" s="57">
        <f>+L7*Hoja5!$H$4</f>
        <v>42254.23884388427</v>
      </c>
      <c r="Y7" s="24"/>
      <c r="Z7" s="24"/>
    </row>
    <row r="8" spans="2:25" ht="12.75">
      <c r="B8" s="11" t="s">
        <v>17</v>
      </c>
      <c r="C8" s="12">
        <f>305.157019515336</f>
        <v>305.157019515336</v>
      </c>
      <c r="D8" s="13">
        <v>5.88</v>
      </c>
      <c r="E8" s="13">
        <f>1.42+1.125</f>
        <v>2.545</v>
      </c>
      <c r="F8" s="13">
        <f>+C8*D8</f>
        <v>1794.3232747501756</v>
      </c>
      <c r="G8" s="14">
        <v>0.15</v>
      </c>
      <c r="H8" s="15">
        <v>0.11</v>
      </c>
      <c r="K8" s="46">
        <v>2006</v>
      </c>
      <c r="L8" s="13">
        <f>+C15*D15</f>
        <v>904308.3180412735</v>
      </c>
      <c r="M8" s="13">
        <f>+C15*E15</f>
        <v>400727.54634109605</v>
      </c>
      <c r="N8" s="57">
        <f>+L8*Hoja5!$H$4</f>
        <v>45215.41590206368</v>
      </c>
      <c r="Y8" s="24"/>
    </row>
    <row r="9" spans="2:25" ht="12.75">
      <c r="B9" s="11" t="s">
        <v>19</v>
      </c>
      <c r="C9" s="12">
        <f>100.701816440061</f>
        <v>100.701816440061</v>
      </c>
      <c r="D9" s="13">
        <v>2.58</v>
      </c>
      <c r="E9" s="13">
        <f>0.84+0.75</f>
        <v>1.5899999999999999</v>
      </c>
      <c r="F9" s="13">
        <f>+C9*D9</f>
        <v>259.8106864153574</v>
      </c>
      <c r="G9" s="14">
        <v>0.06</v>
      </c>
      <c r="H9" s="15">
        <v>0.06</v>
      </c>
      <c r="K9" s="46">
        <v>2007</v>
      </c>
      <c r="L9" s="13">
        <f>+C16*D16</f>
        <v>967682.2449696059</v>
      </c>
      <c r="M9" s="13">
        <f>+C16*E16</f>
        <v>428810.53278868005</v>
      </c>
      <c r="N9" s="57">
        <f>+L9*Hoja5!$H$4</f>
        <v>48384.1122484803</v>
      </c>
      <c r="Y9" s="29"/>
    </row>
    <row r="10" spans="2:25" ht="13.5" thickBot="1">
      <c r="B10" s="25" t="s">
        <v>21</v>
      </c>
      <c r="C10" s="30">
        <f>SUM(C6:C9)</f>
        <v>5119.246109820987</v>
      </c>
      <c r="D10" s="31">
        <v>12.855731</v>
      </c>
      <c r="E10" s="32">
        <v>5.69678</v>
      </c>
      <c r="F10" s="31">
        <f>SUM(F6:F9)</f>
        <v>65814.28572970058</v>
      </c>
      <c r="G10" s="31">
        <v>0.357873</v>
      </c>
      <c r="H10" s="33">
        <v>0.3558</v>
      </c>
      <c r="J10" s="34"/>
      <c r="K10" s="46">
        <v>2008</v>
      </c>
      <c r="L10" s="13">
        <f>+C17*D17</f>
        <v>1035497.416697076</v>
      </c>
      <c r="M10" s="13">
        <f>+C17*E17</f>
        <v>458861.5749265108</v>
      </c>
      <c r="N10" s="57">
        <f>+L10*Hoja5!$H$4</f>
        <v>51774.870834853806</v>
      </c>
      <c r="Y10" s="29"/>
    </row>
    <row r="11" spans="2:25" ht="13.5" thickBot="1">
      <c r="B11" s="35"/>
      <c r="C11" s="36"/>
      <c r="D11" s="37"/>
      <c r="E11" s="38"/>
      <c r="F11" s="39"/>
      <c r="G11" s="39"/>
      <c r="H11" s="39"/>
      <c r="K11" s="46">
        <v>2009</v>
      </c>
      <c r="L11" s="13">
        <f>+C18*D18</f>
        <v>1108065.075659207</v>
      </c>
      <c r="M11" s="13">
        <f>+C18*E18</f>
        <v>491018.5940973606</v>
      </c>
      <c r="N11" s="57">
        <f>+L11*Hoja5!$H$4</f>
        <v>55403.25378296035</v>
      </c>
      <c r="Y11" s="29"/>
    </row>
    <row r="12" spans="2:25" ht="13.5" thickBot="1">
      <c r="B12" s="43"/>
      <c r="C12" s="5" t="s">
        <v>0</v>
      </c>
      <c r="D12" s="5" t="s">
        <v>1</v>
      </c>
      <c r="E12" s="5" t="s">
        <v>2</v>
      </c>
      <c r="F12" s="44" t="s">
        <v>25</v>
      </c>
      <c r="G12" s="44" t="s">
        <v>26</v>
      </c>
      <c r="H12" s="45" t="s">
        <v>8</v>
      </c>
      <c r="I12" s="6" t="s">
        <v>7</v>
      </c>
      <c r="K12" s="52">
        <v>2010</v>
      </c>
      <c r="L12" s="31">
        <f>+C19*D19</f>
        <v>1185718.2761614043</v>
      </c>
      <c r="M12" s="31">
        <f>+C19*E19</f>
        <v>525429.1771717037</v>
      </c>
      <c r="N12" s="58">
        <f>+L12*Hoja5!$H$4</f>
        <v>59285.91380807022</v>
      </c>
      <c r="Y12" s="29"/>
    </row>
    <row r="13" spans="2:25" ht="13.5" thickBot="1">
      <c r="B13" s="46">
        <v>2004</v>
      </c>
      <c r="C13" s="12">
        <f>+C10*12</f>
        <v>61430.95331785185</v>
      </c>
      <c r="D13" s="13">
        <v>12.855731</v>
      </c>
      <c r="E13" s="13">
        <v>5.69678</v>
      </c>
      <c r="F13" s="13">
        <v>0.980572038</v>
      </c>
      <c r="G13" s="13">
        <v>1.2453</v>
      </c>
      <c r="H13" s="13">
        <f>+G10*Hoja5!K3</f>
        <v>0.78374187</v>
      </c>
      <c r="I13" s="47">
        <f>+H10*Hoja5!J3</f>
        <v>1.0674000000000001</v>
      </c>
      <c r="Y13" s="29"/>
    </row>
    <row r="14" spans="2:25" ht="12.75">
      <c r="B14" s="46">
        <v>2005</v>
      </c>
      <c r="C14" s="12">
        <f>+C13*(1+Hoja5!$H$3)</f>
        <v>62905.29619748029</v>
      </c>
      <c r="D14" s="13">
        <f>+D13*(1+Hoja5!$H$2)</f>
        <v>13.434238895</v>
      </c>
      <c r="E14" s="13">
        <f>+E13*(1+Hoja5!$H$2)</f>
        <v>5.9531351</v>
      </c>
      <c r="F14" s="13">
        <f>+F13*(1+Hoja5!$H$2)</f>
        <v>1.0246977797099999</v>
      </c>
      <c r="G14" s="13">
        <f>+G13*(1+Hoja5!$H$2)</f>
        <v>1.3013385</v>
      </c>
      <c r="H14" s="13">
        <f>+H13*(1+Hoja5!$H$2)</f>
        <v>0.8190102541499998</v>
      </c>
      <c r="I14" s="47">
        <f>+I13*(1+Hoja5!$H$2)</f>
        <v>1.1154330000000001</v>
      </c>
      <c r="K14" s="4" t="s">
        <v>50</v>
      </c>
      <c r="L14" s="5" t="s">
        <v>1</v>
      </c>
      <c r="M14" s="6" t="s">
        <v>37</v>
      </c>
      <c r="Y14" s="24"/>
    </row>
    <row r="15" spans="2:25" ht="12.75">
      <c r="B15" s="46">
        <v>2006</v>
      </c>
      <c r="C15" s="12">
        <f>+C14*(1+Hoja5!$H$3)</f>
        <v>64415.02330621982</v>
      </c>
      <c r="D15" s="13">
        <f>+D14*(1+Hoja5!$H$2)</f>
        <v>14.038779645275</v>
      </c>
      <c r="E15" s="13">
        <f>+E14*(1+Hoja5!$H$2)</f>
        <v>6.221026179499999</v>
      </c>
      <c r="F15" s="13">
        <f>+F14*(1+Hoja5!$H$2)</f>
        <v>1.07080917979695</v>
      </c>
      <c r="G15" s="13">
        <f>+G14*(1+Hoja5!$H$2)</f>
        <v>1.3598987324999998</v>
      </c>
      <c r="H15" s="13">
        <f>+H14*(1+Hoja5!$H$2)</f>
        <v>0.8558657155867497</v>
      </c>
      <c r="I15" s="47">
        <f>+I14*(1+Hoja5!$H$2)</f>
        <v>1.1656274850000001</v>
      </c>
      <c r="K15" s="60" t="s">
        <v>52</v>
      </c>
      <c r="L15" s="13">
        <f>+(C6+C7)*1.5*12</f>
        <v>84840.97092958062</v>
      </c>
      <c r="M15" s="47">
        <f>+(C6+C7)*1.2*12</f>
        <v>67872.7767436645</v>
      </c>
      <c r="Y15" s="29"/>
    </row>
    <row r="16" spans="2:13" ht="12.75">
      <c r="B16" s="46">
        <v>2007</v>
      </c>
      <c r="C16" s="12">
        <f>+C15*(1+Hoja5!$H$3)</f>
        <v>65960.9838655691</v>
      </c>
      <c r="D16" s="13">
        <f>+D15*(1+Hoja5!$H$2)</f>
        <v>14.670524729312374</v>
      </c>
      <c r="E16" s="13">
        <f>+E15*(1+Hoja5!$H$2)</f>
        <v>6.500972357577498</v>
      </c>
      <c r="F16" s="13">
        <f>+F15*(1+Hoja5!$H$2)</f>
        <v>1.1189955928878126</v>
      </c>
      <c r="G16" s="13">
        <f>+G15*(1+Hoja5!$H$2)</f>
        <v>1.4210941754624997</v>
      </c>
      <c r="H16" s="13">
        <f>+H15*(1+Hoja5!$H$2)</f>
        <v>0.8943796727881534</v>
      </c>
      <c r="I16" s="47">
        <f>+I15*(1+Hoja5!$H$2)</f>
        <v>1.218080721825</v>
      </c>
      <c r="K16" s="60" t="s">
        <v>54</v>
      </c>
      <c r="L16" s="13">
        <f>+(C8+C9)*0.6*12</f>
        <v>2922.1836188788584</v>
      </c>
      <c r="M16" s="47">
        <f>+(C8+C9)*0.4*12</f>
        <v>1948.1224125859057</v>
      </c>
    </row>
    <row r="17" spans="2:13" ht="13.5" thickBot="1">
      <c r="B17" s="46">
        <v>2008</v>
      </c>
      <c r="C17" s="12">
        <f>+C16*(1+Hoja5!$H$3)</f>
        <v>67544.04747834276</v>
      </c>
      <c r="D17" s="13">
        <f>+D16*(1+Hoja5!$H$2)</f>
        <v>15.33069834213143</v>
      </c>
      <c r="E17" s="13">
        <f>+E16*(1+Hoja5!$H$2)</f>
        <v>6.793516113668486</v>
      </c>
      <c r="F17" s="13">
        <f>+F16*(1+Hoja5!$H$2)</f>
        <v>1.1693503945677641</v>
      </c>
      <c r="G17" s="13">
        <f>+G16*(1+Hoja5!$H$2)</f>
        <v>1.4850434133583121</v>
      </c>
      <c r="H17" s="13">
        <f>+H16*(1+Hoja5!$H$2)</f>
        <v>0.9346267580636203</v>
      </c>
      <c r="I17" s="47">
        <f>+I16*(1+Hoja5!$H$2)</f>
        <v>1.272894354307125</v>
      </c>
      <c r="K17" s="52" t="s">
        <v>21</v>
      </c>
      <c r="L17" s="61">
        <f>SUM(L15:L16)</f>
        <v>87763.15454845948</v>
      </c>
      <c r="M17" s="62">
        <f>SUM(M15:M16)</f>
        <v>69820.8991562504</v>
      </c>
    </row>
    <row r="18" spans="2:9" ht="12.75">
      <c r="B18" s="46">
        <v>2009</v>
      </c>
      <c r="C18" s="12">
        <f>+C17*(1+Hoja5!$H$3)</f>
        <v>69165.10461782299</v>
      </c>
      <c r="D18" s="13">
        <f>+D17*(1+Hoja5!$H$2)</f>
        <v>16.020579767527344</v>
      </c>
      <c r="E18" s="13">
        <f>+E17*(1+Hoja5!$H$2)</f>
        <v>7.099224338783567</v>
      </c>
      <c r="F18" s="13">
        <f>+F17*(1+Hoja5!$H$2)</f>
        <v>1.2219711623233134</v>
      </c>
      <c r="G18" s="13">
        <f>+G17*(1+Hoja5!$H$2)</f>
        <v>1.551870366959436</v>
      </c>
      <c r="H18" s="13">
        <f>+H17*(1+Hoja5!$H$2)</f>
        <v>0.9766849621764832</v>
      </c>
      <c r="I18" s="47">
        <f>+I17*(1+Hoja5!$H$2)</f>
        <v>1.3301746002509456</v>
      </c>
    </row>
    <row r="19" spans="2:9" ht="13.5" thickBot="1">
      <c r="B19" s="52">
        <v>2010</v>
      </c>
      <c r="C19" s="30">
        <f>+C18*(1+Hoja5!$H$3)</f>
        <v>70825.06712865074</v>
      </c>
      <c r="D19" s="31">
        <f>+D18*(1+Hoja5!$H$2)</f>
        <v>16.741505857066073</v>
      </c>
      <c r="E19" s="31">
        <f>+E18*(1+Hoja5!$H$2)</f>
        <v>7.418689434028827</v>
      </c>
      <c r="F19" s="31">
        <f>+F18*(1+Hoja5!$H$2)</f>
        <v>1.2769598646278624</v>
      </c>
      <c r="G19" s="31">
        <f>+G18*(1+Hoja5!$H$2)</f>
        <v>1.6217045334726106</v>
      </c>
      <c r="H19" s="31">
        <f>+H18*(1+Hoja5!$H$2)</f>
        <v>1.0206357854744248</v>
      </c>
      <c r="I19" s="33">
        <f>+I18*(1+Hoja5!$H$2)</f>
        <v>1.390032457262238</v>
      </c>
    </row>
    <row r="20" spans="2:8" ht="13.5" thickBot="1">
      <c r="B20" s="35"/>
      <c r="C20" s="37"/>
      <c r="D20" s="37"/>
      <c r="E20" s="37"/>
      <c r="F20" s="39"/>
      <c r="G20" s="39"/>
      <c r="H20" s="39"/>
    </row>
    <row r="21" spans="2:26" s="3" customFormat="1" ht="12.75">
      <c r="B21" s="4"/>
      <c r="C21" s="5" t="s">
        <v>56</v>
      </c>
      <c r="D21" s="5" t="s">
        <v>53</v>
      </c>
      <c r="E21" s="5" t="s">
        <v>57</v>
      </c>
      <c r="F21" s="5" t="s">
        <v>42</v>
      </c>
      <c r="G21" s="5" t="s">
        <v>123</v>
      </c>
      <c r="H21" s="5" t="s">
        <v>58</v>
      </c>
      <c r="I21" s="5" t="s">
        <v>59</v>
      </c>
      <c r="J21" s="5" t="s">
        <v>55</v>
      </c>
      <c r="K21" s="5" t="s">
        <v>60</v>
      </c>
      <c r="L21" s="6" t="s">
        <v>61</v>
      </c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</row>
    <row r="22" spans="2:26" ht="12.75">
      <c r="B22" s="46">
        <v>2004</v>
      </c>
      <c r="C22" s="13">
        <f>+'ING Y CTOS'!M71</f>
        <v>0</v>
      </c>
      <c r="D22" s="13">
        <f>+'ING Y CTOS'!M73</f>
        <v>0</v>
      </c>
      <c r="E22" s="13">
        <f>+'ING Y CTOS'!M72</f>
        <v>0</v>
      </c>
      <c r="F22" s="13">
        <f>+'ING Y CTOS'!M74</f>
        <v>0</v>
      </c>
      <c r="G22" s="13">
        <f>+(sUELDOS!E4+sUELDOS!E5+sUELDOS!E6)*12</f>
        <v>16320</v>
      </c>
      <c r="H22" s="13">
        <f>+(sUELDOS!E7+sUELDOS!E8+sUELDOS!E9+sUELDOS!E10+sUELDOS!E11)*12</f>
        <v>60600</v>
      </c>
      <c r="I22" s="13">
        <f>+Hoja5!J17</f>
        <v>17640</v>
      </c>
      <c r="J22" s="13">
        <f>+Hoja5!J22</f>
        <v>10829.78</v>
      </c>
      <c r="K22" s="13">
        <f>+L17</f>
        <v>87763.15454845948</v>
      </c>
      <c r="L22" s="47">
        <f>+M17</f>
        <v>69820.8991562504</v>
      </c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</row>
    <row r="23" spans="2:26" ht="12.75">
      <c r="B23" s="46">
        <v>2005</v>
      </c>
      <c r="C23" s="13">
        <f>+C22*(1+Hoja5!$H$2)*(1+Hoja5!$H$3)</f>
        <v>0</v>
      </c>
      <c r="D23" s="13">
        <f>+D22*(1+Hoja5!$H$2)</f>
        <v>0</v>
      </c>
      <c r="E23" s="13">
        <f>+E22*(1+Hoja5!$H$2)*(1+Hoja5!$H$3)</f>
        <v>0</v>
      </c>
      <c r="F23" s="13">
        <f>+F22*(1+Hoja5!$H$2)*(1+Hoja5!$H$3)</f>
        <v>0</v>
      </c>
      <c r="G23" s="13">
        <f>+G22*(1+Hoja5!$H$2)</f>
        <v>17054.399999999998</v>
      </c>
      <c r="H23" s="13">
        <f>+H22*(1+Hoja5!$H$2)</f>
        <v>63326.99999999999</v>
      </c>
      <c r="I23" s="13">
        <f>+I22*(1+Hoja5!$H$2)</f>
        <v>18433.8</v>
      </c>
      <c r="J23" s="13">
        <f>+J22</f>
        <v>10829.78</v>
      </c>
      <c r="K23" s="13">
        <f>+K22*(1+Hoja5!$H$2)*(1+Hoja5!$H$3)</f>
        <v>93913.59641921552</v>
      </c>
      <c r="L23" s="47">
        <f>+L22*(1+Hoja5!$H$2)*(1+Hoja5!$H$3)</f>
        <v>74713.94776912041</v>
      </c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</row>
    <row r="24" spans="2:26" ht="12.75">
      <c r="B24" s="46">
        <v>2006</v>
      </c>
      <c r="C24" s="13">
        <f>+C23*(1+Hoja5!$H$2)*(1+Hoja5!$H$3)</f>
        <v>0</v>
      </c>
      <c r="D24" s="13">
        <f>+D23*(1+Hoja5!$H$2)</f>
        <v>0</v>
      </c>
      <c r="E24" s="13">
        <f>+E23*(1+Hoja5!$H$2)*(1+Hoja5!$H$3)</f>
        <v>0</v>
      </c>
      <c r="F24" s="13">
        <f>+F23*(1+Hoja5!$H$2)*(1+Hoja5!$H$3)</f>
        <v>0</v>
      </c>
      <c r="G24" s="13">
        <f>+G23*(1+Hoja5!$H$2)</f>
        <v>17821.847999999998</v>
      </c>
      <c r="H24" s="13">
        <f>+H23*(1+Hoja5!$H$2)</f>
        <v>66176.71499999998</v>
      </c>
      <c r="I24" s="13">
        <f>+I23*(1+Hoja5!$H$2)</f>
        <v>19263.320999999996</v>
      </c>
      <c r="J24" s="13">
        <f>+J23</f>
        <v>10829.78</v>
      </c>
      <c r="K24" s="13">
        <f>+K23*(1+Hoja5!$H$2)*(1+Hoja5!$H$3)</f>
        <v>100495.06125627413</v>
      </c>
      <c r="L24" s="47">
        <f>+L23*(1+Hoja5!$H$2)*(1+Hoja5!$H$3)</f>
        <v>79949.90122878036</v>
      </c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</row>
    <row r="25" spans="2:26" ht="12.75">
      <c r="B25" s="46">
        <v>2007</v>
      </c>
      <c r="C25" s="13">
        <f>+C24*(1+Hoja5!$H$2)*(1+Hoja5!$H$3)</f>
        <v>0</v>
      </c>
      <c r="D25" s="13">
        <f>+D24*(1+Hoja5!$H$2)</f>
        <v>0</v>
      </c>
      <c r="E25" s="13">
        <f>+E24*(1+Hoja5!$H$2)*(1+Hoja5!$H$3)</f>
        <v>0</v>
      </c>
      <c r="F25" s="13">
        <f>+F24*(1+Hoja5!$H$2)*(1+Hoja5!$H$3)</f>
        <v>0</v>
      </c>
      <c r="G25" s="13">
        <f>+G24*(1+Hoja5!$H$2)</f>
        <v>18623.831159999998</v>
      </c>
      <c r="H25" s="13">
        <f>+H24*(1+Hoja5!$H$2)</f>
        <v>69154.66717499998</v>
      </c>
      <c r="I25" s="13">
        <f>+I24*(1+Hoja5!$H$2)</f>
        <v>20130.170444999996</v>
      </c>
      <c r="J25" s="13">
        <f>+J24</f>
        <v>10829.78</v>
      </c>
      <c r="K25" s="13">
        <f>+K24*(1+Hoja5!$H$2)*(1+Hoja5!$H$3)</f>
        <v>107537.75514911381</v>
      </c>
      <c r="L25" s="47">
        <f>+L24*(1+Hoja5!$H$2)*(1+Hoja5!$H$3)</f>
        <v>85552.7903068933</v>
      </c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</row>
    <row r="26" spans="2:26" ht="13.5" thickBot="1">
      <c r="B26" s="52">
        <v>2008</v>
      </c>
      <c r="C26" s="31">
        <f>+C25*(1+Hoja5!$H$2)*(1+Hoja5!$H$3)</f>
        <v>0</v>
      </c>
      <c r="D26" s="31">
        <f>+D25*(1+Hoja5!$H$2)</f>
        <v>0</v>
      </c>
      <c r="E26" s="31">
        <f>+E25*(1+Hoja5!$H$2)*(1+Hoja5!$H$3)</f>
        <v>0</v>
      </c>
      <c r="F26" s="31">
        <f>+F25*(1+Hoja5!$H$2)*(1+Hoja5!$H$3)</f>
        <v>0</v>
      </c>
      <c r="G26" s="31">
        <f>+G25*(1+Hoja5!$H$2)</f>
        <v>19461.903562199997</v>
      </c>
      <c r="H26" s="31">
        <f>+H25*(1+Hoja5!$H$2)</f>
        <v>72266.62719787497</v>
      </c>
      <c r="I26" s="31">
        <f>+I25*(1+Hoja5!$H$2)</f>
        <v>21036.028115024994</v>
      </c>
      <c r="J26" s="31">
        <f>+J25</f>
        <v>10829.78</v>
      </c>
      <c r="K26" s="31">
        <f>+K25*(1+Hoja5!$H$2)*(1+Hoja5!$H$3)</f>
        <v>115074.0010299637</v>
      </c>
      <c r="L26" s="33">
        <f>+L25*(1+Hoja5!$H$2)*(1+Hoja5!$H$3)</f>
        <v>91548.32985160037</v>
      </c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</row>
    <row r="27" spans="15:26" ht="12.75"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</row>
    <row r="28" spans="15:26" ht="13.5" thickBot="1"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</row>
    <row r="29" spans="2:26" ht="12.75">
      <c r="B29" s="4"/>
      <c r="C29" s="5" t="s">
        <v>56</v>
      </c>
      <c r="D29" s="5" t="s">
        <v>53</v>
      </c>
      <c r="E29" s="5" t="s">
        <v>57</v>
      </c>
      <c r="F29" s="5" t="s">
        <v>42</v>
      </c>
      <c r="G29" s="5" t="s">
        <v>123</v>
      </c>
      <c r="H29" s="5" t="s">
        <v>58</v>
      </c>
      <c r="I29" s="5" t="s">
        <v>59</v>
      </c>
      <c r="J29" s="5" t="s">
        <v>55</v>
      </c>
      <c r="K29" s="5" t="s">
        <v>62</v>
      </c>
      <c r="L29" s="5" t="s">
        <v>63</v>
      </c>
      <c r="M29" s="6" t="s">
        <v>64</v>
      </c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</row>
    <row r="30" spans="2:26" ht="12.75">
      <c r="B30" s="46">
        <v>2004</v>
      </c>
      <c r="C30" s="13">
        <f>+'ING Y CTOS'!M64</f>
        <v>0</v>
      </c>
      <c r="D30" s="13">
        <f>+'ING Y CTOS'!M66</f>
        <v>0</v>
      </c>
      <c r="E30" s="13">
        <f>+'ING Y CTOS'!M65</f>
        <v>0</v>
      </c>
      <c r="F30" s="13">
        <f>+'ING Y CTOS'!M67</f>
        <v>0</v>
      </c>
      <c r="G30" s="13">
        <f>+(sUELDOS!J4+sUELDOS!J5+sUELDOS!J6+sUELDOS!J7+sUELDOS!J8+sUELDOS!J9+sUELDOS!J10+sUELDOS!J11+sUELDOS!J12+sUELDOS!J13+sUELDOS!J14+sUELDOS!J15)*12</f>
        <v>90600</v>
      </c>
      <c r="H30" s="13">
        <f>+sUELDOS!J16*12</f>
        <v>4800</v>
      </c>
      <c r="I30" s="13">
        <f>+Hoja5!J8</f>
        <v>5280</v>
      </c>
      <c r="J30" s="13">
        <f>+DEPRECIACION!C13</f>
        <v>6413.333333333334</v>
      </c>
      <c r="K30" s="13">
        <f>+Hoja5!J13</f>
        <v>6000</v>
      </c>
      <c r="L30" s="13">
        <v>54000</v>
      </c>
      <c r="M30" s="47">
        <v>21000</v>
      </c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</row>
    <row r="31" spans="2:26" ht="12.75">
      <c r="B31" s="46">
        <v>2005</v>
      </c>
      <c r="C31" s="13">
        <f>+C30*(1+Hoja5!$H$2)*(1+Hoja5!$H$3)</f>
        <v>0</v>
      </c>
      <c r="D31" s="13">
        <f>+D30*(1+Hoja5!$H$2)</f>
        <v>0</v>
      </c>
      <c r="E31" s="13">
        <f>+E30*(1+Hoja5!$H$2)*(1+Hoja5!$H$3)</f>
        <v>0</v>
      </c>
      <c r="F31" s="13">
        <f>+F30*(1+Hoja5!$H$2)*(1+Hoja5!$H$3)</f>
        <v>0</v>
      </c>
      <c r="G31" s="13">
        <f>+G30*(1+Hoja5!$H$2)</f>
        <v>94677</v>
      </c>
      <c r="H31" s="13">
        <f>+H30*(1+Hoja5!$H$2)</f>
        <v>5016</v>
      </c>
      <c r="I31" s="13">
        <f aca="true" t="shared" si="0" ref="I31:I36">+I30*(1+0.01)</f>
        <v>5332.8</v>
      </c>
      <c r="J31" s="13">
        <f>+DEPRECIACION!D13</f>
        <v>6413.333333333334</v>
      </c>
      <c r="K31" s="13">
        <f>+K30*(1+Hoja5!$H$2)</f>
        <v>6270</v>
      </c>
      <c r="L31" s="13">
        <f>+L30*(1+Hoja5!$H$2)</f>
        <v>56429.99999999999</v>
      </c>
      <c r="M31" s="47">
        <f>+M30*(1+Hoja5!$H$2)</f>
        <v>21945</v>
      </c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</row>
    <row r="32" spans="2:26" ht="12.75">
      <c r="B32" s="46">
        <v>2006</v>
      </c>
      <c r="C32" s="13">
        <f>+C31*(1+Hoja5!$H$2)*(1+Hoja5!$H$3)</f>
        <v>0</v>
      </c>
      <c r="D32" s="13">
        <f>+D31*(1+Hoja5!$H$2)</f>
        <v>0</v>
      </c>
      <c r="E32" s="13">
        <f>+E31*(1+Hoja5!$H$2)*(1+Hoja5!$H$3)</f>
        <v>0</v>
      </c>
      <c r="F32" s="13">
        <f>+F31*(1+Hoja5!$H$2)*(1+Hoja5!$H$3)</f>
        <v>0</v>
      </c>
      <c r="G32" s="13">
        <f>+G31*(1+Hoja5!$H$2)</f>
        <v>98937.465</v>
      </c>
      <c r="H32" s="13">
        <f>+H31*(1+Hoja5!$H$2)</f>
        <v>5241.719999999999</v>
      </c>
      <c r="I32" s="13">
        <f t="shared" si="0"/>
        <v>5386.128000000001</v>
      </c>
      <c r="J32" s="13">
        <f>+DEPRECIACION!E13</f>
        <v>6413.333333333334</v>
      </c>
      <c r="K32" s="13">
        <f>+K31/2</f>
        <v>3135</v>
      </c>
      <c r="L32" s="14">
        <v>0</v>
      </c>
      <c r="M32" s="15">
        <v>0</v>
      </c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</row>
    <row r="33" spans="2:26" ht="12.75">
      <c r="B33" s="46">
        <v>2007</v>
      </c>
      <c r="C33" s="13">
        <f>+C32*(1+Hoja5!$H$2)*(1+Hoja5!$H$3)</f>
        <v>0</v>
      </c>
      <c r="D33" s="13">
        <f>+D32*(1+Hoja5!$H$2)</f>
        <v>0</v>
      </c>
      <c r="E33" s="13">
        <f>+E32*(1+Hoja5!$H$2)*(1+Hoja5!$H$3)</f>
        <v>0</v>
      </c>
      <c r="F33" s="13">
        <f>+F32*(1+Hoja5!$H$2)*(1+Hoja5!$H$3)</f>
        <v>0</v>
      </c>
      <c r="G33" s="13">
        <f>+G32*(1+Hoja5!$H$2)</f>
        <v>103389.650925</v>
      </c>
      <c r="H33" s="13">
        <f>+H32*(1+Hoja5!$H$2)</f>
        <v>5477.597399999999</v>
      </c>
      <c r="I33" s="13">
        <f t="shared" si="0"/>
        <v>5439.989280000001</v>
      </c>
      <c r="J33" s="13">
        <f>+DEPRECIACION!F13</f>
        <v>6552.1466666666665</v>
      </c>
      <c r="K33" s="13">
        <f>+K32*(1+Hoja5!$H$2)</f>
        <v>3276.075</v>
      </c>
      <c r="L33" s="14">
        <v>0</v>
      </c>
      <c r="M33" s="15">
        <v>0</v>
      </c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</row>
    <row r="34" spans="2:26" ht="12.75">
      <c r="B34" s="46">
        <v>2008</v>
      </c>
      <c r="C34" s="13">
        <f>+C33*(1+Hoja5!$H$2)*(1+Hoja5!$H$3)</f>
        <v>0</v>
      </c>
      <c r="D34" s="13">
        <f>+D33*(1+Hoja5!$H$2)</f>
        <v>0</v>
      </c>
      <c r="E34" s="13">
        <f>+E33*(1+Hoja5!$H$2)*(1+Hoja5!$H$3)</f>
        <v>0</v>
      </c>
      <c r="F34" s="13">
        <f>+F33*(1+Hoja5!$H$2)*(1+Hoja5!$H$3)</f>
        <v>0</v>
      </c>
      <c r="G34" s="13">
        <f>+G33*(1+Hoja5!$H$2)</f>
        <v>108042.18521662499</v>
      </c>
      <c r="H34" s="13">
        <f>+H33*(1+Hoja5!$H$2)</f>
        <v>5724.089282999998</v>
      </c>
      <c r="I34" s="13">
        <f t="shared" si="0"/>
        <v>5494.389172800001</v>
      </c>
      <c r="J34" s="13">
        <f>+DEPRECIACION!G13</f>
        <v>6552.1466666666665</v>
      </c>
      <c r="K34" s="13">
        <f>+K33*(1+Hoja5!$H$2)</f>
        <v>3423.4983749999997</v>
      </c>
      <c r="L34" s="14">
        <v>0</v>
      </c>
      <c r="M34" s="15">
        <v>0</v>
      </c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</row>
    <row r="35" spans="2:26" ht="12.75">
      <c r="B35" s="46">
        <v>2009</v>
      </c>
      <c r="C35" s="13">
        <f>+C34*(1+Hoja5!$H$2)*(1+Hoja5!$H$3)</f>
        <v>0</v>
      </c>
      <c r="D35" s="13">
        <f>+D34*(1+Hoja5!$H$2)</f>
        <v>0</v>
      </c>
      <c r="E35" s="13">
        <f>+E34*(1+Hoja5!$H$2)*(1+Hoja5!$H$3)</f>
        <v>0</v>
      </c>
      <c r="F35" s="13">
        <f>+F34*(1+Hoja5!$H$2)*(1+Hoja5!$H$3)</f>
        <v>0</v>
      </c>
      <c r="G35" s="13">
        <f>+G34*(1+Hoja5!$H$2)</f>
        <v>112904.0835513731</v>
      </c>
      <c r="H35" s="13">
        <f>+H34*(1+Hoja5!$H$2)</f>
        <v>5981.673300734998</v>
      </c>
      <c r="I35" s="13">
        <f t="shared" si="0"/>
        <v>5549.333064528001</v>
      </c>
      <c r="J35" s="13">
        <f>+DEPRECIACION!H13</f>
        <v>7906.252666666666</v>
      </c>
      <c r="K35" s="13">
        <f>+K34/2</f>
        <v>1711.7491874999998</v>
      </c>
      <c r="L35" s="14">
        <v>0</v>
      </c>
      <c r="M35" s="15">
        <v>0</v>
      </c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</row>
    <row r="36" spans="2:26" ht="13.5" thickBot="1">
      <c r="B36" s="52">
        <v>2010</v>
      </c>
      <c r="C36" s="13">
        <f>+C35*(1+Hoja5!$H$2)*(1+Hoja5!$H$3)</f>
        <v>0</v>
      </c>
      <c r="D36" s="13">
        <f>+D35*(1+Hoja5!$H$2)</f>
        <v>0</v>
      </c>
      <c r="E36" s="13">
        <f>+E35*(1+Hoja5!$H$2)*(1+Hoja5!$H$3)</f>
        <v>0</v>
      </c>
      <c r="F36" s="13">
        <f>+F35*(1+Hoja5!$H$2)*(1+Hoja5!$H$3)</f>
        <v>0</v>
      </c>
      <c r="G36" s="13">
        <f>+G35*(1+Hoja5!$H$2)</f>
        <v>117984.76731118489</v>
      </c>
      <c r="H36" s="13">
        <f>+H35*(1+Hoja5!$H$2)</f>
        <v>6250.848599268072</v>
      </c>
      <c r="I36" s="13">
        <f t="shared" si="0"/>
        <v>5604.8263951732815</v>
      </c>
      <c r="J36" s="31">
        <f>+DEPRECIACION!I13</f>
        <v>8064.662666666666</v>
      </c>
      <c r="K36" s="31">
        <f>+K35*(1+Hoja5!$H$2)</f>
        <v>1788.7779009374997</v>
      </c>
      <c r="L36" s="59">
        <v>0</v>
      </c>
      <c r="M36" s="19">
        <v>0</v>
      </c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</row>
    <row r="37" spans="15:26" ht="12.75"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</row>
    <row r="38" spans="15:26" ht="12.75"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</row>
    <row r="39" spans="15:26" ht="12.75"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5:26" ht="12.75"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</row>
    <row r="41" spans="15:26" ht="12.75"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</row>
    <row r="42" spans="15:26" ht="12.75"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</row>
    <row r="43" spans="15:26" ht="12.75"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</row>
    <row r="44" spans="15:26" ht="12.75"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</row>
    <row r="45" spans="15:26" ht="12.75"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</row>
    <row r="46" spans="15:26" ht="12.75"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</row>
    <row r="47" spans="15:26" ht="12.75"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</row>
    <row r="48" spans="15:26" ht="12.75"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</row>
    <row r="49" spans="15:26" ht="12.75"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</row>
    <row r="50" spans="15:26" ht="12.75"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</row>
    <row r="51" spans="15:26" ht="12.75"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</row>
    <row r="52" spans="15:26" ht="12.75"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</row>
    <row r="53" spans="15:26" ht="12.75"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</row>
    <row r="54" spans="15:26" ht="12.75"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</row>
    <row r="55" spans="3:26" ht="12.75">
      <c r="C55" s="101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</row>
    <row r="56" spans="3:26" ht="12.75">
      <c r="C56" s="101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</row>
    <row r="57" spans="2:26" ht="12.75">
      <c r="B57" s="101"/>
      <c r="C57" s="101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</row>
    <row r="58" spans="15:26" ht="12.75"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</row>
    <row r="59" spans="15:26" ht="12.75"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</row>
    <row r="60" spans="15:26" ht="12.75"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</row>
    <row r="61" spans="15:26" ht="12.75"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</row>
    <row r="62" spans="15:26" ht="12.75"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</row>
    <row r="63" spans="15:26" ht="12.75"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</row>
    <row r="64" spans="15:26" ht="12.75"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</row>
    <row r="65" spans="15:26" ht="12.75"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</row>
    <row r="66" spans="15:26" ht="12.75"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</row>
    <row r="67" spans="15:26" ht="12.75"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</row>
    <row r="68" spans="15:26" ht="12.75"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</row>
    <row r="69" spans="15:26" ht="12.75"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</row>
    <row r="70" spans="15:26" ht="12.75"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</row>
    <row r="71" spans="15:26" ht="12.75"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</row>
    <row r="72" spans="15:26" ht="12.75"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</row>
    <row r="73" spans="15:26" ht="12.75"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</row>
    <row r="74" spans="15:26" ht="12.75"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</row>
    <row r="75" spans="15:26" ht="12.75"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</row>
    <row r="76" spans="15:26" ht="12.75"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</row>
    <row r="77" spans="15:26" ht="12.75"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</row>
    <row r="78" spans="15:26" ht="12.75"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</row>
    <row r="79" spans="15:26" ht="12.75"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</row>
    <row r="80" spans="15:26" ht="12.75"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</row>
    <row r="81" spans="15:26" ht="12.75"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</row>
    <row r="82" spans="15:26" ht="12.75"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</row>
    <row r="83" spans="15:26" ht="12.75"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</row>
    <row r="84" spans="15:26" ht="12.75"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</row>
    <row r="85" spans="15:26" ht="12.75"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</row>
    <row r="86" spans="15:26" ht="12.75"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</row>
    <row r="87" spans="15:26" ht="12.75"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</row>
    <row r="88" spans="15:26" ht="12.75"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</row>
    <row r="89" spans="15:26" ht="12.75"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</row>
    <row r="90" spans="15:26" ht="12.75"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</row>
    <row r="91" spans="15:26" ht="12.75"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</row>
    <row r="92" spans="15:26" ht="12.75"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</row>
    <row r="93" spans="15:26" ht="12.75"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</row>
    <row r="94" spans="15:26" ht="12.75"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</row>
    <row r="95" spans="15:26" ht="12.75"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</row>
    <row r="96" spans="15:26" ht="12.75"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</row>
    <row r="97" spans="15:26" ht="12.75"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</row>
    <row r="98" spans="15:26" ht="12.75"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</row>
    <row r="99" spans="15:26" ht="12.75"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</row>
    <row r="100" spans="15:26" ht="12.75"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</row>
    <row r="101" spans="15:26" ht="12.75"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</row>
    <row r="102" spans="15:26" ht="12.75"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</row>
    <row r="103" spans="15:26" ht="12.75"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</row>
    <row r="104" spans="15:26" ht="12.75"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</row>
    <row r="105" spans="15:26" ht="12.75"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</row>
    <row r="106" spans="15:26" ht="12.75"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</row>
    <row r="107" spans="15:26" ht="12.75"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</row>
    <row r="108" spans="15:26" ht="12.75"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</row>
    <row r="109" spans="15:26" ht="12.75"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</row>
    <row r="110" spans="15:26" ht="12.75"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</row>
    <row r="111" spans="15:26" ht="12.75"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</row>
    <row r="112" spans="15:26" ht="12.75"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</row>
    <row r="113" spans="15:26" ht="12.75"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</row>
    <row r="114" spans="15:26" ht="12.75"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</row>
    <row r="115" spans="15:26" ht="12.75"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</row>
    <row r="116" spans="15:26" ht="12.75"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</row>
    <row r="117" spans="15:26" ht="12.75"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</row>
    <row r="118" spans="15:26" ht="12.75"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</row>
    <row r="119" spans="15:26" ht="12.75"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</row>
    <row r="120" spans="15:26" ht="12.75"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</row>
    <row r="121" spans="15:26" ht="12.75"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</row>
    <row r="122" spans="15:26" ht="12.75"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</row>
    <row r="123" spans="15:26" ht="12.75"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</row>
    <row r="124" spans="15:26" ht="12.75"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</row>
    <row r="125" spans="15:26" ht="12.75"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</row>
    <row r="126" spans="15:26" ht="12.75"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</row>
    <row r="127" spans="15:26" ht="12.75"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</row>
    <row r="128" spans="15:26" ht="12.75"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</row>
    <row r="129" spans="15:26" ht="12.75"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</row>
    <row r="130" spans="15:26" ht="12.75"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</row>
    <row r="131" spans="15:26" ht="12.75"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</row>
    <row r="132" spans="15:26" ht="12.75"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</row>
    <row r="133" spans="15:26" ht="12.75"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</row>
    <row r="134" spans="15:26" ht="12.75"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</row>
    <row r="135" spans="15:26" ht="12.75"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</row>
    <row r="136" spans="15:26" ht="12.75"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</row>
    <row r="137" spans="15:26" ht="12.75"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</row>
    <row r="138" spans="15:26" ht="12.75"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</row>
    <row r="139" spans="15:26" ht="12.75"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</row>
    <row r="140" spans="15:26" ht="12.75"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</row>
    <row r="141" spans="15:26" ht="12.75"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</row>
    <row r="142" spans="15:26" ht="12.75"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</row>
    <row r="143" spans="15:26" ht="12.75"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</row>
    <row r="144" spans="15:26" ht="12.75"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</row>
    <row r="145" spans="15:26" ht="12.75"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</row>
    <row r="146" spans="15:26" ht="12.75"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</row>
    <row r="147" spans="15:26" ht="12.75"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</row>
    <row r="148" spans="15:26" ht="12.75"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</row>
    <row r="149" spans="15:26" ht="12.75"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</row>
    <row r="150" spans="15:26" ht="12.75"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</row>
    <row r="151" spans="15:26" ht="12.75"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</row>
    <row r="152" spans="15:26" ht="12.75"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</row>
    <row r="153" spans="15:26" ht="12.75"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</row>
    <row r="154" spans="15:26" ht="12.75"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</row>
    <row r="155" spans="15:26" ht="12.75"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</row>
    <row r="156" spans="15:26" ht="12.75"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</row>
    <row r="157" spans="15:26" ht="12.75"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</row>
    <row r="158" spans="15:26" ht="12.75"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</row>
    <row r="159" spans="15:26" ht="12.75"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</row>
    <row r="160" spans="15:26" ht="12.75"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</row>
    <row r="161" spans="15:26" ht="12.75"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</row>
    <row r="162" spans="15:26" ht="12.75"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</row>
    <row r="163" spans="15:26" ht="12.75"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</row>
    <row r="164" spans="15:26" ht="12.75"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</row>
    <row r="165" spans="15:26" ht="12.75"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</row>
    <row r="166" spans="15:26" ht="12.75"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</row>
    <row r="167" spans="15:26" ht="12.75"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</row>
    <row r="168" spans="15:26" ht="12.75"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</row>
    <row r="169" spans="15:26" ht="12.75"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</row>
    <row r="170" spans="15:26" ht="12.75"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</row>
    <row r="171" spans="15:26" ht="12.75"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</row>
    <row r="172" spans="15:26" ht="12.75"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</row>
    <row r="173" spans="15:26" ht="12.75"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</row>
    <row r="174" spans="15:26" ht="12.75"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</row>
    <row r="175" spans="15:26" ht="12.75"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</row>
    <row r="176" spans="15:26" ht="12.75"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</row>
    <row r="177" spans="15:26" ht="12.75"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</row>
    <row r="178" spans="15:26" ht="12.75"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</row>
    <row r="179" spans="15:26" ht="12.75"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</row>
    <row r="180" spans="15:26" ht="12.75"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</row>
    <row r="181" spans="15:26" ht="12.75"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</row>
    <row r="182" spans="15:26" ht="12.75"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</row>
    <row r="183" spans="15:26" ht="12.75"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</row>
    <row r="184" spans="15:26" ht="12.75"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</row>
    <row r="185" spans="15:26" ht="12.75"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</row>
    <row r="186" spans="15:26" ht="12.75"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</row>
    <row r="187" spans="15:26" ht="12.75"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</row>
    <row r="188" spans="15:26" ht="12.75"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</row>
    <row r="189" spans="15:26" ht="12.75"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</row>
    <row r="190" spans="15:26" ht="12.75"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</row>
    <row r="191" spans="15:26" ht="12.75"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</row>
    <row r="192" spans="15:26" ht="12.75"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</row>
    <row r="193" spans="15:26" ht="12.75"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</row>
    <row r="194" spans="15:26" ht="12.75"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</row>
    <row r="195" spans="15:26" ht="12.75"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</row>
    <row r="196" spans="15:26" ht="12.75"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</row>
    <row r="197" spans="15:26" ht="12.75"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</row>
    <row r="198" spans="15:26" ht="12.75"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</row>
    <row r="199" spans="15:26" ht="12.75"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</row>
    <row r="200" spans="15:26" ht="12.75"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</row>
    <row r="201" spans="15:26" ht="12.75"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</row>
    <row r="202" spans="15:26" ht="12.75"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</row>
    <row r="203" spans="15:26" ht="12.75"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</row>
    <row r="204" spans="15:26" ht="12.75"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</row>
    <row r="205" spans="15:26" ht="12.75"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</row>
    <row r="206" spans="15:26" ht="12.75"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</row>
    <row r="207" spans="15:26" ht="12.75"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</row>
    <row r="208" spans="15:26" ht="12.75"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</row>
    <row r="209" spans="15:26" ht="12.75"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</row>
    <row r="210" spans="15:26" ht="12.75"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</row>
    <row r="211" spans="15:26" ht="12.75"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</row>
    <row r="212" spans="15:26" ht="12.75"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</row>
    <row r="213" spans="15:26" ht="12.75"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</row>
    <row r="214" spans="15:26" ht="12.75"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</row>
    <row r="215" spans="15:26" ht="12.75"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</row>
    <row r="216" spans="15:26" ht="12.75"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</row>
    <row r="217" spans="15:26" ht="12.75"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</row>
    <row r="218" spans="15:26" ht="12.75"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</row>
    <row r="219" spans="15:26" ht="12.75"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</row>
    <row r="220" spans="15:26" ht="12.75"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</row>
    <row r="221" spans="15:26" ht="12.75"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</row>
    <row r="222" spans="15:26" ht="12.75"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</row>
    <row r="223" spans="15:26" ht="12.75"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</row>
    <row r="224" spans="15:26" ht="12.75"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</row>
    <row r="225" spans="15:26" ht="12.75"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</row>
    <row r="226" spans="15:26" ht="12.75"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</row>
    <row r="227" spans="15:26" ht="12.75"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</row>
    <row r="228" spans="15:26" ht="12.75"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</row>
    <row r="229" spans="15:26" ht="12.75"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</row>
    <row r="230" spans="15:26" ht="12.75"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</row>
    <row r="231" spans="15:26" ht="12.75"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</row>
    <row r="232" spans="15:26" ht="12.75"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</row>
    <row r="233" spans="15:26" ht="12.75"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</row>
    <row r="234" spans="15:26" ht="12.75"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</row>
    <row r="235" spans="15:26" ht="12.75"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</row>
    <row r="236" spans="15:26" ht="12.75"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</row>
    <row r="237" spans="15:26" ht="12.75"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</row>
    <row r="238" spans="15:26" ht="12.75"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</row>
    <row r="239" spans="15:26" ht="12.75"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</row>
    <row r="240" spans="15:26" ht="12.75"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</row>
    <row r="241" spans="15:26" ht="12.75"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</row>
    <row r="242" spans="15:26" ht="12.75"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</row>
    <row r="243" spans="15:26" ht="12.75"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</row>
    <row r="244" spans="15:26" ht="12.75"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</row>
    <row r="245" spans="15:26" ht="12.75"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</row>
    <row r="246" spans="15:26" ht="12.75"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</row>
    <row r="247" spans="15:26" ht="12.75"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</row>
    <row r="248" spans="15:26" ht="12.75"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</row>
    <row r="249" spans="15:26" ht="12.75"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</row>
    <row r="250" spans="15:26" ht="12.75"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</row>
    <row r="251" spans="15:26" ht="12.75"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</row>
    <row r="252" spans="15:26" ht="12.75"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</row>
    <row r="253" spans="15:26" ht="12.75"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</row>
    <row r="254" spans="15:26" ht="12.75"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</row>
    <row r="255" spans="15:26" ht="12.75"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</row>
    <row r="256" spans="15:26" ht="12.75"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</row>
    <row r="257" spans="15:26" ht="12.75"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</row>
    <row r="258" spans="15:26" ht="12.75"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</row>
    <row r="259" spans="15:26" ht="12.75"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</row>
    <row r="260" spans="15:26" ht="12.75"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</row>
    <row r="261" spans="15:26" ht="12.75"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</row>
    <row r="262" spans="15:26" ht="12.75"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</row>
    <row r="263" spans="15:26" ht="12.75"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</row>
    <row r="264" spans="15:26" ht="12.75"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</row>
    <row r="265" spans="15:26" ht="12.75"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</row>
    <row r="266" spans="15:26" ht="12.75"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</row>
    <row r="267" spans="15:26" ht="12.75"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</row>
    <row r="268" spans="15:26" ht="12.75"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</row>
    <row r="269" spans="15:26" ht="12.75"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</row>
    <row r="270" spans="15:26" ht="12.75"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</row>
    <row r="271" spans="15:26" ht="12.75"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</row>
    <row r="272" spans="15:26" ht="12.75"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</row>
    <row r="273" spans="15:26" ht="12.75"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</row>
    <row r="274" spans="15:26" ht="12.75"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</row>
    <row r="275" spans="15:26" ht="12.75"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</row>
    <row r="276" spans="15:26" ht="12.75"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</row>
    <row r="277" spans="15:26" ht="12.75"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</row>
    <row r="278" spans="15:26" ht="12.75"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</row>
    <row r="279" spans="15:26" ht="12.75"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</row>
    <row r="280" spans="15:26" ht="12.75"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</row>
    <row r="281" spans="15:26" ht="12.75"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</row>
    <row r="282" spans="15:26" ht="12.75"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</row>
    <row r="283" spans="15:26" ht="12.75"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</row>
    <row r="284" spans="15:26" ht="12.75"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</row>
    <row r="285" spans="15:26" ht="12.75"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</row>
    <row r="286" spans="15:26" ht="12.75"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</row>
    <row r="287" spans="15:26" ht="12.75"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</row>
    <row r="288" spans="15:26" ht="12.75"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</row>
    <row r="289" spans="15:26" ht="12.75"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</row>
    <row r="290" spans="15:26" ht="12.75"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</row>
    <row r="291" spans="15:26" ht="12.75"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</row>
    <row r="292" spans="15:26" ht="12.75"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</row>
    <row r="293" spans="15:26" ht="12.75"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</row>
    <row r="294" spans="15:26" ht="12.75"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</row>
    <row r="295" spans="15:26" ht="12.75"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</row>
    <row r="296" spans="15:26" ht="12.75"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</row>
    <row r="297" spans="15:26" ht="12.75"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</row>
    <row r="298" spans="15:26" ht="12.75"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</row>
    <row r="299" spans="15:26" ht="12.75"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</row>
    <row r="300" spans="15:26" ht="12.75"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</row>
    <row r="301" spans="15:26" ht="12.75"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</row>
    <row r="302" spans="15:26" ht="12.75"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</row>
    <row r="303" spans="15:26" ht="12.75"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</row>
    <row r="304" spans="15:26" ht="12.75"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</row>
    <row r="305" spans="15:26" ht="12.75"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</row>
    <row r="306" spans="15:26" ht="12.75"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</row>
    <row r="307" spans="15:26" ht="12.75"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</row>
    <row r="308" spans="15:26" ht="12.75"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</row>
    <row r="309" spans="15:26" ht="12.75"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</row>
    <row r="310" spans="15:26" ht="12.75"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</row>
    <row r="311" spans="15:26" ht="12.75"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</row>
    <row r="312" spans="15:26" ht="12.75"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</row>
    <row r="313" spans="15:26" ht="12.75"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</row>
    <row r="314" spans="15:26" ht="12.75"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</row>
    <row r="315" spans="15:26" ht="12.75"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</row>
    <row r="316" spans="15:26" ht="12.75"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</row>
    <row r="317" spans="15:26" ht="12.75"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</row>
    <row r="318" spans="15:26" ht="12.75"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</row>
    <row r="319" spans="15:26" ht="12.75"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</row>
    <row r="320" spans="15:26" ht="12.75"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</row>
    <row r="321" spans="15:26" ht="12.75"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</row>
    <row r="322" spans="15:26" ht="12.75"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</row>
    <row r="323" spans="15:26" ht="12.75"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</row>
    <row r="324" spans="15:26" ht="12.75"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</row>
    <row r="325" spans="15:26" ht="12.75"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</row>
    <row r="326" spans="15:26" ht="12.75"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</row>
    <row r="327" spans="15:26" ht="12.75"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</row>
    <row r="328" spans="15:26" ht="12.75"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</row>
    <row r="329" spans="15:26" ht="12.75"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</row>
    <row r="330" spans="15:26" ht="12.75"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</row>
    <row r="331" spans="15:26" ht="12.75"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</row>
    <row r="332" spans="15:26" ht="12.75"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</row>
    <row r="333" spans="15:26" ht="12.75"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</row>
    <row r="334" spans="15:26" ht="12.75"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</row>
    <row r="335" spans="15:26" ht="12.75"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</row>
    <row r="336" spans="15:26" ht="12.75"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</row>
    <row r="337" spans="15:26" ht="12.75"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</row>
    <row r="338" spans="15:26" ht="12.75"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</row>
    <row r="339" spans="15:26" ht="12.75"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</row>
    <row r="340" spans="15:26" ht="12.75"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</row>
    <row r="341" spans="15:26" ht="12.75"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</row>
    <row r="342" spans="15:26" ht="12.75"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</row>
    <row r="343" spans="15:26" ht="12.75"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</row>
    <row r="344" spans="15:26" ht="12.75"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</row>
    <row r="345" spans="15:26" ht="12.75"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</row>
    <row r="346" spans="15:26" ht="12.75"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</row>
    <row r="347" spans="15:26" ht="12.75"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</row>
    <row r="348" spans="15:26" ht="12.75"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</row>
    <row r="349" spans="15:26" ht="12.75">
      <c r="O349" s="104"/>
      <c r="P349" s="104"/>
      <c r="Q349" s="104"/>
      <c r="R349" s="104"/>
      <c r="S349" s="104"/>
      <c r="T349" s="104"/>
      <c r="U349" s="104"/>
      <c r="V349" s="104"/>
      <c r="W349" s="104"/>
      <c r="X349" s="104"/>
      <c r="Y349" s="104"/>
      <c r="Z349" s="104"/>
    </row>
    <row r="350" spans="15:26" ht="12.75"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</row>
    <row r="351" spans="15:26" ht="12.75"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</row>
    <row r="352" spans="15:26" ht="12.75"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  <c r="Z352" s="104"/>
    </row>
    <row r="353" spans="15:26" ht="12.75"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04"/>
    </row>
    <row r="354" spans="15:26" ht="12.75"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  <c r="Z354" s="104"/>
    </row>
    <row r="355" spans="15:26" ht="12.75"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  <c r="Z355" s="104"/>
    </row>
    <row r="356" spans="15:26" ht="12.75"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</row>
    <row r="357" spans="15:26" ht="12.75"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</row>
    <row r="358" spans="15:26" ht="12.75"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</row>
    <row r="359" spans="15:26" ht="12.75"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</row>
    <row r="360" spans="15:26" ht="12.75"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</row>
    <row r="361" spans="15:26" ht="12.75"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</row>
    <row r="362" spans="15:26" ht="12.75"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</row>
    <row r="363" spans="15:26" ht="12.75"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</row>
    <row r="364" spans="15:26" ht="12.75"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</row>
    <row r="365" spans="15:26" ht="12.75"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</row>
    <row r="366" spans="15:26" ht="12.75"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</row>
    <row r="367" spans="15:26" ht="12.75"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</row>
    <row r="368" spans="15:26" ht="12.75"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</row>
    <row r="369" spans="15:26" ht="12.75"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</row>
    <row r="370" spans="15:26" ht="12.75"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</row>
    <row r="371" spans="15:26" ht="12.75"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</row>
    <row r="372" spans="15:26" ht="12.75"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</row>
    <row r="373" spans="15:26" ht="12.75"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</row>
    <row r="374" spans="15:26" ht="12.75"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</row>
    <row r="375" spans="15:26" ht="12.75"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</row>
    <row r="376" spans="15:26" ht="12.75"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</row>
    <row r="377" spans="15:26" ht="12.75"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</row>
    <row r="378" spans="15:26" ht="12.75"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</row>
    <row r="379" spans="15:26" ht="12.75">
      <c r="O379" s="104"/>
      <c r="P379" s="104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</row>
    <row r="380" spans="15:26" ht="12.75"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</row>
    <row r="381" spans="15:26" ht="12.75"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</row>
    <row r="382" spans="15:26" ht="12.75"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</row>
    <row r="383" spans="15:26" ht="12.75"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</row>
    <row r="384" spans="15:26" ht="12.75"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</row>
    <row r="385" spans="15:26" ht="12.75"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</row>
    <row r="386" spans="15:26" ht="12.75"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</row>
    <row r="387" spans="15:26" ht="12.75"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</row>
    <row r="388" spans="15:26" ht="12.75"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</row>
    <row r="389" spans="15:26" ht="12.75"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</row>
    <row r="390" spans="15:26" ht="12.75"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</row>
    <row r="391" spans="15:26" ht="12.75"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</row>
    <row r="392" spans="15:26" ht="12.75"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</row>
    <row r="393" spans="15:26" ht="12.75"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</row>
    <row r="394" spans="15:26" ht="12.75">
      <c r="O394" s="104"/>
      <c r="P394" s="104"/>
      <c r="Q394" s="104"/>
      <c r="R394" s="104"/>
      <c r="S394" s="104"/>
      <c r="T394" s="104"/>
      <c r="U394" s="104"/>
      <c r="V394" s="104"/>
      <c r="W394" s="104"/>
      <c r="X394" s="104"/>
      <c r="Y394" s="104"/>
      <c r="Z394" s="104"/>
    </row>
    <row r="395" spans="15:26" ht="12.75"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</row>
    <row r="396" spans="15:26" ht="12.75"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</row>
    <row r="397" spans="15:26" ht="12.75">
      <c r="O397" s="104"/>
      <c r="P397" s="104"/>
      <c r="Q397" s="104"/>
      <c r="R397" s="104"/>
      <c r="S397" s="104"/>
      <c r="T397" s="104"/>
      <c r="U397" s="104"/>
      <c r="V397" s="104"/>
      <c r="W397" s="104"/>
      <c r="X397" s="104"/>
      <c r="Y397" s="104"/>
      <c r="Z397" s="104"/>
    </row>
    <row r="398" spans="15:26" ht="12.75"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</row>
    <row r="399" spans="15:26" ht="12.75">
      <c r="O399" s="104"/>
      <c r="P399" s="104"/>
      <c r="Q399" s="104"/>
      <c r="R399" s="104"/>
      <c r="S399" s="104"/>
      <c r="T399" s="104"/>
      <c r="U399" s="104"/>
      <c r="V399" s="104"/>
      <c r="W399" s="104"/>
      <c r="X399" s="104"/>
      <c r="Y399" s="104"/>
      <c r="Z399" s="104"/>
    </row>
    <row r="400" spans="15:26" ht="12.75"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</row>
    <row r="401" spans="15:26" ht="12.75"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</row>
    <row r="402" spans="15:26" ht="12.75"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</row>
    <row r="403" spans="15:26" ht="12.75"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</row>
    <row r="404" spans="15:26" ht="12.75"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</row>
    <row r="405" spans="15:26" ht="12.75"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</row>
    <row r="406" spans="15:26" ht="12.75"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4"/>
      <c r="Z406" s="104"/>
    </row>
    <row r="407" spans="15:26" ht="12.75">
      <c r="O407" s="104"/>
      <c r="P407" s="104"/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</row>
    <row r="408" spans="15:26" ht="12.75">
      <c r="O408" s="104"/>
      <c r="P408" s="104"/>
      <c r="Q408" s="104"/>
      <c r="R408" s="104"/>
      <c r="S408" s="104"/>
      <c r="T408" s="104"/>
      <c r="U408" s="104"/>
      <c r="V408" s="104"/>
      <c r="W408" s="104"/>
      <c r="X408" s="104"/>
      <c r="Y408" s="104"/>
      <c r="Z408" s="104"/>
    </row>
    <row r="409" spans="15:26" ht="12.75"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  <c r="Y409" s="104"/>
      <c r="Z409" s="104"/>
    </row>
    <row r="410" spans="15:26" ht="12.75">
      <c r="O410" s="104"/>
      <c r="P410" s="104"/>
      <c r="Q410" s="104"/>
      <c r="R410" s="104"/>
      <c r="S410" s="104"/>
      <c r="T410" s="104"/>
      <c r="U410" s="104"/>
      <c r="V410" s="104"/>
      <c r="W410" s="104"/>
      <c r="X410" s="104"/>
      <c r="Y410" s="104"/>
      <c r="Z410" s="104"/>
    </row>
    <row r="411" spans="15:26" ht="12.75"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</row>
    <row r="412" spans="15:26" ht="12.75">
      <c r="O412" s="104"/>
      <c r="P412" s="104"/>
      <c r="Q412" s="104"/>
      <c r="R412" s="104"/>
      <c r="S412" s="104"/>
      <c r="T412" s="104"/>
      <c r="U412" s="104"/>
      <c r="V412" s="104"/>
      <c r="W412" s="104"/>
      <c r="X412" s="104"/>
      <c r="Y412" s="104"/>
      <c r="Z412" s="104"/>
    </row>
    <row r="413" spans="15:26" ht="12.75"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</row>
    <row r="414" spans="15:26" ht="12.75"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</row>
    <row r="415" spans="15:26" ht="12.75"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</row>
    <row r="416" spans="15:26" ht="12.75">
      <c r="O416" s="104"/>
      <c r="P416" s="104"/>
      <c r="Q416" s="104"/>
      <c r="R416" s="104"/>
      <c r="S416" s="104"/>
      <c r="T416" s="104"/>
      <c r="U416" s="104"/>
      <c r="V416" s="104"/>
      <c r="W416" s="104"/>
      <c r="X416" s="104"/>
      <c r="Y416" s="104"/>
      <c r="Z416" s="104"/>
    </row>
    <row r="417" spans="15:26" ht="12.75">
      <c r="O417" s="104"/>
      <c r="P417" s="104"/>
      <c r="Q417" s="104"/>
      <c r="R417" s="104"/>
      <c r="S417" s="104"/>
      <c r="T417" s="104"/>
      <c r="U417" s="104"/>
      <c r="V417" s="104"/>
      <c r="W417" s="104"/>
      <c r="X417" s="104"/>
      <c r="Y417" s="104"/>
      <c r="Z417" s="104"/>
    </row>
    <row r="418" spans="15:26" ht="12.75">
      <c r="O418" s="104"/>
      <c r="P418" s="104"/>
      <c r="Q418" s="104"/>
      <c r="R418" s="104"/>
      <c r="S418" s="104"/>
      <c r="T418" s="104"/>
      <c r="U418" s="104"/>
      <c r="V418" s="104"/>
      <c r="W418" s="104"/>
      <c r="X418" s="104"/>
      <c r="Y418" s="104"/>
      <c r="Z418" s="104"/>
    </row>
    <row r="419" spans="15:26" ht="12.75">
      <c r="O419" s="104"/>
      <c r="P419" s="104"/>
      <c r="Q419" s="104"/>
      <c r="R419" s="104"/>
      <c r="S419" s="104"/>
      <c r="T419" s="104"/>
      <c r="U419" s="104"/>
      <c r="V419" s="104"/>
      <c r="W419" s="104"/>
      <c r="X419" s="104"/>
      <c r="Y419" s="104"/>
      <c r="Z419" s="104"/>
    </row>
    <row r="420" spans="15:26" ht="12.75"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  <c r="Z420" s="104"/>
    </row>
    <row r="421" spans="15:26" ht="12.75"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  <c r="Z421" s="104"/>
    </row>
    <row r="422" spans="15:26" ht="12.75"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</row>
    <row r="423" spans="15:26" ht="12.75">
      <c r="O423" s="104"/>
      <c r="P423" s="104"/>
      <c r="Q423" s="104"/>
      <c r="R423" s="104"/>
      <c r="S423" s="104"/>
      <c r="T423" s="104"/>
      <c r="U423" s="104"/>
      <c r="V423" s="104"/>
      <c r="W423" s="104"/>
      <c r="X423" s="104"/>
      <c r="Y423" s="104"/>
      <c r="Z423" s="104"/>
    </row>
    <row r="424" spans="15:26" ht="12.75">
      <c r="O424" s="104"/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</row>
  </sheetData>
  <mergeCells count="3">
    <mergeCell ref="B3:H3"/>
    <mergeCell ref="B1:N1"/>
    <mergeCell ref="B2:N2"/>
  </mergeCells>
  <printOptions/>
  <pageMargins left="0.37" right="0.24" top="0.79" bottom="0.12" header="0" footer="0.6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P75"/>
  <sheetViews>
    <sheetView tabSelected="1" workbookViewId="0" topLeftCell="E55">
      <selection activeCell="O67" sqref="O67"/>
    </sheetView>
  </sheetViews>
  <sheetFormatPr defaultColWidth="11.421875" defaultRowHeight="12.75"/>
  <cols>
    <col min="1" max="1" width="8.140625" style="0" customWidth="1"/>
    <col min="2" max="2" width="12.7109375" style="0" customWidth="1"/>
    <col min="3" max="3" width="8.421875" style="0" customWidth="1"/>
    <col min="4" max="4" width="6.8515625" style="0" bestFit="1" customWidth="1"/>
    <col min="5" max="8" width="7.57421875" style="0" bestFit="1" customWidth="1"/>
    <col min="9" max="9" width="8.8515625" style="0" customWidth="1"/>
    <col min="10" max="10" width="12.7109375" style="0" customWidth="1"/>
    <col min="11" max="11" width="9.8515625" style="0" customWidth="1"/>
    <col min="12" max="12" width="7.421875" style="0" bestFit="1" customWidth="1"/>
    <col min="13" max="16" width="7.57421875" style="0" bestFit="1" customWidth="1"/>
  </cols>
  <sheetData>
    <row r="2" ht="13.5" thickBot="1"/>
    <row r="3" spans="2:16" ht="14.25" thickBot="1">
      <c r="B3" s="40" t="s">
        <v>65</v>
      </c>
      <c r="C3" s="41"/>
      <c r="D3" s="41"/>
      <c r="E3" s="41"/>
      <c r="F3" s="41"/>
      <c r="G3" s="41"/>
      <c r="H3" s="42"/>
      <c r="I3" s="1"/>
      <c r="J3" s="40" t="s">
        <v>65</v>
      </c>
      <c r="K3" s="41"/>
      <c r="L3" s="41"/>
      <c r="M3" s="41"/>
      <c r="N3" s="41"/>
      <c r="O3" s="41"/>
      <c r="P3" s="42"/>
    </row>
    <row r="4" spans="2:16" ht="13.5">
      <c r="B4" s="63"/>
      <c r="C4" s="56" t="s">
        <v>66</v>
      </c>
      <c r="D4" s="56" t="s">
        <v>67</v>
      </c>
      <c r="E4" s="56" t="s">
        <v>68</v>
      </c>
      <c r="F4" s="56" t="s">
        <v>69</v>
      </c>
      <c r="G4" s="56" t="s">
        <v>70</v>
      </c>
      <c r="H4" s="64" t="s">
        <v>71</v>
      </c>
      <c r="I4" s="2"/>
      <c r="J4" s="63"/>
      <c r="K4" s="56" t="s">
        <v>72</v>
      </c>
      <c r="L4" s="56" t="s">
        <v>73</v>
      </c>
      <c r="M4" s="56" t="s">
        <v>74</v>
      </c>
      <c r="N4" s="56" t="s">
        <v>75</v>
      </c>
      <c r="O4" s="56" t="s">
        <v>76</v>
      </c>
      <c r="P4" s="64" t="s">
        <v>77</v>
      </c>
    </row>
    <row r="5" spans="2:16" ht="13.5">
      <c r="B5" s="65" t="s">
        <v>78</v>
      </c>
      <c r="C5" s="39">
        <f>+Hoja1!$N$6/3</f>
        <v>13162.330182131016</v>
      </c>
      <c r="D5" s="39">
        <f>+Hoja1!$N$6/3</f>
        <v>13162.330182131016</v>
      </c>
      <c r="E5" s="39">
        <f>+Hoja1!$N$6/3</f>
        <v>13162.330182131016</v>
      </c>
      <c r="F5" s="39">
        <f>+Hoja1!$N$7/3</f>
        <v>14084.746281294756</v>
      </c>
      <c r="G5" s="39">
        <f>+Hoja1!$N$7/3</f>
        <v>14084.746281294756</v>
      </c>
      <c r="H5" s="66">
        <f>+Hoja1!$N$7/3</f>
        <v>14084.746281294756</v>
      </c>
      <c r="I5" s="1"/>
      <c r="J5" s="65" t="s">
        <v>78</v>
      </c>
      <c r="K5" s="39">
        <f>+Hoja1!$N$12/3</f>
        <v>19761.971269356738</v>
      </c>
      <c r="L5" s="39">
        <f>+Hoja1!$N$12/3</f>
        <v>19761.971269356738</v>
      </c>
      <c r="M5" s="39">
        <f>+Hoja1!$N$12/3</f>
        <v>19761.971269356738</v>
      </c>
      <c r="N5" s="39">
        <f>+Hoja1!$N$11/3</f>
        <v>18467.751260986784</v>
      </c>
      <c r="O5" s="39">
        <f>+Hoja1!$N$11/3</f>
        <v>18467.751260986784</v>
      </c>
      <c r="P5" s="66">
        <f>+Hoja1!$N$11/3</f>
        <v>18467.751260986784</v>
      </c>
    </row>
    <row r="6" spans="2:16" ht="13.5">
      <c r="B6" s="65" t="s">
        <v>79</v>
      </c>
      <c r="C6" s="39"/>
      <c r="D6" s="39">
        <f>+Hoja1!$N$6/3</f>
        <v>13162.330182131016</v>
      </c>
      <c r="E6" s="39">
        <f>+Hoja1!$N$6/3</f>
        <v>13162.330182131016</v>
      </c>
      <c r="F6" s="39">
        <f>+Hoja1!$N$7/3</f>
        <v>14084.746281294756</v>
      </c>
      <c r="G6" s="39">
        <f>+Hoja1!$N$7/3</f>
        <v>14084.746281294756</v>
      </c>
      <c r="H6" s="66">
        <f>+Hoja1!$N$7/3</f>
        <v>14084.746281294756</v>
      </c>
      <c r="I6" s="1"/>
      <c r="J6" s="65" t="s">
        <v>79</v>
      </c>
      <c r="K6" s="39"/>
      <c r="L6" s="39">
        <f>+Hoja1!$N$12/3</f>
        <v>19761.971269356738</v>
      </c>
      <c r="M6" s="39">
        <f>+Hoja1!$N$12/3</f>
        <v>19761.971269356738</v>
      </c>
      <c r="N6" s="39">
        <f>+Hoja1!$N$11/3</f>
        <v>18467.751260986784</v>
      </c>
      <c r="O6" s="39">
        <f>+Hoja1!$N$11/3</f>
        <v>18467.751260986784</v>
      </c>
      <c r="P6" s="66">
        <f>+Hoja1!$N$11/3</f>
        <v>18467.751260986784</v>
      </c>
    </row>
    <row r="7" spans="2:16" ht="13.5">
      <c r="B7" s="65" t="s">
        <v>80</v>
      </c>
      <c r="C7" s="39"/>
      <c r="D7" s="39"/>
      <c r="E7" s="39">
        <f>+Hoja1!$N$6/3</f>
        <v>13162.330182131016</v>
      </c>
      <c r="F7" s="39">
        <f>+Hoja1!$N$7/3</f>
        <v>14084.746281294756</v>
      </c>
      <c r="G7" s="39">
        <f>+Hoja1!$N$7/3</f>
        <v>14084.746281294756</v>
      </c>
      <c r="H7" s="66">
        <f>+Hoja1!$N$7/3</f>
        <v>14084.746281294756</v>
      </c>
      <c r="I7" s="1"/>
      <c r="J7" s="65" t="s">
        <v>80</v>
      </c>
      <c r="K7" s="39"/>
      <c r="L7" s="39"/>
      <c r="M7" s="39">
        <f>+Hoja1!$N$12/3</f>
        <v>19761.971269356738</v>
      </c>
      <c r="N7" s="39">
        <f>+Hoja1!$N$11/3</f>
        <v>18467.751260986784</v>
      </c>
      <c r="O7" s="39">
        <f>+Hoja1!$N$11/3</f>
        <v>18467.751260986784</v>
      </c>
      <c r="P7" s="66">
        <f>+Hoja1!$N$11/3</f>
        <v>18467.751260986784</v>
      </c>
    </row>
    <row r="8" spans="2:16" ht="13.5">
      <c r="B8" s="65" t="s">
        <v>81</v>
      </c>
      <c r="C8" s="39"/>
      <c r="D8" s="39"/>
      <c r="E8" s="39"/>
      <c r="F8" s="39">
        <f>+Hoja1!$N$7/3</f>
        <v>14084.746281294756</v>
      </c>
      <c r="G8" s="39">
        <f>+Hoja1!$N$7/3</f>
        <v>14084.746281294756</v>
      </c>
      <c r="H8" s="66">
        <f>+Hoja1!$N$7/3</f>
        <v>14084.746281294756</v>
      </c>
      <c r="I8" s="1"/>
      <c r="J8" s="65" t="s">
        <v>81</v>
      </c>
      <c r="K8" s="39"/>
      <c r="L8" s="39"/>
      <c r="M8" s="39"/>
      <c r="N8" s="39">
        <f>+Hoja1!$N$11/3</f>
        <v>18467.751260986784</v>
      </c>
      <c r="O8" s="39">
        <f>+Hoja1!$N$11/3</f>
        <v>18467.751260986784</v>
      </c>
      <c r="P8" s="66">
        <f>+Hoja1!$N$11/3</f>
        <v>18467.751260986784</v>
      </c>
    </row>
    <row r="9" spans="2:16" ht="13.5">
      <c r="B9" s="65" t="s">
        <v>82</v>
      </c>
      <c r="C9" s="39"/>
      <c r="D9" s="39"/>
      <c r="E9" s="39"/>
      <c r="F9" s="39"/>
      <c r="G9" s="39">
        <f>+Hoja1!$N$7/3</f>
        <v>14084.746281294756</v>
      </c>
      <c r="H9" s="66">
        <f>+Hoja1!$N$7/3</f>
        <v>14084.746281294756</v>
      </c>
      <c r="I9" s="1"/>
      <c r="J9" s="65" t="s">
        <v>82</v>
      </c>
      <c r="K9" s="39"/>
      <c r="L9" s="39"/>
      <c r="M9" s="39"/>
      <c r="N9" s="39"/>
      <c r="O9" s="39">
        <f>+Hoja1!$N$11/3</f>
        <v>18467.751260986784</v>
      </c>
      <c r="P9" s="66">
        <f>+Hoja1!$N$11/3</f>
        <v>18467.751260986784</v>
      </c>
    </row>
    <row r="10" spans="2:16" ht="13.5">
      <c r="B10" s="65" t="s">
        <v>83</v>
      </c>
      <c r="C10" s="39"/>
      <c r="D10" s="39"/>
      <c r="E10" s="39"/>
      <c r="F10" s="39"/>
      <c r="G10" s="39"/>
      <c r="H10" s="66">
        <f>+Hoja1!$N$7/3</f>
        <v>14084.746281294756</v>
      </c>
      <c r="I10" s="1"/>
      <c r="J10" s="65" t="s">
        <v>83</v>
      </c>
      <c r="K10" s="39"/>
      <c r="L10" s="39"/>
      <c r="M10" s="39"/>
      <c r="N10" s="39"/>
      <c r="O10" s="39"/>
      <c r="P10" s="66">
        <f>+Hoja1!$N$11/3</f>
        <v>18467.751260986784</v>
      </c>
    </row>
    <row r="11" spans="2:16" ht="13.5">
      <c r="B11" s="67" t="s">
        <v>21</v>
      </c>
      <c r="C11" s="39">
        <f>SUM(C5:C10)</f>
        <v>13162.330182131016</v>
      </c>
      <c r="D11" s="39">
        <f>SUM(D5:D10)</f>
        <v>26324.660364262032</v>
      </c>
      <c r="E11" s="39">
        <f>SUM(E5:E10)</f>
        <v>39486.99054639305</v>
      </c>
      <c r="F11" s="39">
        <f>SUM(F5:F10)</f>
        <v>56338.985125179024</v>
      </c>
      <c r="G11" s="39">
        <f>SUM(G5:G10)</f>
        <v>70423.73140647379</v>
      </c>
      <c r="H11" s="66">
        <f>SUM(H5:H10)</f>
        <v>84508.47768776855</v>
      </c>
      <c r="I11" s="1"/>
      <c r="J11" s="67" t="s">
        <v>21</v>
      </c>
      <c r="K11" s="39">
        <f>SUM(K5:K10)</f>
        <v>19761.971269356738</v>
      </c>
      <c r="L11" s="39">
        <f>SUM(L5:L10)</f>
        <v>39523.942538713476</v>
      </c>
      <c r="M11" s="39">
        <f>SUM(M5:M10)</f>
        <v>59285.91380807021</v>
      </c>
      <c r="N11" s="39">
        <f>SUM(N5:N10)</f>
        <v>73871.00504394714</v>
      </c>
      <c r="O11" s="39">
        <f>SUM(O5:O10)</f>
        <v>92338.75630493392</v>
      </c>
      <c r="P11" s="66">
        <f>SUM(P5:P10)</f>
        <v>110806.5075659207</v>
      </c>
    </row>
    <row r="12" spans="2:16" ht="14.25" thickBot="1">
      <c r="B12" s="48"/>
      <c r="C12" s="68"/>
      <c r="D12" s="68"/>
      <c r="E12" s="69">
        <f>+C11+D11+E11</f>
        <v>78973.9810927861</v>
      </c>
      <c r="F12" s="70"/>
      <c r="G12" s="70"/>
      <c r="H12" s="71">
        <f>+F11+G11+H11</f>
        <v>211271.19421942136</v>
      </c>
      <c r="I12" s="1"/>
      <c r="J12" s="48"/>
      <c r="K12" s="68"/>
      <c r="L12" s="68"/>
      <c r="M12" s="69">
        <f>+K11+L11+M11</f>
        <v>118571.82761614042</v>
      </c>
      <c r="N12" s="70"/>
      <c r="O12" s="70"/>
      <c r="P12" s="71">
        <f>+N11+O11+P11</f>
        <v>277016.26891480177</v>
      </c>
    </row>
    <row r="13" spans="2:16" ht="14.25" thickBot="1"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25" thickBot="1">
      <c r="B14" s="40" t="s">
        <v>84</v>
      </c>
      <c r="C14" s="41"/>
      <c r="D14" s="41"/>
      <c r="E14" s="41"/>
      <c r="F14" s="41"/>
      <c r="G14" s="41"/>
      <c r="H14" s="42"/>
      <c r="I14" s="1"/>
      <c r="J14" s="40" t="s">
        <v>84</v>
      </c>
      <c r="K14" s="41"/>
      <c r="L14" s="41"/>
      <c r="M14" s="41"/>
      <c r="N14" s="41"/>
      <c r="O14" s="41"/>
      <c r="P14" s="42"/>
    </row>
    <row r="15" spans="2:16" ht="13.5">
      <c r="B15" s="63"/>
      <c r="C15" s="56" t="s">
        <v>66</v>
      </c>
      <c r="D15" s="56" t="s">
        <v>67</v>
      </c>
      <c r="E15" s="56" t="s">
        <v>68</v>
      </c>
      <c r="F15" s="56" t="s">
        <v>69</v>
      </c>
      <c r="G15" s="56" t="s">
        <v>70</v>
      </c>
      <c r="H15" s="64" t="s">
        <v>71</v>
      </c>
      <c r="I15" s="1"/>
      <c r="J15" s="63"/>
      <c r="K15" s="56" t="s">
        <v>72</v>
      </c>
      <c r="L15" s="56" t="s">
        <v>73</v>
      </c>
      <c r="M15" s="56" t="s">
        <v>74</v>
      </c>
      <c r="N15" s="56" t="s">
        <v>75</v>
      </c>
      <c r="O15" s="56" t="s">
        <v>76</v>
      </c>
      <c r="P15" s="64" t="s">
        <v>77</v>
      </c>
    </row>
    <row r="16" spans="2:16" ht="13.5">
      <c r="B16" s="65" t="s">
        <v>78</v>
      </c>
      <c r="C16" s="39">
        <f>+Hoja1!$C$13/3*Hoja1!$F$13</f>
        <v>20079.15836372295</v>
      </c>
      <c r="D16" s="39">
        <f>+Hoja1!$C$13/3*Hoja1!$F$13</f>
        <v>20079.15836372295</v>
      </c>
      <c r="E16" s="39">
        <f>+Hoja1!$C$13/3*Hoja1!$F$13</f>
        <v>20079.15836372295</v>
      </c>
      <c r="F16" s="39">
        <f>+Hoja1!$C$14/3*Hoja1!$F$14</f>
        <v>21486.30578185265</v>
      </c>
      <c r="G16" s="39">
        <f>+Hoja1!$C$14/3*Hoja1!$F$14</f>
        <v>21486.30578185265</v>
      </c>
      <c r="H16" s="66">
        <f>+Hoja1!$C$14/3*Hoja1!$F$14</f>
        <v>21486.30578185265</v>
      </c>
      <c r="I16" s="1"/>
      <c r="J16" s="65" t="s">
        <v>78</v>
      </c>
      <c r="K16" s="39">
        <f>+Hoja1!$C$19/3*Hoja1!$F$19</f>
        <v>30146.922710953706</v>
      </c>
      <c r="L16" s="39">
        <f>+Hoja1!$C$19/3*Hoja1!$F$19</f>
        <v>30146.922710953706</v>
      </c>
      <c r="M16" s="39">
        <f>+Hoja1!$C$19/3*Hoja1!$F$19</f>
        <v>30146.922710953706</v>
      </c>
      <c r="N16" s="39">
        <f>+Hoja1!$C$18*Hoja1!$F$18/3</f>
        <v>28172.58776068491</v>
      </c>
      <c r="O16" s="39">
        <f>+Hoja1!$C$18*Hoja1!$F$18/3</f>
        <v>28172.58776068491</v>
      </c>
      <c r="P16" s="66">
        <f>+Hoja1!$C$18*Hoja1!$F$18/3</f>
        <v>28172.58776068491</v>
      </c>
    </row>
    <row r="17" spans="2:16" ht="13.5">
      <c r="B17" s="65" t="s">
        <v>79</v>
      </c>
      <c r="C17" s="39"/>
      <c r="D17" s="39">
        <f>+Hoja1!$C$13/3*Hoja1!$F$13</f>
        <v>20079.15836372295</v>
      </c>
      <c r="E17" s="39">
        <f>+Hoja1!$C$13/3*Hoja1!$F$13</f>
        <v>20079.15836372295</v>
      </c>
      <c r="F17" s="39">
        <f>+Hoja1!$C$14/3*Hoja1!$F$14</f>
        <v>21486.30578185265</v>
      </c>
      <c r="G17" s="39">
        <f>+Hoja1!$C$14/3*Hoja1!$F$14</f>
        <v>21486.30578185265</v>
      </c>
      <c r="H17" s="66">
        <f>+Hoja1!$C$14/3*Hoja1!$F$14</f>
        <v>21486.30578185265</v>
      </c>
      <c r="I17" s="1"/>
      <c r="J17" s="65" t="s">
        <v>79</v>
      </c>
      <c r="K17" s="39"/>
      <c r="L17" s="39">
        <f>+Hoja1!$C$19/3*Hoja1!$F$19</f>
        <v>30146.922710953706</v>
      </c>
      <c r="M17" s="39">
        <f>+Hoja1!$C$19/3*Hoja1!$F$19</f>
        <v>30146.922710953706</v>
      </c>
      <c r="N17" s="39">
        <f>+Hoja1!$C$18*Hoja1!$F$18/3</f>
        <v>28172.58776068491</v>
      </c>
      <c r="O17" s="39">
        <f>+Hoja1!$C$18*Hoja1!$F$18/3</f>
        <v>28172.58776068491</v>
      </c>
      <c r="P17" s="66">
        <f>+Hoja1!$C$18*Hoja1!$F$18/3</f>
        <v>28172.58776068491</v>
      </c>
    </row>
    <row r="18" spans="2:16" ht="13.5">
      <c r="B18" s="65" t="s">
        <v>80</v>
      </c>
      <c r="C18" s="39"/>
      <c r="D18" s="39"/>
      <c r="E18" s="39">
        <f>+Hoja1!$C$13/3*Hoja1!$F$13</f>
        <v>20079.15836372295</v>
      </c>
      <c r="F18" s="39">
        <f>+Hoja1!$C$14/3*Hoja1!$F$14</f>
        <v>21486.30578185265</v>
      </c>
      <c r="G18" s="39">
        <f>+Hoja1!$C$14/3*Hoja1!$F$14</f>
        <v>21486.30578185265</v>
      </c>
      <c r="H18" s="66">
        <f>+Hoja1!$C$14/3*Hoja1!$F$14</f>
        <v>21486.30578185265</v>
      </c>
      <c r="I18" s="1"/>
      <c r="J18" s="65" t="s">
        <v>80</v>
      </c>
      <c r="K18" s="39"/>
      <c r="L18" s="39"/>
      <c r="M18" s="39">
        <f>+Hoja1!$C$19/3*Hoja1!$F$19</f>
        <v>30146.922710953706</v>
      </c>
      <c r="N18" s="39">
        <f>+Hoja1!$C$18*Hoja1!$F$18/3</f>
        <v>28172.58776068491</v>
      </c>
      <c r="O18" s="39">
        <f>+Hoja1!$C$18*Hoja1!$F$18/3</f>
        <v>28172.58776068491</v>
      </c>
      <c r="P18" s="66">
        <f>+Hoja1!$C$18*Hoja1!$F$18/3</f>
        <v>28172.58776068491</v>
      </c>
    </row>
    <row r="19" spans="2:16" ht="13.5">
      <c r="B19" s="65" t="s">
        <v>81</v>
      </c>
      <c r="C19" s="39"/>
      <c r="D19" s="39"/>
      <c r="E19" s="39"/>
      <c r="F19" s="39">
        <f>+Hoja1!$C$14/3*Hoja1!$F$14</f>
        <v>21486.30578185265</v>
      </c>
      <c r="G19" s="39">
        <f>+Hoja1!$C$14/3*Hoja1!$F$14</f>
        <v>21486.30578185265</v>
      </c>
      <c r="H19" s="66">
        <f>+Hoja1!$C$14/3*Hoja1!$F$14</f>
        <v>21486.30578185265</v>
      </c>
      <c r="I19" s="1"/>
      <c r="J19" s="65" t="s">
        <v>81</v>
      </c>
      <c r="K19" s="39"/>
      <c r="L19" s="39"/>
      <c r="M19" s="39"/>
      <c r="N19" s="39">
        <f>+Hoja1!$C$18*Hoja1!$F$18/3</f>
        <v>28172.58776068491</v>
      </c>
      <c r="O19" s="39">
        <f>+Hoja1!$C$18*Hoja1!$F$18/3</f>
        <v>28172.58776068491</v>
      </c>
      <c r="P19" s="66">
        <f>+Hoja1!$C$18*Hoja1!$F$18/3</f>
        <v>28172.58776068491</v>
      </c>
    </row>
    <row r="20" spans="2:16" ht="13.5">
      <c r="B20" s="65" t="s">
        <v>82</v>
      </c>
      <c r="C20" s="39"/>
      <c r="D20" s="39"/>
      <c r="E20" s="39"/>
      <c r="F20" s="39"/>
      <c r="G20" s="39">
        <f>+Hoja1!$C$14/3*Hoja1!$F$14</f>
        <v>21486.30578185265</v>
      </c>
      <c r="H20" s="66">
        <f>+Hoja1!$C$14/3*Hoja1!$F$14</f>
        <v>21486.30578185265</v>
      </c>
      <c r="I20" s="1"/>
      <c r="J20" s="65" t="s">
        <v>82</v>
      </c>
      <c r="K20" s="39"/>
      <c r="L20" s="39"/>
      <c r="M20" s="39"/>
      <c r="N20" s="39"/>
      <c r="O20" s="39">
        <f>+Hoja1!$C$18*Hoja1!$F$18/3</f>
        <v>28172.58776068491</v>
      </c>
      <c r="P20" s="66">
        <f>+Hoja1!$C$18*Hoja1!$F$18/3</f>
        <v>28172.58776068491</v>
      </c>
    </row>
    <row r="21" spans="2:16" ht="13.5">
      <c r="B21" s="65" t="s">
        <v>83</v>
      </c>
      <c r="C21" s="39"/>
      <c r="D21" s="39"/>
      <c r="E21" s="39"/>
      <c r="F21" s="39"/>
      <c r="G21" s="39"/>
      <c r="H21" s="66">
        <f>+Hoja1!$C$14/3*Hoja1!$F$14</f>
        <v>21486.30578185265</v>
      </c>
      <c r="I21" s="1"/>
      <c r="J21" s="65" t="s">
        <v>83</v>
      </c>
      <c r="K21" s="39"/>
      <c r="L21" s="39"/>
      <c r="M21" s="39"/>
      <c r="N21" s="39"/>
      <c r="O21" s="39"/>
      <c r="P21" s="66">
        <f>+Hoja1!$C$18*Hoja1!$F$18/3</f>
        <v>28172.58776068491</v>
      </c>
    </row>
    <row r="22" spans="2:16" ht="13.5">
      <c r="B22" s="67" t="s">
        <v>21</v>
      </c>
      <c r="C22" s="39">
        <f>SUM(C16:C21)</f>
        <v>20079.15836372295</v>
      </c>
      <c r="D22" s="39">
        <f>SUM(D16:D21)</f>
        <v>40158.3167274459</v>
      </c>
      <c r="E22" s="39">
        <f>SUM(E16:E21)</f>
        <v>60237.475091168846</v>
      </c>
      <c r="F22" s="39">
        <f>SUM(F16:F21)</f>
        <v>85945.2231274106</v>
      </c>
      <c r="G22" s="39">
        <f>SUM(G16:G21)</f>
        <v>107431.52890926326</v>
      </c>
      <c r="H22" s="66">
        <f>SUM(H16:H21)</f>
        <v>128917.83469111592</v>
      </c>
      <c r="I22" s="1"/>
      <c r="J22" s="67" t="s">
        <v>21</v>
      </c>
      <c r="K22" s="39">
        <f>SUM(K16:K21)</f>
        <v>30146.922710953706</v>
      </c>
      <c r="L22" s="39">
        <f>SUM(L16:L21)</f>
        <v>60293.84542190741</v>
      </c>
      <c r="M22" s="39">
        <f>SUM(M16:M21)</f>
        <v>90440.76813286112</v>
      </c>
      <c r="N22" s="39">
        <f>SUM(N16:N21)</f>
        <v>112690.35104273964</v>
      </c>
      <c r="O22" s="39">
        <f>SUM(O16:O21)</f>
        <v>140862.93880342453</v>
      </c>
      <c r="P22" s="66">
        <f>SUM(P16:P21)</f>
        <v>169035.52656410943</v>
      </c>
    </row>
    <row r="23" spans="2:16" ht="14.25" thickBot="1">
      <c r="B23" s="48"/>
      <c r="C23" s="68"/>
      <c r="D23" s="68"/>
      <c r="E23" s="69">
        <f>+C22+D22+E22</f>
        <v>120474.95018233769</v>
      </c>
      <c r="F23" s="70"/>
      <c r="G23" s="70"/>
      <c r="H23" s="71">
        <f>+F22+G22+H22</f>
        <v>322294.5867277898</v>
      </c>
      <c r="I23" s="1"/>
      <c r="J23" s="48"/>
      <c r="K23" s="68"/>
      <c r="L23" s="68"/>
      <c r="M23" s="69">
        <f>+K22+L22+M22</f>
        <v>180881.53626572224</v>
      </c>
      <c r="N23" s="70"/>
      <c r="O23" s="70"/>
      <c r="P23" s="71">
        <f>+N22+O22+P22</f>
        <v>422588.8164102736</v>
      </c>
    </row>
    <row r="24" spans="2:16" ht="14.25" thickBot="1"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ht="14.25" thickBot="1">
      <c r="B25" s="40" t="s">
        <v>85</v>
      </c>
      <c r="C25" s="41"/>
      <c r="D25" s="41"/>
      <c r="E25" s="41"/>
      <c r="F25" s="41"/>
      <c r="G25" s="41"/>
      <c r="H25" s="42"/>
      <c r="I25" s="1"/>
      <c r="J25" s="40" t="s">
        <v>85</v>
      </c>
      <c r="K25" s="41"/>
      <c r="L25" s="41"/>
      <c r="M25" s="41"/>
      <c r="N25" s="41"/>
      <c r="O25" s="41"/>
      <c r="P25" s="42"/>
    </row>
    <row r="26" spans="2:16" ht="13.5">
      <c r="B26" s="72"/>
      <c r="C26" s="73" t="s">
        <v>66</v>
      </c>
      <c r="D26" s="73" t="s">
        <v>67</v>
      </c>
      <c r="E26" s="73" t="s">
        <v>68</v>
      </c>
      <c r="F26" s="73" t="s">
        <v>69</v>
      </c>
      <c r="G26" s="73" t="s">
        <v>70</v>
      </c>
      <c r="H26" s="74" t="s">
        <v>71</v>
      </c>
      <c r="I26" s="1"/>
      <c r="J26" s="72"/>
      <c r="K26" s="73" t="s">
        <v>72</v>
      </c>
      <c r="L26" s="73" t="s">
        <v>73</v>
      </c>
      <c r="M26" s="73" t="s">
        <v>74</v>
      </c>
      <c r="N26" s="73" t="s">
        <v>75</v>
      </c>
      <c r="O26" s="73" t="s">
        <v>76</v>
      </c>
      <c r="P26" s="74" t="s">
        <v>77</v>
      </c>
    </row>
    <row r="27" spans="2:16" ht="13.5">
      <c r="B27" s="65" t="s">
        <v>78</v>
      </c>
      <c r="C27" s="39">
        <f>+Hoja1!$C$13/3*Hoja1!$G$13</f>
        <v>25499.9887222403</v>
      </c>
      <c r="D27" s="39">
        <f>+Hoja1!$C$13/3*Hoja1!$G$13</f>
        <v>25499.9887222403</v>
      </c>
      <c r="E27" s="39">
        <f>+Hoja1!$C$13/3*Hoja1!$G$13</f>
        <v>25499.9887222403</v>
      </c>
      <c r="F27" s="39">
        <f>+Hoja1!$C$14/3*Hoja1!$G$14</f>
        <v>27287.027931894903</v>
      </c>
      <c r="G27" s="39">
        <f>+Hoja1!$C$14/3*Hoja1!$G$14</f>
        <v>27287.027931894903</v>
      </c>
      <c r="H27" s="66">
        <f>+Hoja1!$C$14/3*Hoja1!$G$14</f>
        <v>27287.027931894903</v>
      </c>
      <c r="I27" s="1"/>
      <c r="J27" s="65" t="s">
        <v>78</v>
      </c>
      <c r="K27" s="39">
        <f>+Hoja1!$C$19/3*Hoja1!$G$19</f>
        <v>38285.777482011625</v>
      </c>
      <c r="L27" s="39">
        <f>+Hoja1!$C$19/3*Hoja1!$G$19</f>
        <v>38285.777482011625</v>
      </c>
      <c r="M27" s="39">
        <f>+Hoja1!$C$19/3*Hoja1!$G$19</f>
        <v>38285.777482011625</v>
      </c>
      <c r="N27" s="39">
        <f>+Hoja1!$C$18/3*Hoja1!$G$18</f>
        <v>35778.42542801625</v>
      </c>
      <c r="O27" s="39">
        <f>+Hoja1!$C$18/3*Hoja1!$G$18</f>
        <v>35778.42542801625</v>
      </c>
      <c r="P27" s="66">
        <f>+Hoja1!$C$18/3*Hoja1!$G$18</f>
        <v>35778.42542801625</v>
      </c>
    </row>
    <row r="28" spans="2:16" ht="13.5">
      <c r="B28" s="65" t="s">
        <v>79</v>
      </c>
      <c r="C28" s="39"/>
      <c r="D28" s="39">
        <f>+Hoja1!$C$13/3*Hoja1!$G$13</f>
        <v>25499.9887222403</v>
      </c>
      <c r="E28" s="39">
        <f>+Hoja1!$C$13/3*Hoja1!$G$13</f>
        <v>25499.9887222403</v>
      </c>
      <c r="F28" s="39">
        <f>+Hoja1!$C$14/3*Hoja1!$G$14</f>
        <v>27287.027931894903</v>
      </c>
      <c r="G28" s="39">
        <f>+Hoja1!$C$14/3*Hoja1!$G$14</f>
        <v>27287.027931894903</v>
      </c>
      <c r="H28" s="66">
        <f>+Hoja1!$C$14/3*Hoja1!$G$14</f>
        <v>27287.027931894903</v>
      </c>
      <c r="I28" s="1"/>
      <c r="J28" s="65" t="s">
        <v>79</v>
      </c>
      <c r="K28" s="39"/>
      <c r="L28" s="39">
        <f>+Hoja1!$C$19/3*Hoja1!$G$19</f>
        <v>38285.777482011625</v>
      </c>
      <c r="M28" s="39">
        <f>+Hoja1!$C$19/3*Hoja1!$G$19</f>
        <v>38285.777482011625</v>
      </c>
      <c r="N28" s="39">
        <f>+Hoja1!$C$18/3*Hoja1!$G$18</f>
        <v>35778.42542801625</v>
      </c>
      <c r="O28" s="39">
        <f>+Hoja1!$C$18/3*Hoja1!$G$18</f>
        <v>35778.42542801625</v>
      </c>
      <c r="P28" s="66">
        <f>+Hoja1!$C$18/3*Hoja1!$G$18</f>
        <v>35778.42542801625</v>
      </c>
    </row>
    <row r="29" spans="2:16" ht="13.5">
      <c r="B29" s="65" t="s">
        <v>80</v>
      </c>
      <c r="C29" s="39"/>
      <c r="D29" s="39"/>
      <c r="E29" s="39">
        <f>+Hoja1!$C$13/3*Hoja1!$G$13</f>
        <v>25499.9887222403</v>
      </c>
      <c r="F29" s="39">
        <f>+Hoja1!$C$14/3*Hoja1!$G$14</f>
        <v>27287.027931894903</v>
      </c>
      <c r="G29" s="39">
        <f>+Hoja1!$C$14/3*Hoja1!$G$14</f>
        <v>27287.027931894903</v>
      </c>
      <c r="H29" s="66">
        <f>+Hoja1!$C$14/3*Hoja1!$G$14</f>
        <v>27287.027931894903</v>
      </c>
      <c r="I29" s="1"/>
      <c r="J29" s="65" t="s">
        <v>80</v>
      </c>
      <c r="K29" s="39"/>
      <c r="L29" s="39"/>
      <c r="M29" s="39">
        <f>+Hoja1!$C$19/3*Hoja1!$G$19</f>
        <v>38285.777482011625</v>
      </c>
      <c r="N29" s="39">
        <f>+Hoja1!$C$18/3*Hoja1!$G$18</f>
        <v>35778.42542801625</v>
      </c>
      <c r="O29" s="39">
        <f>+Hoja1!$C$18/3*Hoja1!$G$18</f>
        <v>35778.42542801625</v>
      </c>
      <c r="P29" s="66">
        <f>+Hoja1!$C$18/3*Hoja1!$G$18</f>
        <v>35778.42542801625</v>
      </c>
    </row>
    <row r="30" spans="2:16" ht="13.5">
      <c r="B30" s="65" t="s">
        <v>81</v>
      </c>
      <c r="C30" s="39"/>
      <c r="D30" s="39"/>
      <c r="E30" s="39"/>
      <c r="F30" s="39">
        <f>+Hoja1!$C$14/3*Hoja1!$G$14</f>
        <v>27287.027931894903</v>
      </c>
      <c r="G30" s="39">
        <f>+Hoja1!$C$14/3*Hoja1!$G$14</f>
        <v>27287.027931894903</v>
      </c>
      <c r="H30" s="66">
        <f>+Hoja1!$C$14/3*Hoja1!$G$14</f>
        <v>27287.027931894903</v>
      </c>
      <c r="I30" s="1"/>
      <c r="J30" s="65" t="s">
        <v>81</v>
      </c>
      <c r="K30" s="39"/>
      <c r="L30" s="39"/>
      <c r="M30" s="39"/>
      <c r="N30" s="39">
        <f>+Hoja1!$C$18/3*Hoja1!$G$18</f>
        <v>35778.42542801625</v>
      </c>
      <c r="O30" s="39">
        <f>+Hoja1!$C$18/3*Hoja1!$G$18</f>
        <v>35778.42542801625</v>
      </c>
      <c r="P30" s="66">
        <f>+Hoja1!$C$18/3*Hoja1!$G$18</f>
        <v>35778.42542801625</v>
      </c>
    </row>
    <row r="31" spans="2:16" ht="13.5">
      <c r="B31" s="65" t="s">
        <v>82</v>
      </c>
      <c r="C31" s="39"/>
      <c r="D31" s="39"/>
      <c r="E31" s="39"/>
      <c r="F31" s="39"/>
      <c r="G31" s="39">
        <f>+Hoja1!$C$14/3*Hoja1!$G$14</f>
        <v>27287.027931894903</v>
      </c>
      <c r="H31" s="66">
        <f>+Hoja1!$C$14/3*Hoja1!$G$14</f>
        <v>27287.027931894903</v>
      </c>
      <c r="I31" s="1"/>
      <c r="J31" s="65" t="s">
        <v>82</v>
      </c>
      <c r="K31" s="39"/>
      <c r="L31" s="39"/>
      <c r="M31" s="39"/>
      <c r="N31" s="39"/>
      <c r="O31" s="39">
        <f>+Hoja1!$C$18/3*Hoja1!$G$18</f>
        <v>35778.42542801625</v>
      </c>
      <c r="P31" s="66">
        <f>+Hoja1!$C$18/3*Hoja1!$G$18</f>
        <v>35778.42542801625</v>
      </c>
    </row>
    <row r="32" spans="2:16" ht="13.5">
      <c r="B32" s="65" t="s">
        <v>83</v>
      </c>
      <c r="C32" s="39"/>
      <c r="D32" s="39"/>
      <c r="E32" s="39"/>
      <c r="F32" s="39"/>
      <c r="G32" s="39"/>
      <c r="H32" s="66">
        <f>+Hoja1!$C$14/3*Hoja1!$G$14</f>
        <v>27287.027931894903</v>
      </c>
      <c r="I32" s="1"/>
      <c r="J32" s="65" t="s">
        <v>83</v>
      </c>
      <c r="K32" s="39"/>
      <c r="L32" s="39"/>
      <c r="M32" s="39"/>
      <c r="N32" s="39"/>
      <c r="O32" s="39"/>
      <c r="P32" s="66">
        <f>+Hoja1!$C$18/3*Hoja1!$G$18</f>
        <v>35778.42542801625</v>
      </c>
    </row>
    <row r="33" spans="2:16" ht="13.5">
      <c r="B33" s="67" t="s">
        <v>21</v>
      </c>
      <c r="C33" s="39">
        <f>SUM(C27:C32)</f>
        <v>25499.9887222403</v>
      </c>
      <c r="D33" s="39">
        <f>SUM(D27:D32)</f>
        <v>50999.9774444806</v>
      </c>
      <c r="E33" s="39">
        <f>SUM(E27:E32)</f>
        <v>76499.9661667209</v>
      </c>
      <c r="F33" s="39">
        <f>SUM(F27:F32)</f>
        <v>109148.11172757961</v>
      </c>
      <c r="G33" s="39">
        <f>SUM(G27:G32)</f>
        <v>136435.13965947452</v>
      </c>
      <c r="H33" s="66">
        <f>SUM(H27:H32)</f>
        <v>163722.16759136942</v>
      </c>
      <c r="I33" s="1"/>
      <c r="J33" s="67" t="s">
        <v>21</v>
      </c>
      <c r="K33" s="39">
        <f>SUM(K27:K32)</f>
        <v>38285.777482011625</v>
      </c>
      <c r="L33" s="39">
        <f>SUM(L27:L32)</f>
        <v>76571.55496402325</v>
      </c>
      <c r="M33" s="39">
        <f>SUM(M27:M32)</f>
        <v>114857.33244603488</v>
      </c>
      <c r="N33" s="39">
        <f>SUM(N27:N32)</f>
        <v>143113.701712065</v>
      </c>
      <c r="O33" s="39">
        <f>SUM(O27:O32)</f>
        <v>178892.12714008125</v>
      </c>
      <c r="P33" s="66">
        <f>SUM(P27:P32)</f>
        <v>214670.5525680975</v>
      </c>
    </row>
    <row r="34" spans="2:16" ht="14.25" thickBot="1">
      <c r="B34" s="48"/>
      <c r="C34" s="68"/>
      <c r="D34" s="68"/>
      <c r="E34" s="69">
        <f>+C33+D33+E33</f>
        <v>152999.9323334418</v>
      </c>
      <c r="F34" s="70"/>
      <c r="G34" s="70"/>
      <c r="H34" s="71">
        <f>+F33+G33+H33</f>
        <v>409305.4189784236</v>
      </c>
      <c r="I34" s="1"/>
      <c r="J34" s="48"/>
      <c r="K34" s="68"/>
      <c r="L34" s="68"/>
      <c r="M34" s="69">
        <f>+K33+L33+M33</f>
        <v>229714.66489206976</v>
      </c>
      <c r="N34" s="70"/>
      <c r="O34" s="70"/>
      <c r="P34" s="71">
        <f>+N33+O33+P33</f>
        <v>536676.3814202438</v>
      </c>
    </row>
    <row r="35" spans="2:16" ht="13.5">
      <c r="B35" s="35"/>
      <c r="C35" s="37"/>
      <c r="D35" s="37"/>
      <c r="E35" s="84"/>
      <c r="F35" s="39"/>
      <c r="G35" s="39"/>
      <c r="H35" s="84"/>
      <c r="I35" s="1"/>
      <c r="J35" s="35"/>
      <c r="K35" s="37"/>
      <c r="L35" s="37"/>
      <c r="M35" s="84"/>
      <c r="N35" s="39"/>
      <c r="O35" s="39"/>
      <c r="P35" s="84"/>
    </row>
    <row r="36" spans="2:16" ht="13.5">
      <c r="B36" s="35"/>
      <c r="C36" s="37"/>
      <c r="D36" s="37"/>
      <c r="E36" s="84"/>
      <c r="F36" s="39"/>
      <c r="G36" s="39"/>
      <c r="H36" s="84"/>
      <c r="I36" s="1"/>
      <c r="J36" s="35"/>
      <c r="K36" s="37"/>
      <c r="L36" s="37"/>
      <c r="M36" s="84"/>
      <c r="N36" s="39"/>
      <c r="O36" s="39"/>
      <c r="P36" s="84"/>
    </row>
    <row r="37" spans="2:16" ht="13.5">
      <c r="B37" s="35"/>
      <c r="C37" s="37"/>
      <c r="D37" s="37"/>
      <c r="E37" s="84"/>
      <c r="F37" s="39"/>
      <c r="G37" s="39"/>
      <c r="H37" s="84"/>
      <c r="I37" s="1"/>
      <c r="J37" s="35"/>
      <c r="K37" s="37"/>
      <c r="L37" s="37"/>
      <c r="M37" s="84"/>
      <c r="N37" s="39"/>
      <c r="O37" s="39"/>
      <c r="P37" s="84"/>
    </row>
    <row r="38" spans="2:16" ht="13.5">
      <c r="B38" s="35"/>
      <c r="C38" s="37"/>
      <c r="D38" s="37"/>
      <c r="E38" s="84"/>
      <c r="F38" s="39"/>
      <c r="G38" s="39"/>
      <c r="H38" s="84"/>
      <c r="I38" s="1"/>
      <c r="J38" s="35"/>
      <c r="K38" s="37"/>
      <c r="L38" s="37"/>
      <c r="M38" s="84"/>
      <c r="N38" s="39"/>
      <c r="O38" s="39"/>
      <c r="P38" s="84"/>
    </row>
    <row r="39" spans="2:16" ht="14.25" thickBot="1"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14.25" thickBot="1">
      <c r="B40" s="40" t="s">
        <v>89</v>
      </c>
      <c r="C40" s="41"/>
      <c r="D40" s="41"/>
      <c r="E40" s="41"/>
      <c r="F40" s="41"/>
      <c r="G40" s="41"/>
      <c r="H40" s="42"/>
      <c r="I40" s="1"/>
      <c r="J40" s="40" t="s">
        <v>89</v>
      </c>
      <c r="K40" s="41"/>
      <c r="L40" s="41"/>
      <c r="M40" s="41"/>
      <c r="N40" s="41"/>
      <c r="O40" s="41"/>
      <c r="P40" s="42"/>
    </row>
    <row r="41" spans="2:16" ht="13.5">
      <c r="B41" s="72"/>
      <c r="C41" s="73" t="s">
        <v>66</v>
      </c>
      <c r="D41" s="73" t="s">
        <v>67</v>
      </c>
      <c r="E41" s="73" t="s">
        <v>68</v>
      </c>
      <c r="F41" s="73" t="s">
        <v>69</v>
      </c>
      <c r="G41" s="73" t="s">
        <v>70</v>
      </c>
      <c r="H41" s="74" t="s">
        <v>71</v>
      </c>
      <c r="I41" s="1"/>
      <c r="J41" s="72"/>
      <c r="K41" s="73" t="s">
        <v>72</v>
      </c>
      <c r="L41" s="73" t="s">
        <v>73</v>
      </c>
      <c r="M41" s="73" t="s">
        <v>74</v>
      </c>
      <c r="N41" s="73" t="s">
        <v>75</v>
      </c>
      <c r="O41" s="73" t="s">
        <v>76</v>
      </c>
      <c r="P41" s="74" t="s">
        <v>77</v>
      </c>
    </row>
    <row r="42" spans="2:16" ht="13.5">
      <c r="B42" s="65" t="s">
        <v>78</v>
      </c>
      <c r="C42" s="39">
        <f>+Hoja1!$C$13/3*Hoja1!$H$13</f>
        <v>16048.670076405302</v>
      </c>
      <c r="D42" s="39">
        <f>+Hoja1!$C$13/3*Hoja1!$H$13</f>
        <v>16048.670076405302</v>
      </c>
      <c r="E42" s="39">
        <f>+Hoja1!$C$13/3*Hoja1!$H$13</f>
        <v>16048.670076405302</v>
      </c>
      <c r="F42" s="39">
        <f>+Hoja1!$C$14/3*Hoja1!$H$14</f>
        <v>17173.360875359784</v>
      </c>
      <c r="G42" s="39">
        <f>+Hoja1!$C$14/3*Hoja1!$H$14</f>
        <v>17173.360875359784</v>
      </c>
      <c r="H42" s="66">
        <f>+Hoja1!$C$14/3*Hoja1!$H$14</f>
        <v>17173.360875359784</v>
      </c>
      <c r="I42" s="1"/>
      <c r="J42" s="65" t="s">
        <v>78</v>
      </c>
      <c r="K42" s="39">
        <f>+Hoja1!$C$19/3*Hoja1!$H$19</f>
        <v>24095.532673376438</v>
      </c>
      <c r="L42" s="39">
        <f>+Hoja1!$C$19/3*Hoja1!$H$19</f>
        <v>24095.532673376438</v>
      </c>
      <c r="M42" s="39">
        <f>+Hoja1!$C$19/3*Hoja1!$H$19</f>
        <v>24095.532673376438</v>
      </c>
      <c r="N42" s="39">
        <f>+Hoja1!$C$18*Hoja1!$H$18/3</f>
        <v>22517.505862530317</v>
      </c>
      <c r="O42" s="39">
        <f>+Hoja1!$C$18*Hoja1!$H$18/3</f>
        <v>22517.505862530317</v>
      </c>
      <c r="P42" s="66">
        <f>+Hoja1!$C$18*Hoja1!$H$18/3</f>
        <v>22517.505862530317</v>
      </c>
    </row>
    <row r="43" spans="2:16" ht="13.5">
      <c r="B43" s="65" t="s">
        <v>79</v>
      </c>
      <c r="C43" s="39"/>
      <c r="D43" s="39">
        <f>+Hoja1!$C$13/3*Hoja1!$H$13</f>
        <v>16048.670076405302</v>
      </c>
      <c r="E43" s="39">
        <f>+Hoja1!$C$13/3*Hoja1!$H$13</f>
        <v>16048.670076405302</v>
      </c>
      <c r="F43" s="39">
        <f>+Hoja1!$C$14/3*Hoja1!$H$14</f>
        <v>17173.360875359784</v>
      </c>
      <c r="G43" s="39">
        <f>+Hoja1!$C$14/3*Hoja1!$H$14</f>
        <v>17173.360875359784</v>
      </c>
      <c r="H43" s="66">
        <f>+Hoja1!$C$14/3*Hoja1!$H$14</f>
        <v>17173.360875359784</v>
      </c>
      <c r="I43" s="1"/>
      <c r="J43" s="65" t="s">
        <v>79</v>
      </c>
      <c r="K43" s="39"/>
      <c r="L43" s="39">
        <f>+Hoja1!$C$19/3*Hoja1!$H$19</f>
        <v>24095.532673376438</v>
      </c>
      <c r="M43" s="39">
        <f>+Hoja1!$C$19/3*Hoja1!$H$19</f>
        <v>24095.532673376438</v>
      </c>
      <c r="N43" s="39">
        <f>+Hoja1!$C$18*Hoja1!$H$18/3</f>
        <v>22517.505862530317</v>
      </c>
      <c r="O43" s="39">
        <f>+Hoja1!$C$18*Hoja1!$H$18/3</f>
        <v>22517.505862530317</v>
      </c>
      <c r="P43" s="66">
        <f>+Hoja1!$C$18*Hoja1!$H$18/3</f>
        <v>22517.505862530317</v>
      </c>
    </row>
    <row r="44" spans="2:16" ht="13.5">
      <c r="B44" s="65" t="s">
        <v>80</v>
      </c>
      <c r="C44" s="39"/>
      <c r="D44" s="39"/>
      <c r="E44" s="39">
        <f>+Hoja1!$C$13/3*Hoja1!$H$13</f>
        <v>16048.670076405302</v>
      </c>
      <c r="F44" s="39">
        <f>+Hoja1!$C$14/3*Hoja1!$H$14</f>
        <v>17173.360875359784</v>
      </c>
      <c r="G44" s="39">
        <f>+Hoja1!$C$14/3*Hoja1!$H$14</f>
        <v>17173.360875359784</v>
      </c>
      <c r="H44" s="66">
        <f>+Hoja1!$C$14/3*Hoja1!$H$14</f>
        <v>17173.360875359784</v>
      </c>
      <c r="I44" s="1"/>
      <c r="J44" s="65" t="s">
        <v>80</v>
      </c>
      <c r="K44" s="39"/>
      <c r="L44" s="39"/>
      <c r="M44" s="39">
        <f>+Hoja1!$C$19/3*Hoja1!$H$19</f>
        <v>24095.532673376438</v>
      </c>
      <c r="N44" s="39">
        <f>+Hoja1!$C$18*Hoja1!$H$18/3</f>
        <v>22517.505862530317</v>
      </c>
      <c r="O44" s="39">
        <f>+Hoja1!$C$18*Hoja1!$H$18/3</f>
        <v>22517.505862530317</v>
      </c>
      <c r="P44" s="66">
        <f>+Hoja1!$C$18*Hoja1!$H$18/3</f>
        <v>22517.505862530317</v>
      </c>
    </row>
    <row r="45" spans="2:16" ht="13.5">
      <c r="B45" s="65" t="s">
        <v>81</v>
      </c>
      <c r="C45" s="39"/>
      <c r="D45" s="39"/>
      <c r="E45" s="39"/>
      <c r="F45" s="39">
        <f>+Hoja1!$C$14/3*Hoja1!$H$14</f>
        <v>17173.360875359784</v>
      </c>
      <c r="G45" s="39">
        <f>+Hoja1!$C$14/3*Hoja1!$H$14</f>
        <v>17173.360875359784</v>
      </c>
      <c r="H45" s="66">
        <f>+Hoja1!$C$14/3*Hoja1!$H$14</f>
        <v>17173.360875359784</v>
      </c>
      <c r="I45" s="1"/>
      <c r="J45" s="65" t="s">
        <v>81</v>
      </c>
      <c r="K45" s="39"/>
      <c r="L45" s="39"/>
      <c r="M45" s="39"/>
      <c r="N45" s="39">
        <f>+Hoja1!$C$18*Hoja1!$H$18/3</f>
        <v>22517.505862530317</v>
      </c>
      <c r="O45" s="39">
        <f>+Hoja1!$C$18*Hoja1!$H$18/3</f>
        <v>22517.505862530317</v>
      </c>
      <c r="P45" s="66">
        <f>+Hoja1!$C$18*Hoja1!$H$18/3</f>
        <v>22517.505862530317</v>
      </c>
    </row>
    <row r="46" spans="2:16" ht="13.5">
      <c r="B46" s="65" t="s">
        <v>82</v>
      </c>
      <c r="C46" s="39"/>
      <c r="D46" s="39"/>
      <c r="E46" s="39"/>
      <c r="F46" s="39"/>
      <c r="G46" s="39">
        <f>+Hoja1!$C$14/3*Hoja1!$H$14</f>
        <v>17173.360875359784</v>
      </c>
      <c r="H46" s="66">
        <f>+Hoja1!$C$14/3*Hoja1!$H$14</f>
        <v>17173.360875359784</v>
      </c>
      <c r="I46" s="1"/>
      <c r="J46" s="65" t="s">
        <v>82</v>
      </c>
      <c r="K46" s="39"/>
      <c r="L46" s="39"/>
      <c r="M46" s="39"/>
      <c r="N46" s="39"/>
      <c r="O46" s="39">
        <f>+Hoja1!$C$18*Hoja1!$H$18/3</f>
        <v>22517.505862530317</v>
      </c>
      <c r="P46" s="66">
        <f>+Hoja1!$C$18*Hoja1!$H$18/3</f>
        <v>22517.505862530317</v>
      </c>
    </row>
    <row r="47" spans="2:16" ht="13.5">
      <c r="B47" s="65" t="s">
        <v>83</v>
      </c>
      <c r="C47" s="39"/>
      <c r="D47" s="39"/>
      <c r="E47" s="39"/>
      <c r="F47" s="39"/>
      <c r="G47" s="39"/>
      <c r="H47" s="66">
        <f>+Hoja1!$C$14/3*Hoja1!$H$14</f>
        <v>17173.360875359784</v>
      </c>
      <c r="I47" s="1"/>
      <c r="J47" s="65" t="s">
        <v>83</v>
      </c>
      <c r="K47" s="39"/>
      <c r="L47" s="39"/>
      <c r="M47" s="39"/>
      <c r="N47" s="39"/>
      <c r="O47" s="39"/>
      <c r="P47" s="66">
        <f>+Hoja1!$C$18*Hoja1!$H$18/3</f>
        <v>22517.505862530317</v>
      </c>
    </row>
    <row r="48" spans="2:16" ht="13.5">
      <c r="B48" s="67" t="s">
        <v>21</v>
      </c>
      <c r="C48" s="39">
        <f>SUM(C42:C47)</f>
        <v>16048.670076405302</v>
      </c>
      <c r="D48" s="39">
        <f>SUM(D42:D47)</f>
        <v>32097.340152810604</v>
      </c>
      <c r="E48" s="39">
        <f>SUM(E42:E47)</f>
        <v>48146.010229215906</v>
      </c>
      <c r="F48" s="39">
        <f>SUM(F42:F47)</f>
        <v>68693.44350143913</v>
      </c>
      <c r="G48" s="39">
        <f>SUM(G42:G47)</f>
        <v>85866.80437679891</v>
      </c>
      <c r="H48" s="66">
        <f>SUM(H42:H47)</f>
        <v>103040.1652521587</v>
      </c>
      <c r="I48" s="1"/>
      <c r="J48" s="67" t="s">
        <v>21</v>
      </c>
      <c r="K48" s="39">
        <f>SUM(K42:K47)</f>
        <v>24095.532673376438</v>
      </c>
      <c r="L48" s="39">
        <f>SUM(L42:L47)</f>
        <v>48191.065346752875</v>
      </c>
      <c r="M48" s="39">
        <f>SUM(M42:M47)</f>
        <v>72286.59802012931</v>
      </c>
      <c r="N48" s="39">
        <f>SUM(N42:N47)</f>
        <v>90070.02345012127</v>
      </c>
      <c r="O48" s="39">
        <f>SUM(O42:O47)</f>
        <v>112587.52931265159</v>
      </c>
      <c r="P48" s="66">
        <f>SUM(P42:P47)</f>
        <v>135105.0351751819</v>
      </c>
    </row>
    <row r="49" spans="2:16" ht="14.25" thickBot="1">
      <c r="B49" s="48"/>
      <c r="C49" s="68"/>
      <c r="D49" s="68"/>
      <c r="E49" s="69">
        <f>+C48+D48+E48</f>
        <v>96292.02045843181</v>
      </c>
      <c r="F49" s="70"/>
      <c r="G49" s="70"/>
      <c r="H49" s="71">
        <f>+F48+G48+H48</f>
        <v>257600.41313039674</v>
      </c>
      <c r="I49" s="1"/>
      <c r="J49" s="48"/>
      <c r="K49" s="68"/>
      <c r="L49" s="68"/>
      <c r="M49" s="69">
        <f>+K48+L48+M48</f>
        <v>144573.19604025863</v>
      </c>
      <c r="N49" s="70"/>
      <c r="O49" s="70"/>
      <c r="P49" s="71">
        <f>+N48+O48+P48</f>
        <v>337762.58793795476</v>
      </c>
    </row>
    <row r="50" spans="2:16" ht="14.25" thickBot="1"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ht="14.25" thickBot="1">
      <c r="B51" s="40" t="s">
        <v>90</v>
      </c>
      <c r="C51" s="41"/>
      <c r="D51" s="41"/>
      <c r="E51" s="41"/>
      <c r="F51" s="41"/>
      <c r="G51" s="41"/>
      <c r="H51" s="42"/>
      <c r="I51" s="1"/>
      <c r="J51" s="40" t="s">
        <v>90</v>
      </c>
      <c r="K51" s="41"/>
      <c r="L51" s="41"/>
      <c r="M51" s="41"/>
      <c r="N51" s="41"/>
      <c r="O51" s="41"/>
      <c r="P51" s="42"/>
    </row>
    <row r="52" spans="2:16" ht="13.5">
      <c r="B52" s="72"/>
      <c r="C52" s="73" t="s">
        <v>66</v>
      </c>
      <c r="D52" s="73" t="s">
        <v>67</v>
      </c>
      <c r="E52" s="73" t="s">
        <v>68</v>
      </c>
      <c r="F52" s="73" t="s">
        <v>69</v>
      </c>
      <c r="G52" s="73" t="s">
        <v>70</v>
      </c>
      <c r="H52" s="74" t="s">
        <v>71</v>
      </c>
      <c r="I52" s="1"/>
      <c r="J52" s="72"/>
      <c r="K52" s="73" t="s">
        <v>72</v>
      </c>
      <c r="L52" s="73" t="s">
        <v>73</v>
      </c>
      <c r="M52" s="73" t="s">
        <v>74</v>
      </c>
      <c r="N52" s="73" t="s">
        <v>75</v>
      </c>
      <c r="O52" s="73" t="s">
        <v>76</v>
      </c>
      <c r="P52" s="74" t="s">
        <v>77</v>
      </c>
    </row>
    <row r="53" spans="2:16" ht="13.5">
      <c r="B53" s="65" t="s">
        <v>78</v>
      </c>
      <c r="C53" s="39">
        <f>+Hoja1!$C$13/3*Hoja1!$I$13</f>
        <v>21857.133190491688</v>
      </c>
      <c r="D53" s="39">
        <f>+Hoja1!$C$13/3*Hoja1!$I$13</f>
        <v>21857.133190491688</v>
      </c>
      <c r="E53" s="39">
        <f>+Hoja1!$C$13/3*Hoja1!$I$13</f>
        <v>21857.133190491688</v>
      </c>
      <c r="F53" s="39">
        <f>+Hoja1!$C$14/3*Hoja1!$I$14</f>
        <v>23388.88108448135</v>
      </c>
      <c r="G53" s="39">
        <f>+Hoja1!$C$14/3*Hoja1!$I$14</f>
        <v>23388.88108448135</v>
      </c>
      <c r="H53" s="66">
        <f>+Hoja1!$C$14/3*Hoja1!$I$14</f>
        <v>23388.88108448135</v>
      </c>
      <c r="I53" s="1"/>
      <c r="J53" s="65" t="s">
        <v>78</v>
      </c>
      <c r="K53" s="39">
        <f>+Hoja1!$C$19/3*Hoja1!$I$19</f>
        <v>32816.38069886712</v>
      </c>
      <c r="L53" s="39">
        <f>+Hoja1!$C$19/3*Hoja1!$I$19</f>
        <v>32816.38069886712</v>
      </c>
      <c r="M53" s="39">
        <f>+Hoja1!$C$19/3*Hoja1!$I$19</f>
        <v>32816.38069886712</v>
      </c>
      <c r="N53" s="39">
        <f>+Hoja1!$C$18/3*Hoja1!$I$18</f>
        <v>30667.221795442507</v>
      </c>
      <c r="O53" s="39">
        <f>+Hoja1!$C$18/3*Hoja1!$I$18</f>
        <v>30667.221795442507</v>
      </c>
      <c r="P53" s="66">
        <f>+Hoja1!$C$18/3*Hoja1!$I$18</f>
        <v>30667.221795442507</v>
      </c>
    </row>
    <row r="54" spans="2:16" ht="13.5">
      <c r="B54" s="65" t="s">
        <v>79</v>
      </c>
      <c r="C54" s="39"/>
      <c r="D54" s="39">
        <f>+Hoja1!$C$13/3*Hoja1!$I$13</f>
        <v>21857.133190491688</v>
      </c>
      <c r="E54" s="39">
        <f>+Hoja1!$C$13/3*Hoja1!$I$13</f>
        <v>21857.133190491688</v>
      </c>
      <c r="F54" s="39">
        <f>+Hoja1!$C$14/3*Hoja1!$I$14</f>
        <v>23388.88108448135</v>
      </c>
      <c r="G54" s="39">
        <f>+Hoja1!$C$14/3*Hoja1!$I$14</f>
        <v>23388.88108448135</v>
      </c>
      <c r="H54" s="66">
        <f>+Hoja1!$C$14/3*Hoja1!$I$14</f>
        <v>23388.88108448135</v>
      </c>
      <c r="I54" s="1"/>
      <c r="J54" s="65" t="s">
        <v>79</v>
      </c>
      <c r="K54" s="39"/>
      <c r="L54" s="39">
        <f>+Hoja1!$C$19/3*Hoja1!$I$19</f>
        <v>32816.38069886712</v>
      </c>
      <c r="M54" s="39">
        <f>+Hoja1!$C$19/3*Hoja1!$I$19</f>
        <v>32816.38069886712</v>
      </c>
      <c r="N54" s="39">
        <f>+Hoja1!$C$18/3*Hoja1!$I$18</f>
        <v>30667.221795442507</v>
      </c>
      <c r="O54" s="39">
        <f>+Hoja1!$C$18/3*Hoja1!$I$18</f>
        <v>30667.221795442507</v>
      </c>
      <c r="P54" s="66">
        <f>+Hoja1!$C$18/3*Hoja1!$I$18</f>
        <v>30667.221795442507</v>
      </c>
    </row>
    <row r="55" spans="2:16" ht="13.5">
      <c r="B55" s="65" t="s">
        <v>80</v>
      </c>
      <c r="C55" s="39"/>
      <c r="D55" s="39"/>
      <c r="E55" s="39">
        <f>+Hoja1!$C$13/3*Hoja1!$I$13</f>
        <v>21857.133190491688</v>
      </c>
      <c r="F55" s="39">
        <f>+Hoja1!$C$14/3*Hoja1!$I$14</f>
        <v>23388.88108448135</v>
      </c>
      <c r="G55" s="39">
        <f>+Hoja1!$C$14/3*Hoja1!$I$14</f>
        <v>23388.88108448135</v>
      </c>
      <c r="H55" s="66">
        <f>+Hoja1!$C$14/3*Hoja1!$I$14</f>
        <v>23388.88108448135</v>
      </c>
      <c r="I55" s="1"/>
      <c r="J55" s="65" t="s">
        <v>80</v>
      </c>
      <c r="K55" s="39"/>
      <c r="L55" s="39"/>
      <c r="M55" s="39">
        <f>+Hoja1!$C$19/3*Hoja1!$I$19</f>
        <v>32816.38069886712</v>
      </c>
      <c r="N55" s="39">
        <f>+Hoja1!$C$18/3*Hoja1!$I$18</f>
        <v>30667.221795442507</v>
      </c>
      <c r="O55" s="39">
        <f>+Hoja1!$C$18/3*Hoja1!$I$18</f>
        <v>30667.221795442507</v>
      </c>
      <c r="P55" s="66">
        <f>+Hoja1!$C$18/3*Hoja1!$I$18</f>
        <v>30667.221795442507</v>
      </c>
    </row>
    <row r="56" spans="2:16" ht="13.5">
      <c r="B56" s="65" t="s">
        <v>81</v>
      </c>
      <c r="C56" s="39"/>
      <c r="D56" s="39"/>
      <c r="E56" s="39"/>
      <c r="F56" s="39">
        <f>+Hoja1!$C$14/3*Hoja1!$I$14</f>
        <v>23388.88108448135</v>
      </c>
      <c r="G56" s="39">
        <f>+Hoja1!$C$14/3*Hoja1!$I$14</f>
        <v>23388.88108448135</v>
      </c>
      <c r="H56" s="66">
        <f>+Hoja1!$C$14/3*Hoja1!$I$14</f>
        <v>23388.88108448135</v>
      </c>
      <c r="I56" s="1"/>
      <c r="J56" s="65" t="s">
        <v>81</v>
      </c>
      <c r="K56" s="39"/>
      <c r="L56" s="39"/>
      <c r="M56" s="39"/>
      <c r="N56" s="39">
        <f>+Hoja1!$C$18/3*Hoja1!$I$18</f>
        <v>30667.221795442507</v>
      </c>
      <c r="O56" s="39">
        <f>+Hoja1!$C$18/3*Hoja1!$I$18</f>
        <v>30667.221795442507</v>
      </c>
      <c r="P56" s="66">
        <f>+Hoja1!$C$18/3*Hoja1!$I$18</f>
        <v>30667.221795442507</v>
      </c>
    </row>
    <row r="57" spans="2:16" ht="13.5">
      <c r="B57" s="65" t="s">
        <v>82</v>
      </c>
      <c r="C57" s="39"/>
      <c r="D57" s="39"/>
      <c r="E57" s="39"/>
      <c r="F57" s="39"/>
      <c r="G57" s="39">
        <f>+Hoja1!$C$14/3*Hoja1!$I$14</f>
        <v>23388.88108448135</v>
      </c>
      <c r="H57" s="66">
        <f>+Hoja1!$C$14/3*Hoja1!$I$14</f>
        <v>23388.88108448135</v>
      </c>
      <c r="I57" s="1"/>
      <c r="J57" s="65" t="s">
        <v>82</v>
      </c>
      <c r="K57" s="39"/>
      <c r="L57" s="39"/>
      <c r="M57" s="39"/>
      <c r="N57" s="39"/>
      <c r="O57" s="39">
        <f>+Hoja1!$C$18/3*Hoja1!$I$18</f>
        <v>30667.221795442507</v>
      </c>
      <c r="P57" s="66">
        <f>+Hoja1!$C$18/3*Hoja1!$I$18</f>
        <v>30667.221795442507</v>
      </c>
    </row>
    <row r="58" spans="2:16" ht="13.5">
      <c r="B58" s="65" t="s">
        <v>83</v>
      </c>
      <c r="C58" s="39"/>
      <c r="D58" s="39"/>
      <c r="E58" s="39"/>
      <c r="F58" s="39"/>
      <c r="G58" s="39"/>
      <c r="H58" s="66">
        <f>+Hoja1!$C$14/3*Hoja1!$I$14</f>
        <v>23388.88108448135</v>
      </c>
      <c r="I58" s="1"/>
      <c r="J58" s="65" t="s">
        <v>83</v>
      </c>
      <c r="K58" s="39"/>
      <c r="L58" s="39"/>
      <c r="M58" s="39"/>
      <c r="N58" s="39"/>
      <c r="O58" s="39"/>
      <c r="P58" s="66">
        <f>+Hoja1!$C$18/3*Hoja1!$I$18</f>
        <v>30667.221795442507</v>
      </c>
    </row>
    <row r="59" spans="2:16" ht="13.5">
      <c r="B59" s="67" t="s">
        <v>21</v>
      </c>
      <c r="C59" s="39">
        <f>SUM(C53:C58)</f>
        <v>21857.133190491688</v>
      </c>
      <c r="D59" s="39">
        <f>SUM(D53:D58)</f>
        <v>43714.266380983376</v>
      </c>
      <c r="E59" s="39">
        <f>SUM(E53:E58)</f>
        <v>65571.39957147506</v>
      </c>
      <c r="F59" s="39">
        <f>SUM(F53:F58)</f>
        <v>93555.5243379254</v>
      </c>
      <c r="G59" s="39">
        <f>SUM(G53:G58)</f>
        <v>116944.40542240674</v>
      </c>
      <c r="H59" s="66">
        <f>SUM(H53:H58)</f>
        <v>140333.28650688808</v>
      </c>
      <c r="I59" s="1"/>
      <c r="J59" s="67" t="s">
        <v>21</v>
      </c>
      <c r="K59" s="39">
        <f>SUM(K53:K58)</f>
        <v>32816.38069886712</v>
      </c>
      <c r="L59" s="39">
        <f>SUM(L53:L58)</f>
        <v>65632.76139773424</v>
      </c>
      <c r="M59" s="39">
        <f>SUM(M53:M58)</f>
        <v>98449.14209660137</v>
      </c>
      <c r="N59" s="39">
        <f>SUM(N53:N58)</f>
        <v>122668.88718177003</v>
      </c>
      <c r="O59" s="39">
        <f>SUM(O53:O58)</f>
        <v>153336.10897721254</v>
      </c>
      <c r="P59" s="66">
        <f>SUM(P53:P58)</f>
        <v>184003.33077265506</v>
      </c>
    </row>
    <row r="60" spans="2:16" ht="14.25" thickBot="1">
      <c r="B60" s="48"/>
      <c r="C60" s="68"/>
      <c r="D60" s="68"/>
      <c r="E60" s="69">
        <f>+C59+D59+E59</f>
        <v>131142.79914295013</v>
      </c>
      <c r="F60" s="70"/>
      <c r="G60" s="70"/>
      <c r="H60" s="71">
        <f>+F59+G59+H59</f>
        <v>350833.2162672202</v>
      </c>
      <c r="I60" s="1"/>
      <c r="J60" s="48"/>
      <c r="K60" s="68"/>
      <c r="L60" s="68"/>
      <c r="M60" s="69">
        <f>+K59+L59+M59</f>
        <v>196898.28419320274</v>
      </c>
      <c r="N60" s="70"/>
      <c r="O60" s="70"/>
      <c r="P60" s="71">
        <f>+N59+O59+P59</f>
        <v>460008.3269316376</v>
      </c>
    </row>
    <row r="61" ht="13.5" thickBot="1"/>
    <row r="62" spans="2:13" ht="14.25" thickBot="1">
      <c r="B62" s="40" t="s">
        <v>86</v>
      </c>
      <c r="C62" s="41"/>
      <c r="D62" s="41"/>
      <c r="E62" s="41"/>
      <c r="F62" s="41"/>
      <c r="G62" s="41"/>
      <c r="H62" s="42"/>
      <c r="I62" s="1"/>
      <c r="J62" s="109"/>
      <c r="K62" s="109"/>
      <c r="L62" s="109"/>
      <c r="M62" s="109"/>
    </row>
    <row r="63" spans="2:13" ht="13.5">
      <c r="B63" s="72"/>
      <c r="C63" s="73" t="s">
        <v>66</v>
      </c>
      <c r="D63" s="73" t="s">
        <v>67</v>
      </c>
      <c r="E63" s="73" t="s">
        <v>68</v>
      </c>
      <c r="F63" s="73" t="s">
        <v>69</v>
      </c>
      <c r="G63" s="73" t="s">
        <v>70</v>
      </c>
      <c r="H63" s="74" t="s">
        <v>71</v>
      </c>
      <c r="I63" s="2"/>
      <c r="J63" s="107"/>
      <c r="K63" s="107"/>
      <c r="L63" s="39"/>
      <c r="M63" s="108"/>
    </row>
    <row r="64" spans="2:13" ht="13.5">
      <c r="B64" s="65" t="s">
        <v>78</v>
      </c>
      <c r="C64" s="39">
        <f>8000*1</f>
        <v>8000</v>
      </c>
      <c r="D64" s="39">
        <f>+C64</f>
        <v>8000</v>
      </c>
      <c r="E64" s="39">
        <f>+D64</f>
        <v>8000</v>
      </c>
      <c r="F64" s="39">
        <f>+$E$64*(1+Hoja5!$H$2)</f>
        <v>8360</v>
      </c>
      <c r="G64" s="39">
        <f>+$E$64*(1+Hoja5!$H$2)</f>
        <v>8360</v>
      </c>
      <c r="H64" s="66">
        <f>+$E$64*(1+Hoja5!$H$2)</f>
        <v>8360</v>
      </c>
      <c r="I64" s="1"/>
      <c r="J64" s="107"/>
      <c r="K64" s="107"/>
      <c r="L64" s="39"/>
      <c r="M64" s="108"/>
    </row>
    <row r="65" spans="2:13" ht="13.5">
      <c r="B65" s="65" t="s">
        <v>79</v>
      </c>
      <c r="C65" s="39"/>
      <c r="D65" s="39">
        <f>+D64</f>
        <v>8000</v>
      </c>
      <c r="E65" s="39">
        <f>+D65</f>
        <v>8000</v>
      </c>
      <c r="F65" s="39">
        <f>+$E$64*(1+Hoja5!$H$2)</f>
        <v>8360</v>
      </c>
      <c r="G65" s="39">
        <f>+$E$64*(1+Hoja5!$H$2)</f>
        <v>8360</v>
      </c>
      <c r="H65" s="66">
        <f>+$E$64*(1+Hoja5!$H$2)</f>
        <v>8360</v>
      </c>
      <c r="I65" s="1"/>
      <c r="J65" s="107"/>
      <c r="K65" s="107"/>
      <c r="L65" s="39"/>
      <c r="M65" s="108"/>
    </row>
    <row r="66" spans="2:13" ht="13.5">
      <c r="B66" s="65" t="s">
        <v>80</v>
      </c>
      <c r="C66" s="39"/>
      <c r="D66" s="39"/>
      <c r="E66" s="39">
        <f>+E65</f>
        <v>8000</v>
      </c>
      <c r="F66" s="39">
        <f>+$E$64*(1+Hoja5!$H$2)</f>
        <v>8360</v>
      </c>
      <c r="G66" s="39">
        <f>+$E$64*(1+Hoja5!$H$2)</f>
        <v>8360</v>
      </c>
      <c r="H66" s="66">
        <f>+$E$64*(1+Hoja5!$H$2)</f>
        <v>8360</v>
      </c>
      <c r="I66" s="1"/>
      <c r="J66" s="107"/>
      <c r="K66" s="107"/>
      <c r="L66" s="39"/>
      <c r="M66" s="108"/>
    </row>
    <row r="67" spans="2:13" ht="13.5">
      <c r="B67" s="65" t="s">
        <v>81</v>
      </c>
      <c r="C67" s="39"/>
      <c r="D67" s="39"/>
      <c r="E67" s="39"/>
      <c r="F67" s="39">
        <f>+$E$64*(1+Hoja5!$H$2)</f>
        <v>8360</v>
      </c>
      <c r="G67" s="39">
        <f>+$E$64*(1+Hoja5!$H$2)</f>
        <v>8360</v>
      </c>
      <c r="H67" s="66">
        <f>+$E$64*(1+Hoja5!$H$2)</f>
        <v>8360</v>
      </c>
      <c r="I67" s="1"/>
      <c r="J67" s="107"/>
      <c r="K67" s="107"/>
      <c r="L67" s="78"/>
      <c r="M67" s="108"/>
    </row>
    <row r="68" spans="2:13" ht="13.5">
      <c r="B68" s="65" t="s">
        <v>82</v>
      </c>
      <c r="C68" s="39"/>
      <c r="D68" s="39"/>
      <c r="E68" s="39"/>
      <c r="F68" s="39"/>
      <c r="G68" s="39">
        <f>+$E$64*(1+Hoja5!$H$2)</f>
        <v>8360</v>
      </c>
      <c r="H68" s="66">
        <f>+$E$64*(1+Hoja5!$H$2)</f>
        <v>8360</v>
      </c>
      <c r="I68" s="1"/>
      <c r="J68" s="107"/>
      <c r="K68" s="107"/>
      <c r="L68" s="39"/>
      <c r="M68" s="108"/>
    </row>
    <row r="69" spans="2:13" ht="13.5">
      <c r="B69" s="65" t="s">
        <v>83</v>
      </c>
      <c r="C69" s="39"/>
      <c r="D69" s="39"/>
      <c r="E69" s="39"/>
      <c r="F69" s="39"/>
      <c r="G69" s="39"/>
      <c r="H69" s="66">
        <f>+$E$64*(1+Hoja5!$H$2)</f>
        <v>8360</v>
      </c>
      <c r="I69" s="1"/>
      <c r="J69" s="82"/>
      <c r="K69" s="83"/>
      <c r="L69" s="83"/>
      <c r="M69" s="83"/>
    </row>
    <row r="70" spans="2:13" ht="13.5">
      <c r="B70" s="67" t="s">
        <v>21</v>
      </c>
      <c r="C70" s="39">
        <f>SUM(C64:C69)</f>
        <v>8000</v>
      </c>
      <c r="D70" s="39">
        <f>SUM(D64:D69)</f>
        <v>16000</v>
      </c>
      <c r="E70" s="39">
        <f>SUM(E64:E69)</f>
        <v>24000</v>
      </c>
      <c r="F70" s="39">
        <f>SUM(F64:F69)</f>
        <v>33440</v>
      </c>
      <c r="G70" s="39">
        <f>SUM(G64:G69)</f>
        <v>41800</v>
      </c>
      <c r="H70" s="66">
        <f>SUM(H64:H69)</f>
        <v>50160</v>
      </c>
      <c r="I70" s="1"/>
      <c r="J70" s="107"/>
      <c r="K70" s="107"/>
      <c r="L70" s="39"/>
      <c r="M70" s="108"/>
    </row>
    <row r="71" spans="2:13" ht="14.25" thickBot="1">
      <c r="B71" s="48"/>
      <c r="C71" s="68"/>
      <c r="D71" s="68"/>
      <c r="E71" s="69">
        <f>+C70+D70+E70</f>
        <v>48000</v>
      </c>
      <c r="F71" s="70"/>
      <c r="G71" s="70"/>
      <c r="H71" s="71">
        <f>+F70+G70+H70</f>
        <v>125400</v>
      </c>
      <c r="I71" s="1"/>
      <c r="J71" s="107"/>
      <c r="K71" s="107"/>
      <c r="L71" s="39"/>
      <c r="M71" s="108"/>
    </row>
    <row r="72" spans="10:13" ht="13.5">
      <c r="J72" s="107"/>
      <c r="K72" s="107"/>
      <c r="L72" s="39"/>
      <c r="M72" s="108"/>
    </row>
    <row r="73" spans="10:13" ht="13.5">
      <c r="J73" s="107"/>
      <c r="K73" s="107"/>
      <c r="L73" s="39"/>
      <c r="M73" s="108"/>
    </row>
    <row r="74" spans="10:13" ht="13.5">
      <c r="J74" s="107"/>
      <c r="K74" s="107"/>
      <c r="L74" s="78"/>
      <c r="M74" s="108"/>
    </row>
    <row r="75" spans="10:13" ht="13.5">
      <c r="J75" s="107"/>
      <c r="K75" s="107"/>
      <c r="L75" s="39"/>
      <c r="M75" s="108"/>
    </row>
  </sheetData>
  <mergeCells count="11">
    <mergeCell ref="B3:H3"/>
    <mergeCell ref="J3:P3"/>
    <mergeCell ref="B14:H14"/>
    <mergeCell ref="J14:P14"/>
    <mergeCell ref="B25:H25"/>
    <mergeCell ref="J25:P25"/>
    <mergeCell ref="B62:H62"/>
    <mergeCell ref="B51:H51"/>
    <mergeCell ref="J51:P51"/>
    <mergeCell ref="B40:H40"/>
    <mergeCell ref="J40:P40"/>
  </mergeCells>
  <printOptions/>
  <pageMargins left="0.4" right="0.15" top="0.81" bottom="0.47" header="0.13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0"/>
  <sheetViews>
    <sheetView workbookViewId="0" topLeftCell="C13">
      <selection activeCell="L20" sqref="L20"/>
    </sheetView>
  </sheetViews>
  <sheetFormatPr defaultColWidth="11.421875" defaultRowHeight="12.75"/>
  <cols>
    <col min="1" max="1" width="10.7109375" style="0" customWidth="1"/>
    <col min="2" max="2" width="21.00390625" style="0" bestFit="1" customWidth="1"/>
    <col min="3" max="3" width="7.8515625" style="0" customWidth="1"/>
    <col min="4" max="4" width="8.140625" style="0" customWidth="1"/>
    <col min="5" max="5" width="8.00390625" style="0" customWidth="1"/>
    <col min="6" max="6" width="7.8515625" style="0" customWidth="1"/>
    <col min="7" max="7" width="8.8515625" style="0" bestFit="1" customWidth="1"/>
    <col min="8" max="8" width="8.28125" style="0" customWidth="1"/>
    <col min="9" max="9" width="8.00390625" style="0" customWidth="1"/>
  </cols>
  <sheetData>
    <row r="1" ht="13.5" thickBot="1"/>
    <row r="2" spans="2:9" ht="13.5" thickBot="1">
      <c r="B2" s="126" t="s">
        <v>124</v>
      </c>
      <c r="C2" s="127"/>
      <c r="D2" s="127"/>
      <c r="E2" s="127"/>
      <c r="F2" s="127"/>
      <c r="G2" s="127"/>
      <c r="H2" s="127"/>
      <c r="I2" s="128"/>
    </row>
    <row r="3" spans="2:9" ht="14.25" thickBot="1">
      <c r="B3" s="110" t="s">
        <v>109</v>
      </c>
      <c r="C3" s="129" t="s">
        <v>110</v>
      </c>
      <c r="D3" s="111" t="s">
        <v>111</v>
      </c>
      <c r="E3" s="129" t="s">
        <v>112</v>
      </c>
      <c r="F3" s="111" t="s">
        <v>113</v>
      </c>
      <c r="G3" s="129" t="s">
        <v>114</v>
      </c>
      <c r="H3" s="111" t="s">
        <v>115</v>
      </c>
      <c r="I3" s="129" t="s">
        <v>116</v>
      </c>
    </row>
    <row r="4" spans="2:9" ht="13.5">
      <c r="B4" s="20"/>
      <c r="C4" s="27"/>
      <c r="D4" s="78"/>
      <c r="E4" s="135"/>
      <c r="F4" s="139"/>
      <c r="G4" s="37"/>
      <c r="H4" s="21"/>
      <c r="I4" s="98"/>
    </row>
    <row r="5" spans="2:9" ht="13.5">
      <c r="B5" s="20" t="s">
        <v>13</v>
      </c>
      <c r="C5" s="130">
        <f>+DEPRECIACION!$E$20/3</f>
        <v>933.3333333333334</v>
      </c>
      <c r="D5" s="39">
        <f>+DEPRECIACION!$E$20/3</f>
        <v>933.3333333333334</v>
      </c>
      <c r="E5" s="136">
        <f>+DEPRECIACION!$E$20/3</f>
        <v>933.3333333333334</v>
      </c>
      <c r="F5" s="130">
        <v>1065.0866666666668</v>
      </c>
      <c r="G5" s="39">
        <v>1065.0866666666668</v>
      </c>
      <c r="H5" s="130">
        <v>1065.0866666666668</v>
      </c>
      <c r="I5" s="66">
        <v>1215.4433333333334</v>
      </c>
    </row>
    <row r="6" spans="2:9" ht="13.5">
      <c r="B6" s="20" t="s">
        <v>117</v>
      </c>
      <c r="C6" s="130">
        <f>+DEPRECIACION!$E$21/3</f>
        <v>50</v>
      </c>
      <c r="D6" s="39">
        <f>+DEPRECIACION!$E$21/3</f>
        <v>50</v>
      </c>
      <c r="E6" s="136">
        <f>+DEPRECIACION!$E$21/3</f>
        <v>50</v>
      </c>
      <c r="F6" s="130">
        <v>57.06</v>
      </c>
      <c r="G6" s="39">
        <v>57.06</v>
      </c>
      <c r="H6" s="130">
        <v>57.06</v>
      </c>
      <c r="I6" s="66">
        <v>65.11333333333333</v>
      </c>
    </row>
    <row r="7" spans="2:9" ht="13.5">
      <c r="B7" s="20" t="s">
        <v>18</v>
      </c>
      <c r="C7" s="130">
        <f>+DEPRECIACION!$E$22/10</f>
        <v>10</v>
      </c>
      <c r="D7" s="39">
        <f>+DEPRECIACION!$E$22/10</f>
        <v>10</v>
      </c>
      <c r="E7" s="136">
        <f>+DEPRECIACION!$E$22/10</f>
        <v>10</v>
      </c>
      <c r="F7" s="130">
        <f>+DEPRECIACION!$E$22/10</f>
        <v>10</v>
      </c>
      <c r="G7" s="39">
        <f>+DEPRECIACION!$E$22/10</f>
        <v>10</v>
      </c>
      <c r="H7" s="130">
        <f>+DEPRECIACION!$E$22/10</f>
        <v>10</v>
      </c>
      <c r="I7" s="66">
        <f>+DEPRECIACION!$E$22/10</f>
        <v>10</v>
      </c>
    </row>
    <row r="8" spans="2:9" ht="13.5">
      <c r="B8" s="20" t="s">
        <v>20</v>
      </c>
      <c r="C8" s="130">
        <f>+DEPRECIACION!$E$23/10</f>
        <v>120</v>
      </c>
      <c r="D8" s="39">
        <f>+DEPRECIACION!$E$23/10</f>
        <v>120</v>
      </c>
      <c r="E8" s="136">
        <f>+DEPRECIACION!$E$23/10</f>
        <v>120</v>
      </c>
      <c r="F8" s="130">
        <f>+DEPRECIACION!$E$23/10</f>
        <v>120</v>
      </c>
      <c r="G8" s="39">
        <f>+DEPRECIACION!$E$23/10</f>
        <v>120</v>
      </c>
      <c r="H8" s="130">
        <f>+DEPRECIACION!$E$23/10</f>
        <v>120</v>
      </c>
      <c r="I8" s="66">
        <f>+DEPRECIACION!$E$23/10</f>
        <v>120</v>
      </c>
    </row>
    <row r="9" spans="2:9" ht="13.5">
      <c r="B9" s="20" t="s">
        <v>22</v>
      </c>
      <c r="C9" s="130">
        <f>+DEPRECIACION!$E$24/10</f>
        <v>250</v>
      </c>
      <c r="D9" s="39">
        <f>+DEPRECIACION!$E$24/10</f>
        <v>250</v>
      </c>
      <c r="E9" s="136">
        <f>+DEPRECIACION!$E$24/10</f>
        <v>250</v>
      </c>
      <c r="F9" s="130">
        <f>+DEPRECIACION!$E$24/10</f>
        <v>250</v>
      </c>
      <c r="G9" s="39">
        <f>+DEPRECIACION!$E$24/10</f>
        <v>250</v>
      </c>
      <c r="H9" s="130">
        <f>+DEPRECIACION!$E$24/10</f>
        <v>250</v>
      </c>
      <c r="I9" s="66">
        <f>+DEPRECIACION!$E$24/10</f>
        <v>250</v>
      </c>
    </row>
    <row r="10" spans="2:9" ht="13.5">
      <c r="B10" s="20" t="s">
        <v>24</v>
      </c>
      <c r="C10" s="130">
        <f>+DEPRECIACION!$E$25/10</f>
        <v>50</v>
      </c>
      <c r="D10" s="39">
        <f>+DEPRECIACION!$E$25/10</f>
        <v>50</v>
      </c>
      <c r="E10" s="136">
        <f>+DEPRECIACION!$E$25/10</f>
        <v>50</v>
      </c>
      <c r="F10" s="130">
        <f>+DEPRECIACION!$E$25/10</f>
        <v>50</v>
      </c>
      <c r="G10" s="39">
        <f>+DEPRECIACION!$E$25/10</f>
        <v>50</v>
      </c>
      <c r="H10" s="130">
        <f>+DEPRECIACION!$E$25/10</f>
        <v>50</v>
      </c>
      <c r="I10" s="66">
        <f>+DEPRECIACION!$E$25/10</f>
        <v>50</v>
      </c>
    </row>
    <row r="11" spans="2:9" ht="13.5">
      <c r="B11" s="20" t="s">
        <v>118</v>
      </c>
      <c r="C11" s="130">
        <f>+DEPRECIACION!$E$28/5</f>
        <v>5000</v>
      </c>
      <c r="D11" s="39">
        <f>+DEPRECIACION!$E$28/5</f>
        <v>5000</v>
      </c>
      <c r="E11" s="136">
        <f>+DEPRECIACION!$E$28/5</f>
        <v>5000</v>
      </c>
      <c r="F11" s="130">
        <f>+DEPRECIACION!$E$28/5</f>
        <v>5000</v>
      </c>
      <c r="G11" s="39">
        <f>+DEPRECIACION!$E$28/5</f>
        <v>5000</v>
      </c>
      <c r="H11" s="130">
        <v>6354.106</v>
      </c>
      <c r="I11" s="66">
        <v>6354.106</v>
      </c>
    </row>
    <row r="12" spans="2:9" ht="13.5">
      <c r="B12" s="20"/>
      <c r="C12" s="130"/>
      <c r="D12" s="39"/>
      <c r="E12" s="136"/>
      <c r="F12" s="130"/>
      <c r="G12" s="39"/>
      <c r="H12" s="130"/>
      <c r="I12" s="66"/>
    </row>
    <row r="13" spans="2:9" ht="14.25" thickBot="1">
      <c r="B13" s="48" t="s">
        <v>34</v>
      </c>
      <c r="C13" s="131">
        <f>SUM(C5:C12)</f>
        <v>6413.333333333334</v>
      </c>
      <c r="D13" s="69">
        <f>SUM(D5:D12)</f>
        <v>6413.333333333334</v>
      </c>
      <c r="E13" s="88">
        <f>SUM(E5:E12)</f>
        <v>6413.333333333334</v>
      </c>
      <c r="F13" s="131">
        <f>SUM(F5:F12)</f>
        <v>6552.1466666666665</v>
      </c>
      <c r="G13" s="69">
        <f>SUM(G5:G12)</f>
        <v>6552.1466666666665</v>
      </c>
      <c r="H13" s="131">
        <f>SUM(H5:H12)</f>
        <v>7906.252666666666</v>
      </c>
      <c r="I13" s="71">
        <f>SUM(I5:I12)</f>
        <v>8064.662666666666</v>
      </c>
    </row>
    <row r="14" spans="2:9" ht="14.25" thickBot="1">
      <c r="B14" s="102" t="s">
        <v>119</v>
      </c>
      <c r="C14" s="132">
        <f>+C13</f>
        <v>6413.333333333334</v>
      </c>
      <c r="D14" s="99">
        <f>+C14+D13</f>
        <v>12826.666666666668</v>
      </c>
      <c r="E14" s="137">
        <f>+D14+E13</f>
        <v>19240</v>
      </c>
      <c r="F14" s="132">
        <f>+E14+F13</f>
        <v>25792.146666666667</v>
      </c>
      <c r="G14" s="99">
        <f>+F14+G13</f>
        <v>32344.293333333335</v>
      </c>
      <c r="H14" s="132">
        <f>+G14+H13</f>
        <v>40250.546</v>
      </c>
      <c r="I14" s="100">
        <f>+H14+I13</f>
        <v>48315.208666666666</v>
      </c>
    </row>
    <row r="15" spans="2:9" ht="14.25" thickBot="1">
      <c r="B15" s="103" t="s">
        <v>121</v>
      </c>
      <c r="C15" s="93"/>
      <c r="D15" s="68"/>
      <c r="E15" s="138">
        <f>+((D5*3)+(E6*3))*(1+Hoja5!H2)*(1+Hoja5!H2)*(1+Hoja5!H2)</f>
        <v>3366.440068749999</v>
      </c>
      <c r="F15" s="134"/>
      <c r="G15" s="70">
        <f>+(C11+D11+E11+F11+G11)*(1+Hoja5!H2)*(1+Hoja5!H2)*(1+Hoja5!H2)*(1+Hoja5!H2)*(1+Hoja5!H2)</f>
        <v>31154.548441328116</v>
      </c>
      <c r="H15" s="133">
        <f>+E15*(1+Hoja5!H2)*(1+Hoja5!H2)*(1+Hoja5!H2)</f>
        <v>3841.6673683001695</v>
      </c>
      <c r="I15" s="81"/>
    </row>
    <row r="16" spans="2:9" ht="14.25" thickBot="1">
      <c r="B16" s="102" t="s">
        <v>120</v>
      </c>
      <c r="C16" s="132"/>
      <c r="D16" s="99"/>
      <c r="E16" s="137">
        <f>+F5-E5+F6-E6</f>
        <v>138.81333333333345</v>
      </c>
      <c r="F16" s="132"/>
      <c r="G16" s="99">
        <f>+(H11-G11)*3</f>
        <v>4062.3179999999993</v>
      </c>
      <c r="H16" s="132">
        <f>+I5-E5+I6-E6</f>
        <v>297.22333333333336</v>
      </c>
      <c r="I16" s="100">
        <f>+I5+I5+I6++I7+I7+I7+I8+I8+I8+I9+I9+I9+I10+I10+I10+I11+I11+I11</f>
        <v>22848.318</v>
      </c>
    </row>
    <row r="18" ht="13.5" thickBot="1"/>
    <row r="19" spans="2:11" ht="14.25" thickBot="1">
      <c r="B19" s="8" t="s">
        <v>9</v>
      </c>
      <c r="C19" s="9" t="s">
        <v>10</v>
      </c>
      <c r="D19" s="10" t="s">
        <v>128</v>
      </c>
      <c r="E19" s="9" t="s">
        <v>129</v>
      </c>
      <c r="G19" s="140" t="s">
        <v>91</v>
      </c>
      <c r="H19" s="9" t="s">
        <v>122</v>
      </c>
      <c r="I19" s="1"/>
      <c r="J19" s="1"/>
      <c r="K19" s="1"/>
    </row>
    <row r="20" spans="2:11" ht="13.5">
      <c r="B20" s="20" t="s">
        <v>13</v>
      </c>
      <c r="C20" s="21">
        <v>4</v>
      </c>
      <c r="D20" s="22">
        <v>700</v>
      </c>
      <c r="E20" s="23">
        <f>+D20*C20</f>
        <v>2800</v>
      </c>
      <c r="G20" s="85">
        <v>45000</v>
      </c>
      <c r="H20" s="27">
        <f>105000-G20</f>
        <v>60000</v>
      </c>
      <c r="I20" s="87"/>
      <c r="J20" s="87"/>
      <c r="K20" s="1"/>
    </row>
    <row r="21" spans="2:11" ht="13.5">
      <c r="B21" s="20" t="s">
        <v>16</v>
      </c>
      <c r="C21" s="27">
        <v>2</v>
      </c>
      <c r="D21" s="22">
        <v>75</v>
      </c>
      <c r="E21" s="28">
        <f>+D21*C21</f>
        <v>150</v>
      </c>
      <c r="G21" s="90">
        <v>0.14</v>
      </c>
      <c r="H21" s="86"/>
      <c r="I21" s="1"/>
      <c r="J21" s="1"/>
      <c r="K21" s="1"/>
    </row>
    <row r="22" spans="2:11" ht="13.5">
      <c r="B22" s="20" t="s">
        <v>18</v>
      </c>
      <c r="C22" s="27">
        <v>1</v>
      </c>
      <c r="D22" s="22">
        <v>100</v>
      </c>
      <c r="E22" s="28">
        <f>+D22*C22</f>
        <v>100</v>
      </c>
      <c r="G22" s="85">
        <v>3</v>
      </c>
      <c r="H22" s="86"/>
      <c r="I22" s="1"/>
      <c r="J22" s="1"/>
      <c r="K22" s="1"/>
    </row>
    <row r="23" spans="2:11" ht="14.25" thickBot="1">
      <c r="B23" s="20" t="s">
        <v>20</v>
      </c>
      <c r="C23" s="27">
        <v>1</v>
      </c>
      <c r="D23" s="22">
        <v>1200</v>
      </c>
      <c r="E23" s="28">
        <f>+D23*C23</f>
        <v>1200</v>
      </c>
      <c r="G23" s="92">
        <f>PMT(G21,G22,G20,0,0)</f>
        <v>-19382.916618211413</v>
      </c>
      <c r="H23" s="93"/>
      <c r="I23" s="1"/>
      <c r="J23" s="1"/>
      <c r="K23" s="1"/>
    </row>
    <row r="24" spans="2:11" ht="14.25" thickBot="1">
      <c r="B24" s="20" t="s">
        <v>22</v>
      </c>
      <c r="C24" s="27">
        <v>1</v>
      </c>
      <c r="D24" s="22">
        <v>2500</v>
      </c>
      <c r="E24" s="28">
        <f>+D24*C24</f>
        <v>2500</v>
      </c>
      <c r="G24" s="2"/>
      <c r="H24" s="1"/>
      <c r="I24" s="1"/>
      <c r="J24" s="1"/>
      <c r="K24" s="1"/>
    </row>
    <row r="25" spans="2:11" ht="14.25" thickBot="1">
      <c r="B25" s="20" t="s">
        <v>24</v>
      </c>
      <c r="C25" s="27">
        <v>1</v>
      </c>
      <c r="D25" s="22">
        <v>500</v>
      </c>
      <c r="E25" s="28">
        <f>+D25*C25</f>
        <v>500</v>
      </c>
      <c r="G25" s="141" t="s">
        <v>96</v>
      </c>
      <c r="H25" s="144" t="s">
        <v>97</v>
      </c>
      <c r="I25" s="142" t="s">
        <v>127</v>
      </c>
      <c r="J25" s="144" t="s">
        <v>98</v>
      </c>
      <c r="K25" s="143" t="s">
        <v>99</v>
      </c>
    </row>
    <row r="26" spans="2:11" ht="13.5">
      <c r="B26" s="20" t="s">
        <v>30</v>
      </c>
      <c r="C26" s="27">
        <v>1</v>
      </c>
      <c r="D26" s="22">
        <v>200</v>
      </c>
      <c r="E26" s="28">
        <f>+D26*C26</f>
        <v>200</v>
      </c>
      <c r="G26" s="112">
        <v>0</v>
      </c>
      <c r="H26" s="145"/>
      <c r="I26" s="94"/>
      <c r="J26" s="145"/>
      <c r="K26" s="95">
        <f>+G20</f>
        <v>45000</v>
      </c>
    </row>
    <row r="27" spans="2:11" ht="13.5">
      <c r="B27" s="20" t="s">
        <v>31</v>
      </c>
      <c r="C27" s="27">
        <v>1</v>
      </c>
      <c r="D27" s="22">
        <v>4500</v>
      </c>
      <c r="E27" s="28">
        <f>+D27*C27</f>
        <v>4500</v>
      </c>
      <c r="G27" s="112">
        <v>1</v>
      </c>
      <c r="H27" s="145">
        <f>-$G$23</f>
        <v>19382.916618211413</v>
      </c>
      <c r="I27" s="94">
        <f>+H27-J27</f>
        <v>13082.916618211413</v>
      </c>
      <c r="J27" s="145">
        <f>+K26*$G$21</f>
        <v>6300.000000000001</v>
      </c>
      <c r="K27" s="95">
        <f>+K26-I27</f>
        <v>31917.083381788587</v>
      </c>
    </row>
    <row r="28" spans="2:11" ht="13.5">
      <c r="B28" s="20" t="s">
        <v>32</v>
      </c>
      <c r="C28" s="27">
        <v>1</v>
      </c>
      <c r="D28" s="22">
        <v>25000</v>
      </c>
      <c r="E28" s="28">
        <f>+D28*C28</f>
        <v>25000</v>
      </c>
      <c r="G28" s="112">
        <v>2</v>
      </c>
      <c r="H28" s="145">
        <f>-$G$23</f>
        <v>19382.916618211413</v>
      </c>
      <c r="I28" s="94">
        <f>+H28-J28</f>
        <v>14914.524944761011</v>
      </c>
      <c r="J28" s="145">
        <f>+K27*$G$21</f>
        <v>4468.391673450403</v>
      </c>
      <c r="K28" s="95">
        <f>+K27-I28</f>
        <v>17002.558437027576</v>
      </c>
    </row>
    <row r="29" spans="2:11" ht="14.25" thickBot="1">
      <c r="B29" s="20" t="s">
        <v>33</v>
      </c>
      <c r="C29" s="27">
        <v>2</v>
      </c>
      <c r="D29" s="22">
        <v>1200</v>
      </c>
      <c r="E29" s="28">
        <f>+D29*C29</f>
        <v>2400</v>
      </c>
      <c r="G29" s="113">
        <v>3</v>
      </c>
      <c r="H29" s="146">
        <f>-$G$23</f>
        <v>19382.916618211413</v>
      </c>
      <c r="I29" s="96">
        <f>+H29-J29</f>
        <v>17002.558437027554</v>
      </c>
      <c r="J29" s="146">
        <f>+K28*$G$21</f>
        <v>2380.358181183861</v>
      </c>
      <c r="K29" s="97">
        <f>+K28-I29</f>
        <v>0</v>
      </c>
    </row>
    <row r="30" spans="2:5" ht="14.25" thickBot="1">
      <c r="B30" s="48" t="s">
        <v>34</v>
      </c>
      <c r="C30" s="49"/>
      <c r="D30" s="50"/>
      <c r="E30" s="51">
        <f>SUM(E20:E29)</f>
        <v>39350</v>
      </c>
    </row>
  </sheetData>
  <mergeCells count="1">
    <mergeCell ref="B2:I2"/>
  </mergeCells>
  <printOptions/>
  <pageMargins left="0.74" right="0.75" top="1" bottom="1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8"/>
  <sheetViews>
    <sheetView workbookViewId="0" topLeftCell="A1">
      <selection activeCell="E17" sqref="E17"/>
    </sheetView>
  </sheetViews>
  <sheetFormatPr defaultColWidth="11.421875" defaultRowHeight="12.75"/>
  <cols>
    <col min="1" max="1" width="9.140625" style="0" customWidth="1"/>
    <col min="2" max="2" width="12.7109375" style="0" bestFit="1" customWidth="1"/>
    <col min="3" max="3" width="12.8515625" style="0" customWidth="1"/>
    <col min="4" max="4" width="8.8515625" style="0" customWidth="1"/>
    <col min="5" max="5" width="12.7109375" style="0" customWidth="1"/>
    <col min="7" max="7" width="19.00390625" style="0" bestFit="1" customWidth="1"/>
    <col min="8" max="8" width="12.140625" style="0" bestFit="1" customWidth="1"/>
    <col min="9" max="9" width="8.28125" style="0" customWidth="1"/>
    <col min="10" max="10" width="11.57421875" style="0" customWidth="1"/>
  </cols>
  <sheetData>
    <row r="1" ht="13.5" thickBot="1"/>
    <row r="2" spans="2:10" ht="14.25" thickBot="1">
      <c r="B2" s="53" t="s">
        <v>126</v>
      </c>
      <c r="C2" s="54"/>
      <c r="D2" s="54"/>
      <c r="E2" s="55"/>
      <c r="G2" s="53" t="s">
        <v>125</v>
      </c>
      <c r="H2" s="54"/>
      <c r="I2" s="54"/>
      <c r="J2" s="55"/>
    </row>
    <row r="3" spans="2:10" ht="14.25" thickBot="1">
      <c r="B3" s="124" t="s">
        <v>38</v>
      </c>
      <c r="C3" s="89" t="s">
        <v>39</v>
      </c>
      <c r="D3" s="125" t="s">
        <v>40</v>
      </c>
      <c r="E3" s="89" t="s">
        <v>41</v>
      </c>
      <c r="G3" s="88" t="s">
        <v>38</v>
      </c>
      <c r="H3" s="89" t="s">
        <v>39</v>
      </c>
      <c r="I3" s="50" t="s">
        <v>40</v>
      </c>
      <c r="J3" s="89" t="s">
        <v>41</v>
      </c>
    </row>
    <row r="4" spans="2:10" ht="13.5">
      <c r="B4" s="123" t="s">
        <v>133</v>
      </c>
      <c r="C4" s="27">
        <v>1</v>
      </c>
      <c r="D4" s="91">
        <v>450</v>
      </c>
      <c r="E4" s="117">
        <f>+D4*C4</f>
        <v>450</v>
      </c>
      <c r="G4" s="122" t="s">
        <v>92</v>
      </c>
      <c r="H4" s="21">
        <v>1</v>
      </c>
      <c r="I4" s="91">
        <v>1400</v>
      </c>
      <c r="J4" s="116">
        <f>+I4*H4</f>
        <v>1400</v>
      </c>
    </row>
    <row r="5" spans="2:10" ht="13.5">
      <c r="B5" s="123" t="s">
        <v>134</v>
      </c>
      <c r="C5" s="27">
        <v>1</v>
      </c>
      <c r="D5" s="91">
        <v>350</v>
      </c>
      <c r="E5" s="117">
        <f>+D5*C5</f>
        <v>350</v>
      </c>
      <c r="G5" s="122" t="s">
        <v>93</v>
      </c>
      <c r="H5" s="27">
        <v>1</v>
      </c>
      <c r="I5" s="91">
        <v>350</v>
      </c>
      <c r="J5" s="117">
        <f>+I5*H5</f>
        <v>350</v>
      </c>
    </row>
    <row r="6" spans="2:10" ht="13.5">
      <c r="B6" s="123" t="s">
        <v>135</v>
      </c>
      <c r="C6" s="27">
        <v>2</v>
      </c>
      <c r="D6" s="91">
        <v>280</v>
      </c>
      <c r="E6" s="117">
        <f>+D6*C6</f>
        <v>560</v>
      </c>
      <c r="G6" s="122" t="s">
        <v>94</v>
      </c>
      <c r="H6" s="27">
        <v>1</v>
      </c>
      <c r="I6" s="91">
        <v>900</v>
      </c>
      <c r="J6" s="117">
        <f>+I6*H6</f>
        <v>900</v>
      </c>
    </row>
    <row r="7" spans="2:10" ht="13.5">
      <c r="B7" s="123" t="s">
        <v>43</v>
      </c>
      <c r="C7" s="27">
        <v>1</v>
      </c>
      <c r="D7" s="91">
        <v>280</v>
      </c>
      <c r="E7" s="117">
        <f>+D7*C7</f>
        <v>280</v>
      </c>
      <c r="G7" s="122" t="s">
        <v>95</v>
      </c>
      <c r="H7" s="27">
        <v>1</v>
      </c>
      <c r="I7" s="91">
        <v>900</v>
      </c>
      <c r="J7" s="117">
        <f>+I7*H7</f>
        <v>900</v>
      </c>
    </row>
    <row r="8" spans="2:10" ht="13.5">
      <c r="B8" s="123" t="s">
        <v>44</v>
      </c>
      <c r="C8" s="27">
        <v>10</v>
      </c>
      <c r="D8" s="91">
        <v>220</v>
      </c>
      <c r="E8" s="117">
        <f>+D8*C8</f>
        <v>2200</v>
      </c>
      <c r="G8" s="122" t="s">
        <v>100</v>
      </c>
      <c r="H8" s="27">
        <v>1</v>
      </c>
      <c r="I8" s="91">
        <v>900</v>
      </c>
      <c r="J8" s="117">
        <f>+I8*H8</f>
        <v>900</v>
      </c>
    </row>
    <row r="9" spans="2:10" ht="13.5">
      <c r="B9" s="123" t="s">
        <v>45</v>
      </c>
      <c r="C9" s="27">
        <v>4</v>
      </c>
      <c r="D9" s="91">
        <v>180</v>
      </c>
      <c r="E9" s="117">
        <f>+D9*C9</f>
        <v>720</v>
      </c>
      <c r="G9" s="122" t="s">
        <v>101</v>
      </c>
      <c r="H9" s="27">
        <v>1</v>
      </c>
      <c r="I9" s="91">
        <v>800</v>
      </c>
      <c r="J9" s="117">
        <f>+I9*H9</f>
        <v>800</v>
      </c>
    </row>
    <row r="10" spans="2:10" ht="13.5">
      <c r="B10" s="123" t="s">
        <v>46</v>
      </c>
      <c r="C10" s="27">
        <v>5</v>
      </c>
      <c r="D10" s="91">
        <v>300</v>
      </c>
      <c r="E10" s="117">
        <f>+D10*C10</f>
        <v>1500</v>
      </c>
      <c r="G10" s="122" t="s">
        <v>102</v>
      </c>
      <c r="H10" s="27">
        <v>1</v>
      </c>
      <c r="I10" s="91">
        <v>500</v>
      </c>
      <c r="J10" s="117">
        <f>+I10*H10</f>
        <v>500</v>
      </c>
    </row>
    <row r="11" spans="2:10" ht="14.25" thickBot="1">
      <c r="B11" s="123" t="s">
        <v>47</v>
      </c>
      <c r="C11" s="27">
        <v>1</v>
      </c>
      <c r="D11" s="91">
        <v>350</v>
      </c>
      <c r="E11" s="117">
        <f>+D11*C11</f>
        <v>350</v>
      </c>
      <c r="G11" s="122" t="s">
        <v>103</v>
      </c>
      <c r="H11" s="27">
        <v>1</v>
      </c>
      <c r="I11" s="91">
        <v>500</v>
      </c>
      <c r="J11" s="117">
        <f>+I11*H11</f>
        <v>500</v>
      </c>
    </row>
    <row r="12" spans="2:10" ht="14.25" thickBot="1">
      <c r="B12" s="121" t="s">
        <v>21</v>
      </c>
      <c r="C12" s="118"/>
      <c r="D12" s="119"/>
      <c r="E12" s="120">
        <f>SUM(E4:E11)</f>
        <v>6410</v>
      </c>
      <c r="G12" s="122" t="s">
        <v>104</v>
      </c>
      <c r="H12" s="27">
        <v>1</v>
      </c>
      <c r="I12" s="91">
        <v>350</v>
      </c>
      <c r="J12" s="117">
        <f>+I12*H12</f>
        <v>350</v>
      </c>
    </row>
    <row r="13" spans="7:10" ht="13.5">
      <c r="G13" s="122" t="s">
        <v>105</v>
      </c>
      <c r="H13" s="27">
        <v>1</v>
      </c>
      <c r="I13" s="91">
        <v>350</v>
      </c>
      <c r="J13" s="117">
        <f>+I13*H13</f>
        <v>350</v>
      </c>
    </row>
    <row r="14" spans="7:10" ht="13.5">
      <c r="G14" s="122" t="s">
        <v>106</v>
      </c>
      <c r="H14" s="27">
        <v>1</v>
      </c>
      <c r="I14" s="91">
        <v>350</v>
      </c>
      <c r="J14" s="117">
        <f>+I14*H14</f>
        <v>350</v>
      </c>
    </row>
    <row r="15" spans="7:10" ht="13.5">
      <c r="G15" s="122" t="s">
        <v>107</v>
      </c>
      <c r="H15" s="27">
        <v>1</v>
      </c>
      <c r="I15" s="91">
        <v>250</v>
      </c>
      <c r="J15" s="117">
        <f>+I15*H15</f>
        <v>250</v>
      </c>
    </row>
    <row r="16" spans="7:10" ht="14.25" thickBot="1">
      <c r="G16" s="122" t="s">
        <v>108</v>
      </c>
      <c r="H16" s="27">
        <v>2</v>
      </c>
      <c r="I16" s="91">
        <v>200</v>
      </c>
      <c r="J16" s="117">
        <f>+I16*H16</f>
        <v>400</v>
      </c>
    </row>
    <row r="17" spans="7:10" ht="14.25" thickBot="1">
      <c r="G17" s="121" t="s">
        <v>21</v>
      </c>
      <c r="H17" s="118"/>
      <c r="I17" s="119"/>
      <c r="J17" s="120">
        <f>SUM(J4:J14)</f>
        <v>7300</v>
      </c>
    </row>
    <row r="18" spans="7:10" ht="13.5">
      <c r="G18" s="1"/>
      <c r="H18" s="1"/>
      <c r="I18" s="1"/>
      <c r="J18" s="1"/>
    </row>
  </sheetData>
  <mergeCells count="2">
    <mergeCell ref="B2:E2"/>
    <mergeCell ref="G2:J2"/>
  </mergeCells>
  <printOptions/>
  <pageMargins left="0.75" right="0.75" top="1" bottom="1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22"/>
  <sheetViews>
    <sheetView workbookViewId="0" topLeftCell="B4">
      <selection activeCell="F14" sqref="F14"/>
    </sheetView>
  </sheetViews>
  <sheetFormatPr defaultColWidth="11.421875" defaultRowHeight="12.75"/>
  <cols>
    <col min="7" max="7" width="14.28125" style="0" bestFit="1" customWidth="1"/>
    <col min="9" max="9" width="7.57421875" style="0" bestFit="1" customWidth="1"/>
    <col min="10" max="10" width="10.7109375" style="0" bestFit="1" customWidth="1"/>
    <col min="11" max="11" width="10.421875" style="0" bestFit="1" customWidth="1"/>
  </cols>
  <sheetData>
    <row r="1" ht="13.5" thickBot="1"/>
    <row r="2" spans="2:11" ht="14.25" thickBot="1">
      <c r="B2" s="40" t="s">
        <v>23</v>
      </c>
      <c r="C2" s="41"/>
      <c r="D2" s="41"/>
      <c r="E2" s="42"/>
      <c r="G2" s="4" t="s">
        <v>6</v>
      </c>
      <c r="H2" s="7">
        <f>4.5%</f>
        <v>0.045</v>
      </c>
      <c r="I2" s="3"/>
      <c r="J2" s="4" t="s">
        <v>7</v>
      </c>
      <c r="K2" s="6" t="s">
        <v>8</v>
      </c>
    </row>
    <row r="3" spans="2:11" ht="14.25" thickBot="1">
      <c r="B3" s="43"/>
      <c r="C3" s="5" t="s">
        <v>27</v>
      </c>
      <c r="D3" s="5" t="s">
        <v>28</v>
      </c>
      <c r="E3" s="6" t="s">
        <v>29</v>
      </c>
      <c r="G3" s="16" t="s">
        <v>12</v>
      </c>
      <c r="H3" s="17">
        <f>2.4%</f>
        <v>0.024</v>
      </c>
      <c r="I3" s="1"/>
      <c r="J3" s="18">
        <f>3</f>
        <v>3</v>
      </c>
      <c r="K3" s="19">
        <f>2.19</f>
        <v>2.19</v>
      </c>
    </row>
    <row r="4" spans="2:11" ht="14.25" thickBot="1">
      <c r="B4" s="46">
        <v>2004</v>
      </c>
      <c r="C4" s="13">
        <f>+'ING Y CTOS'!E12</f>
        <v>78973.9810927861</v>
      </c>
      <c r="D4" s="13">
        <f>+'ING Y CTOS'!E23</f>
        <v>120474.95018233769</v>
      </c>
      <c r="E4" s="47">
        <f>+'ING Y CTOS'!E34</f>
        <v>152999.9323334418</v>
      </c>
      <c r="G4" s="25" t="s">
        <v>15</v>
      </c>
      <c r="H4" s="26">
        <v>0.05</v>
      </c>
      <c r="I4" s="1"/>
      <c r="J4" s="1"/>
      <c r="K4" s="1"/>
    </row>
    <row r="5" spans="2:5" ht="13.5">
      <c r="B5" s="46">
        <v>2005</v>
      </c>
      <c r="C5" s="13">
        <f>+'ING Y CTOS'!H12</f>
        <v>211271.19421942136</v>
      </c>
      <c r="D5" s="13">
        <f>+'ING Y CTOS'!H23</f>
        <v>322294.5867277898</v>
      </c>
      <c r="E5" s="47">
        <f>+'ING Y CTOS'!H34</f>
        <v>409305.4189784236</v>
      </c>
    </row>
    <row r="6" spans="2:5" ht="14.25" thickBot="1">
      <c r="B6" s="46">
        <v>2006</v>
      </c>
      <c r="C6" s="13">
        <f>+Hoja1!N8*6</f>
        <v>271292.49541238206</v>
      </c>
      <c r="D6" s="13">
        <f>+Hoja1!C15*Hoja1!F15*6</f>
        <v>413857.1896388079</v>
      </c>
      <c r="E6" s="47">
        <f>+Hoja1!C15*6*Hoja1!G15</f>
        <v>525587.4512885177</v>
      </c>
    </row>
    <row r="7" spans="2:10" ht="14.25" thickBot="1">
      <c r="B7" s="46">
        <v>2007</v>
      </c>
      <c r="C7" s="13">
        <f>+Hoja1!N9*6</f>
        <v>290304.6734908818</v>
      </c>
      <c r="D7" s="13">
        <f>+Hoja1!C16*Hoja1!F16*6</f>
        <v>442860.3014886956</v>
      </c>
      <c r="E7" s="47">
        <f>+Hoja1!C16*6*Hoja1!G16</f>
        <v>562420.619874817</v>
      </c>
      <c r="G7" s="40" t="s">
        <v>87</v>
      </c>
      <c r="H7" s="41"/>
      <c r="I7" s="41"/>
      <c r="J7" s="42"/>
    </row>
    <row r="8" spans="2:10" ht="13.5">
      <c r="B8" s="46">
        <v>2008</v>
      </c>
      <c r="C8" s="13">
        <f>+Hoja1!N10*6</f>
        <v>310649.22500912286</v>
      </c>
      <c r="D8" s="13">
        <f>+Hoja1!C17*Hoja1!F17*6</f>
        <v>473895.95141702343</v>
      </c>
      <c r="E8" s="47">
        <f>+Hoja1!C17*6*Hoja1!G17</f>
        <v>601835.0569156442</v>
      </c>
      <c r="G8" s="105" t="s">
        <v>48</v>
      </c>
      <c r="H8" s="106"/>
      <c r="I8" s="39">
        <f>+(I9+I10+I11+I12)*0.1</f>
        <v>440</v>
      </c>
      <c r="J8" s="77">
        <f>+I8*12</f>
        <v>5280</v>
      </c>
    </row>
    <row r="9" spans="2:10" ht="13.5">
      <c r="B9" s="46">
        <v>2009</v>
      </c>
      <c r="C9" s="13">
        <f>+Hoja1!N11*6</f>
        <v>332419.5226977621</v>
      </c>
      <c r="D9" s="13">
        <f>+Hoja1!C18*Hoja1!F18*6</f>
        <v>507106.57969232835</v>
      </c>
      <c r="E9" s="47">
        <f>+Hoja1!C18*6*Hoja1!G18</f>
        <v>644011.6577042926</v>
      </c>
      <c r="G9" s="75" t="s">
        <v>49</v>
      </c>
      <c r="H9" s="76"/>
      <c r="I9" s="39">
        <v>400</v>
      </c>
      <c r="J9" s="77">
        <f>+I9*12</f>
        <v>4800</v>
      </c>
    </row>
    <row r="10" spans="2:10" ht="14.25" thickBot="1">
      <c r="B10" s="52">
        <v>2010</v>
      </c>
      <c r="C10" s="31">
        <f>+Hoja1!N12*6</f>
        <v>355715.4828484213</v>
      </c>
      <c r="D10" s="31">
        <f>+Hoja1!C19*Hoja1!F19*6</f>
        <v>542644.6087971667</v>
      </c>
      <c r="E10" s="33">
        <f>+Hoja1!C19*6*Hoja1!G19</f>
        <v>689143.9946762093</v>
      </c>
      <c r="G10" s="75" t="s">
        <v>51</v>
      </c>
      <c r="H10" s="76"/>
      <c r="I10" s="39">
        <v>300</v>
      </c>
      <c r="J10" s="77">
        <f>+I10*12</f>
        <v>3600</v>
      </c>
    </row>
    <row r="11" spans="2:10" ht="14.25" thickBot="1">
      <c r="B11" s="1"/>
      <c r="C11" s="1"/>
      <c r="D11" s="1"/>
      <c r="E11" s="1"/>
      <c r="G11" s="75" t="s">
        <v>53</v>
      </c>
      <c r="H11" s="76"/>
      <c r="I11" s="39">
        <v>1200</v>
      </c>
      <c r="J11" s="77">
        <f>+I11*12</f>
        <v>14400</v>
      </c>
    </row>
    <row r="12" spans="2:10" ht="14.25" thickBot="1">
      <c r="B12" s="40" t="s">
        <v>35</v>
      </c>
      <c r="C12" s="41"/>
      <c r="D12" s="41"/>
      <c r="E12" s="42"/>
      <c r="G12" s="75" t="s">
        <v>88</v>
      </c>
      <c r="H12" s="76"/>
      <c r="I12" s="78">
        <v>2500</v>
      </c>
      <c r="J12" s="77">
        <f>+I12*12</f>
        <v>30000</v>
      </c>
    </row>
    <row r="13" spans="2:10" ht="14.25" thickBot="1">
      <c r="B13" s="43"/>
      <c r="C13" s="5" t="s">
        <v>42</v>
      </c>
      <c r="D13" s="5" t="s">
        <v>28</v>
      </c>
      <c r="E13" s="6" t="s">
        <v>29</v>
      </c>
      <c r="G13" s="79" t="s">
        <v>62</v>
      </c>
      <c r="H13" s="80"/>
      <c r="I13" s="70">
        <v>2000</v>
      </c>
      <c r="J13" s="81">
        <f>+I13*3</f>
        <v>6000</v>
      </c>
    </row>
    <row r="14" spans="2:5" ht="13.5">
      <c r="B14" s="46">
        <v>2004</v>
      </c>
      <c r="C14" s="13">
        <f>+'ING Y CTOS'!E71</f>
        <v>48000</v>
      </c>
      <c r="D14" s="13">
        <f>+'ING Y CTOS'!E49</f>
        <v>96292.02045843181</v>
      </c>
      <c r="E14" s="47">
        <f>+'ING Y CTOS'!E60</f>
        <v>131142.79914295013</v>
      </c>
    </row>
    <row r="15" spans="2:5" ht="14.25" thickBot="1">
      <c r="B15" s="46">
        <v>2005</v>
      </c>
      <c r="C15" s="13">
        <f>+'ING Y CTOS'!H71</f>
        <v>125400</v>
      </c>
      <c r="D15" s="13">
        <f>+'ING Y CTOS'!H49</f>
        <v>257600.41313039674</v>
      </c>
      <c r="E15" s="47">
        <f>+'ING Y CTOS'!H60</f>
        <v>350833.2162672202</v>
      </c>
    </row>
    <row r="16" spans="2:10" ht="14.25" thickBot="1">
      <c r="B16" s="46">
        <v>2006</v>
      </c>
      <c r="C16" s="13">
        <f>+C15*(1+Hoja5!$H$2)</f>
        <v>131042.99999999999</v>
      </c>
      <c r="D16" s="13">
        <f>+Hoja1!C15*Hoja1!H15*6</f>
        <v>330783.6600990899</v>
      </c>
      <c r="E16" s="47">
        <f>+Hoja1!C15*Hoja1!I15*6</f>
        <v>450503.5296758724</v>
      </c>
      <c r="G16" s="40" t="s">
        <v>132</v>
      </c>
      <c r="H16" s="41"/>
      <c r="I16" s="41"/>
      <c r="J16" s="42"/>
    </row>
    <row r="17" spans="2:10" ht="13.5">
      <c r="B17" s="46">
        <v>2007</v>
      </c>
      <c r="C17" s="13">
        <f>+C16*(1+Hoja5!$H$2)</f>
        <v>136939.93499999997</v>
      </c>
      <c r="D17" s="13">
        <f>+Hoja1!C16*Hoja1!H16*6</f>
        <v>353964.97899883415</v>
      </c>
      <c r="E17" s="47">
        <f>+Hoja1!C16*Hoja1!I16*6</f>
        <v>482074.8170355575</v>
      </c>
      <c r="G17" s="105" t="s">
        <v>48</v>
      </c>
      <c r="H17" s="106"/>
      <c r="I17" s="39">
        <f>+(I18+I19+I20+I21)*0.5</f>
        <v>1470</v>
      </c>
      <c r="J17" s="77">
        <f>+I17*12</f>
        <v>17640</v>
      </c>
    </row>
    <row r="18" spans="2:10" ht="13.5">
      <c r="B18" s="46">
        <v>2008</v>
      </c>
      <c r="C18" s="13">
        <f>+C17*(1+Hoja5!$H$2)</f>
        <v>143102.23207499995</v>
      </c>
      <c r="D18" s="13">
        <f>+Hoja1!C17*Hoja1!H17*6</f>
        <v>378770.84472707246</v>
      </c>
      <c r="E18" s="47">
        <f>+Hoja1!C17*Hoja1!I17*6</f>
        <v>515858.6202134094</v>
      </c>
      <c r="G18" s="75" t="s">
        <v>49</v>
      </c>
      <c r="H18" s="76"/>
      <c r="I18" s="39">
        <v>795</v>
      </c>
      <c r="J18" s="77">
        <f>+I18*12</f>
        <v>9540</v>
      </c>
    </row>
    <row r="19" spans="2:10" ht="13.5">
      <c r="B19" s="46">
        <v>2009</v>
      </c>
      <c r="C19" s="13">
        <f>+C18*(1+Hoja5!$H$2)</f>
        <v>149541.83251837493</v>
      </c>
      <c r="D19" s="13">
        <f>+Hoja1!C18*Hoja1!H18*6</f>
        <v>405315.10552554566</v>
      </c>
      <c r="E19" s="47">
        <f>+Hoja1!C18*Hoja1!I18*6</f>
        <v>552009.9923179651</v>
      </c>
      <c r="G19" s="75" t="s">
        <v>51</v>
      </c>
      <c r="H19" s="76"/>
      <c r="I19" s="39">
        <v>545</v>
      </c>
      <c r="J19" s="77">
        <f>+I19*12</f>
        <v>6540</v>
      </c>
    </row>
    <row r="20" spans="2:10" ht="14.25" thickBot="1">
      <c r="B20" s="52">
        <v>2010</v>
      </c>
      <c r="C20" s="31">
        <f>+C19*(1+Hoja5!$H$2)</f>
        <v>156271.21498170178</v>
      </c>
      <c r="D20" s="31">
        <f>+Hoja1!C19*Hoja1!H19*6</f>
        <v>433719.5881207759</v>
      </c>
      <c r="E20" s="33">
        <f>+Hoja1!C19*Hoja1!I19*6</f>
        <v>590694.8525796081</v>
      </c>
      <c r="G20" s="75" t="s">
        <v>53</v>
      </c>
      <c r="H20" s="76"/>
      <c r="I20" s="39">
        <v>1200</v>
      </c>
      <c r="J20" s="77">
        <f>+I20*12</f>
        <v>14400</v>
      </c>
    </row>
    <row r="21" spans="2:10" ht="13.5">
      <c r="B21" s="1"/>
      <c r="C21" s="1"/>
      <c r="D21" s="1"/>
      <c r="E21" s="1"/>
      <c r="G21" s="75" t="s">
        <v>42</v>
      </c>
      <c r="H21" s="76"/>
      <c r="I21" s="78">
        <v>400</v>
      </c>
      <c r="J21" s="77">
        <f>+I21*12</f>
        <v>4800</v>
      </c>
    </row>
    <row r="22" spans="7:10" ht="14.25" thickBot="1">
      <c r="G22" s="79" t="s">
        <v>55</v>
      </c>
      <c r="H22" s="80"/>
      <c r="I22" s="70">
        <v>108297.8</v>
      </c>
      <c r="J22" s="81">
        <f>+I22/10</f>
        <v>10829.78</v>
      </c>
    </row>
  </sheetData>
  <mergeCells count="16">
    <mergeCell ref="G20:H20"/>
    <mergeCell ref="G21:H21"/>
    <mergeCell ref="G22:H22"/>
    <mergeCell ref="G18:H18"/>
    <mergeCell ref="G19:H19"/>
    <mergeCell ref="G17:H17"/>
    <mergeCell ref="G7:J7"/>
    <mergeCell ref="G8:H8"/>
    <mergeCell ref="G9:H9"/>
    <mergeCell ref="G10:H10"/>
    <mergeCell ref="G11:H11"/>
    <mergeCell ref="G12:H12"/>
    <mergeCell ref="G13:H13"/>
    <mergeCell ref="G16:J16"/>
    <mergeCell ref="B2:E2"/>
    <mergeCell ref="B12:E12"/>
  </mergeCells>
  <printOptions/>
  <pageMargins left="0.75" right="0.75" top="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Sotomayor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Sotomayor</dc:creator>
  <cp:keywords/>
  <dc:description/>
  <cp:lastModifiedBy>Javier Sotomayor</cp:lastModifiedBy>
  <cp:lastPrinted>2004-06-15T22:41:14Z</cp:lastPrinted>
  <dcterms:created xsi:type="dcterms:W3CDTF">2004-06-15T21:51:24Z</dcterms:created>
  <dcterms:modified xsi:type="dcterms:W3CDTF">2004-06-15T22:41:15Z</dcterms:modified>
  <cp:category/>
  <cp:version/>
  <cp:contentType/>
  <cp:contentStatus/>
</cp:coreProperties>
</file>