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65" windowHeight="4860" tabRatio="699" firstSheet="5" activeTab="8"/>
  </bookViews>
  <sheets>
    <sheet name="DATOS" sheetId="1" r:id="rId1"/>
    <sheet name="P&amp;G CONSECION" sheetId="2" r:id="rId2"/>
    <sheet name="FLUJO CONSECION" sheetId="3" r:id="rId3"/>
    <sheet name="P&amp;G FRANQUICIA" sheetId="4" r:id="rId4"/>
    <sheet name="Anexos " sheetId="5" r:id="rId5"/>
    <sheet name="FLUJO FRANQUICIA" sheetId="6" r:id="rId6"/>
    <sheet name="B. GENERAL" sheetId="7" r:id="rId7"/>
    <sheet name="INDICES" sheetId="8" r:id="rId8"/>
    <sheet name="A. SENCIBILIDAD" sheetId="9" r:id="rId9"/>
    <sheet name="A. SENCIBILIDAD (2)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<sst xmlns="http://schemas.openxmlformats.org/spreadsheetml/2006/main" count="668" uniqueCount="292">
  <si>
    <t>PIZZAS</t>
  </si>
  <si>
    <t>PRECIO</t>
  </si>
  <si>
    <t>COSTO</t>
  </si>
  <si>
    <t>COSTOS</t>
  </si>
  <si>
    <t>GRANDE</t>
  </si>
  <si>
    <t>MEDIANA</t>
  </si>
  <si>
    <t>PERSONAL</t>
  </si>
  <si>
    <t>PEQUEÑA</t>
  </si>
  <si>
    <t>TOTAL</t>
  </si>
  <si>
    <t>CREC. POB. ANUAL</t>
  </si>
  <si>
    <t>INF. ANUAL ESTIM.</t>
  </si>
  <si>
    <t>INGRESOS OPERACIONALES</t>
  </si>
  <si>
    <t>5% DE LA VTAS DE FRANQUICIATARIOS</t>
  </si>
  <si>
    <t>PASTA DE TOMATE</t>
  </si>
  <si>
    <t>QUESO</t>
  </si>
  <si>
    <t>COSTOS OPERACIONALES</t>
  </si>
  <si>
    <t>COSTO DE PUBLICIDAD</t>
  </si>
  <si>
    <t>COSTO DE PASTA DE TOMATE</t>
  </si>
  <si>
    <t>COSTO DE QUESO</t>
  </si>
  <si>
    <t xml:space="preserve">UTILIDAD BRUTA </t>
  </si>
  <si>
    <t>GASTOS OPERACIONALES</t>
  </si>
  <si>
    <t>GASTOS DE ADMINISTRACION Y VENTAS</t>
  </si>
  <si>
    <t>SUELDOS DE ADMINISTRACION</t>
  </si>
  <si>
    <t xml:space="preserve">MANTENIMIENTOS DE EQUIPOS </t>
  </si>
  <si>
    <t>ALQUILER</t>
  </si>
  <si>
    <t>SUMINISTROS DE OFICINA</t>
  </si>
  <si>
    <t>SERVICIOS BASICOS</t>
  </si>
  <si>
    <t>DEPRECIACION</t>
  </si>
  <si>
    <t>PUBLICIDAD ( FRANQUICIA)</t>
  </si>
  <si>
    <t>CAPACITACION</t>
  </si>
  <si>
    <t>UTILIDAD OPERACIONAL</t>
  </si>
  <si>
    <t xml:space="preserve">OTROS INGRESOS </t>
  </si>
  <si>
    <t>INGRESOS DE FRANQUICIA</t>
  </si>
  <si>
    <t>RECUPERACION DE ACTIVOS</t>
  </si>
  <si>
    <t>OTROS GASTOS</t>
  </si>
  <si>
    <t>GASTOS DE FRANQUICIA</t>
  </si>
  <si>
    <t>GASTOS DE INTERESES</t>
  </si>
  <si>
    <t>DIFERENCIA DE OTROS INGRESOS Y GASTOS</t>
  </si>
  <si>
    <t>UTILIDAD NETA</t>
  </si>
  <si>
    <t>15% PARTICIPACION TRABAJADORES</t>
  </si>
  <si>
    <t>UTILIDAD GRAVABLE</t>
  </si>
  <si>
    <t xml:space="preserve">25% IMPUESTO A LA RENTA </t>
  </si>
  <si>
    <t>10% RESERVA LEGAL</t>
  </si>
  <si>
    <t>UTILIDAD DEL EJERCICIO</t>
  </si>
  <si>
    <t>SUELDOS ADMINISTRATIVOS</t>
  </si>
  <si>
    <t xml:space="preserve">PUESTO </t>
  </si>
  <si>
    <t>No. EMPLEADOS</t>
  </si>
  <si>
    <t>SUELDO</t>
  </si>
  <si>
    <t>SUELDO TOTAL</t>
  </si>
  <si>
    <t>DIRECTOR</t>
  </si>
  <si>
    <t>ASISTENTE</t>
  </si>
  <si>
    <t>GTE. OPERACIONES</t>
  </si>
  <si>
    <t>CTE. ADM. FINANCIERO</t>
  </si>
  <si>
    <t>GTE. MARKETING</t>
  </si>
  <si>
    <t>JEFE RRHH</t>
  </si>
  <si>
    <t>JEFE DE BODEGA</t>
  </si>
  <si>
    <t>JEFE DE PROD.  PASTA</t>
  </si>
  <si>
    <t>ASISTENTE CONTABLE</t>
  </si>
  <si>
    <t>ASISTENTE MKT</t>
  </si>
  <si>
    <t>ASISTENTE BODEGA</t>
  </si>
  <si>
    <t>CHOFER</t>
  </si>
  <si>
    <t>AYUDANTES PROD. PASTA</t>
  </si>
  <si>
    <t>VENTAS</t>
  </si>
  <si>
    <t>COSTOS DE PRODUCCION</t>
  </si>
  <si>
    <t>REGALIAS 5%</t>
  </si>
  <si>
    <t>AÑO 2</t>
  </si>
  <si>
    <t>AÑO 3</t>
  </si>
  <si>
    <t>AÑO 4</t>
  </si>
  <si>
    <t>AÑO 5</t>
  </si>
  <si>
    <t>AÑO 6</t>
  </si>
  <si>
    <t>AÑO 7</t>
  </si>
  <si>
    <t>AÑO 1</t>
  </si>
  <si>
    <t>REGALIAS</t>
  </si>
  <si>
    <t>SUELDOS ADMINISTRATIVOS Y OPERATIVOS</t>
  </si>
  <si>
    <t>*JEFE DE PIZZERIA</t>
  </si>
  <si>
    <t>*CONTADOR</t>
  </si>
  <si>
    <t>*CAJERA</t>
  </si>
  <si>
    <t>LIDER DE GRUPO</t>
  </si>
  <si>
    <t>PIZZEROS</t>
  </si>
  <si>
    <t xml:space="preserve">MESEROS </t>
  </si>
  <si>
    <t>MOTORIZADOS</t>
  </si>
  <si>
    <t>GUARDIA</t>
  </si>
  <si>
    <t>PUBLICIDAD</t>
  </si>
  <si>
    <t xml:space="preserve">PUBLICIDAD </t>
  </si>
  <si>
    <t>S. BASICOS</t>
  </si>
  <si>
    <t>S. OFICINA</t>
  </si>
  <si>
    <t>SUELDOS ADMINIST.</t>
  </si>
  <si>
    <t>SUELDOS OPER.</t>
  </si>
  <si>
    <t>SUELDOS OPERACIONALES</t>
  </si>
  <si>
    <t>MANTENIEMIENTO</t>
  </si>
  <si>
    <t>MANTENIMIENTO</t>
  </si>
  <si>
    <t>INGRESOS VARIOS</t>
  </si>
  <si>
    <t>GASTOS VARIOS</t>
  </si>
  <si>
    <t xml:space="preserve">COLAS </t>
  </si>
  <si>
    <t>2 LITROS</t>
  </si>
  <si>
    <t>VASOS</t>
  </si>
  <si>
    <t>COLAS ING.</t>
  </si>
  <si>
    <t>COLAS CTO.</t>
  </si>
  <si>
    <t>PRE-OPERACIÓN</t>
  </si>
  <si>
    <t>A. INGRESOS OPERACIONALES</t>
  </si>
  <si>
    <t xml:space="preserve">VENTAS </t>
  </si>
  <si>
    <t>B. EGRESOS OPERACIONALES</t>
  </si>
  <si>
    <t>COSTO DE OPERACIÓN</t>
  </si>
  <si>
    <t>C. FLUJO DE CAJA OPERACIONAL (A-B)</t>
  </si>
  <si>
    <t>D. INGRESOS NO OPERACIONALES</t>
  </si>
  <si>
    <t>CREDITO</t>
  </si>
  <si>
    <t>APORTE DE CAPITAL</t>
  </si>
  <si>
    <t>FRANQUICIA</t>
  </si>
  <si>
    <t>VALOR DE SALVAMENTO</t>
  </si>
  <si>
    <t>E. EGRESOS NO OPERACIONALES</t>
  </si>
  <si>
    <t>GASTOS ADMINISTRATIVOS</t>
  </si>
  <si>
    <t>PAGO DE INTERESES</t>
  </si>
  <si>
    <t>PAGO DE IMPUESTOS 25%</t>
  </si>
  <si>
    <t>PAGO DE PARTICIPACION LABORAL 15%</t>
  </si>
  <si>
    <t>PAGO DE RESERVA LEGAL 10%</t>
  </si>
  <si>
    <t>PAGO DE CREDITO A CORTO PLAZO</t>
  </si>
  <si>
    <t xml:space="preserve">COMPRA DE EQUIPOS </t>
  </si>
  <si>
    <t>GASTOS DE PREOPERACION</t>
  </si>
  <si>
    <t>DEPOSITO EN GARANTIA</t>
  </si>
  <si>
    <t>F. FLUJO NO OPERACIONAL (D-E)</t>
  </si>
  <si>
    <t>G. FLUJO NETO GENERAL (C+F)</t>
  </si>
  <si>
    <t>SALDO DE CAJA INICIAL</t>
  </si>
  <si>
    <t>SALDO DE CAJA FINAL</t>
  </si>
  <si>
    <t>VAN</t>
  </si>
  <si>
    <t>TIR</t>
  </si>
  <si>
    <t>CENTRO</t>
  </si>
  <si>
    <t>GARZOTA</t>
  </si>
  <si>
    <t>URDESA</t>
  </si>
  <si>
    <t>NUEVA</t>
  </si>
  <si>
    <t>SAMBORON</t>
  </si>
  <si>
    <t>4 MESES</t>
  </si>
  <si>
    <t>8 MESES</t>
  </si>
  <si>
    <t>12 MESES</t>
  </si>
  <si>
    <t>16 MESES</t>
  </si>
  <si>
    <t>20 MESES</t>
  </si>
  <si>
    <t>24 MESES</t>
  </si>
  <si>
    <t>PASEO SUR</t>
  </si>
  <si>
    <t>ING. MENSUAL</t>
  </si>
  <si>
    <t>I N G R E S O S   P O R   R E G A L I A S</t>
  </si>
  <si>
    <t>I N G R E S O S   P O R   P A S T A   D E   T O M A T E</t>
  </si>
  <si>
    <t>PESO PASTA</t>
  </si>
  <si>
    <t>PASTA</t>
  </si>
  <si>
    <t>QUESOS</t>
  </si>
  <si>
    <t>INGRESOS DEL PROYECTO FRANQUICIA</t>
  </si>
  <si>
    <t>PESO QUESO</t>
  </si>
  <si>
    <t>I N G R E S O S   P O R   Q U E S O</t>
  </si>
  <si>
    <t>60 MESES</t>
  </si>
  <si>
    <t>56 MESES</t>
  </si>
  <si>
    <t>52 MESES</t>
  </si>
  <si>
    <t>48 MESES</t>
  </si>
  <si>
    <t>44 MESES</t>
  </si>
  <si>
    <t>40 MESES</t>
  </si>
  <si>
    <t>COSTOS DEL PROYECTO FRANQUICIA</t>
  </si>
  <si>
    <t>C O S T O S   P O R   P U B L I C I D A D</t>
  </si>
  <si>
    <t>C O S T O S   P O R   P A S T A   D E   T O M A T E</t>
  </si>
  <si>
    <t>C O S T O S   P O R   Q U E S O</t>
  </si>
  <si>
    <t>PRECIO PASTA</t>
  </si>
  <si>
    <t>PRECIO QUESO</t>
  </si>
  <si>
    <t>COSTO PASTA</t>
  </si>
  <si>
    <t>COSTO QUESO</t>
  </si>
  <si>
    <t>SUELDOS DE OPERACIÓN</t>
  </si>
  <si>
    <t xml:space="preserve"> PROYECTO DE FRANQUICIA</t>
  </si>
  <si>
    <t>ACTIVOS</t>
  </si>
  <si>
    <t>Computadoras</t>
  </si>
  <si>
    <t>Impresoras</t>
  </si>
  <si>
    <t>Fax</t>
  </si>
  <si>
    <t>Muebles de Oficina</t>
  </si>
  <si>
    <t>Aire Acondicionado</t>
  </si>
  <si>
    <t>Equipos de Oficina</t>
  </si>
  <si>
    <t>Vehiculo</t>
  </si>
  <si>
    <t>Total</t>
  </si>
  <si>
    <t>CUADRO DE DEPRECIACION</t>
  </si>
  <si>
    <t>ACUMALADA</t>
  </si>
  <si>
    <t>ING. FRANQ.</t>
  </si>
  <si>
    <t>COST. FRANQ.</t>
  </si>
  <si>
    <t xml:space="preserve">AÑO </t>
  </si>
  <si>
    <t>PAGO</t>
  </si>
  <si>
    <t>AMORTIZACION</t>
  </si>
  <si>
    <t>INTERES</t>
  </si>
  <si>
    <t>SALDO</t>
  </si>
  <si>
    <t>COMPRA DE EQUIPO</t>
  </si>
  <si>
    <t>ACTIVOS REALES</t>
  </si>
  <si>
    <t>ACTIVOS INTANGIBLES</t>
  </si>
  <si>
    <t>Deposito en Garantia</t>
  </si>
  <si>
    <t>Instalaciones</t>
  </si>
  <si>
    <t>Total Activos Intangibles</t>
  </si>
  <si>
    <t>ACTIVO CORRIENTE</t>
  </si>
  <si>
    <t>Caja y Bancos</t>
  </si>
  <si>
    <t>ACTIVOS FIJOS</t>
  </si>
  <si>
    <t>Utiles de oficinas</t>
  </si>
  <si>
    <t>Depreciacion Acumulada</t>
  </si>
  <si>
    <t>Total Activos Fijos</t>
  </si>
  <si>
    <t>TOTAL ACTIVOS</t>
  </si>
  <si>
    <t>PASIVO CORRIENTE</t>
  </si>
  <si>
    <t>Deuda a Largo Plazo</t>
  </si>
  <si>
    <t>PASIVO A LARGO PLAZO</t>
  </si>
  <si>
    <t>TOTAL PASIVOS</t>
  </si>
  <si>
    <t>PATRIMONIO</t>
  </si>
  <si>
    <t>Capital Social</t>
  </si>
  <si>
    <t>Utilidad No Distribuida</t>
  </si>
  <si>
    <t>Utilidad del Ejercicio</t>
  </si>
  <si>
    <t>Total de Patrimonio</t>
  </si>
  <si>
    <t>TOTAL DE PASIVOS Y PATRIMONIO</t>
  </si>
  <si>
    <t>Inversiones</t>
  </si>
  <si>
    <t>Cantidad</t>
  </si>
  <si>
    <t>Costo Unitario</t>
  </si>
  <si>
    <t>Costo Total</t>
  </si>
  <si>
    <t>Impresora</t>
  </si>
  <si>
    <t>Utiles de Oficina</t>
  </si>
  <si>
    <t xml:space="preserve">Vehiculo </t>
  </si>
  <si>
    <t>Alquiler</t>
  </si>
  <si>
    <t>Nueva Compra</t>
  </si>
  <si>
    <t>RAZONES DE FINANCIAMIENTO</t>
  </si>
  <si>
    <t>PATRIMONIO / INVERSION</t>
  </si>
  <si>
    <t>DEUDA / INVERSION</t>
  </si>
  <si>
    <t>COSTO DE ENDEUDAMIENTO</t>
  </si>
  <si>
    <t>RAZONES DE LIQUIDEZ</t>
  </si>
  <si>
    <t>CIRCULANTE</t>
  </si>
  <si>
    <t>ACT. CORRIENTE / PAS. CORRIENTE</t>
  </si>
  <si>
    <t>CAPITAL DE TRABAJO</t>
  </si>
  <si>
    <t>ACT. CORRIENTE - PAS. CORRIENTE</t>
  </si>
  <si>
    <t xml:space="preserve">RAZONES DE ACTIVIDAD </t>
  </si>
  <si>
    <t>ROTACION DE ACTIVOS FIJOS</t>
  </si>
  <si>
    <t>VENTAS  / ACTIVOS FIJOS</t>
  </si>
  <si>
    <t>ROTACION DE ACTIVOS TOTALES</t>
  </si>
  <si>
    <t>VENTAS  / ACTIVOS TOTALES</t>
  </si>
  <si>
    <t>ROTACION DE PATRIMONIO</t>
  </si>
  <si>
    <t>VENTAS / PATRIMONIO</t>
  </si>
  <si>
    <t>RAZONES DE RENTABILIDAD</t>
  </si>
  <si>
    <t>MARGEN DE UTILIDAD BRUTA</t>
  </si>
  <si>
    <t>UTILIDAD BRUTA / VENTAS</t>
  </si>
  <si>
    <t>ROE</t>
  </si>
  <si>
    <t>UTILIDAD NETA / PATRIMONIO</t>
  </si>
  <si>
    <t>DEUDA A CAPITAL CONTABLE</t>
  </si>
  <si>
    <t>TOTAL PASIVOS / PATRIMONIO</t>
  </si>
  <si>
    <t>DEUDA A ACTIVOS TOTALES</t>
  </si>
  <si>
    <t>TOTAL PASIVOS / TOTAL ACTIVOS</t>
  </si>
  <si>
    <t>PERIODO REAL DE RECUPERACION</t>
  </si>
  <si>
    <t>AÑO</t>
  </si>
  <si>
    <t>FLUJO DE CAJA</t>
  </si>
  <si>
    <t>FLUJO DESC.</t>
  </si>
  <si>
    <t>PRR</t>
  </si>
  <si>
    <t>TD</t>
  </si>
  <si>
    <t>REC. INVERSION</t>
  </si>
  <si>
    <t>PRESTAMO</t>
  </si>
  <si>
    <t>CAPITAL PROPIO</t>
  </si>
  <si>
    <t>FLUJO DE CAJA CON PRESTAMO</t>
  </si>
  <si>
    <t>FLUJO DE CAJA SIN PRESTAMO</t>
  </si>
  <si>
    <t>FLUJO DE CAJA CON PRESTAMO - DISMINUCION  5% COSTOS</t>
  </si>
  <si>
    <t>FLUJO DE CAJA CON PRESTAMO - AUMENTO 5% COSTOS</t>
  </si>
  <si>
    <t>FLUJO DE CAJA CON PRESTAMO - DISMINUCION  5% VENTAS</t>
  </si>
  <si>
    <t>FLUJO DE CAJA CON PRESTAMO - AUMENTO  5% VENTAS</t>
  </si>
  <si>
    <t>Expresado en Dólares.</t>
  </si>
  <si>
    <t>Periodo</t>
  </si>
  <si>
    <t>Utilidad (Pérdida) del Ejercicio.</t>
  </si>
  <si>
    <t>Tabla 6.6</t>
  </si>
  <si>
    <t>Elaborado por los autores.</t>
  </si>
  <si>
    <t>Utilidad del Ejercicio Proyectada para los próximos 7 años</t>
  </si>
  <si>
    <t>Tabla 6.7</t>
  </si>
  <si>
    <t>Flujo de Efectivo Proyectada para los próximos 7 años</t>
  </si>
  <si>
    <t>Flujo de Efectivo General</t>
  </si>
  <si>
    <t>TMAR</t>
  </si>
  <si>
    <t>RAZONES DE DEUDA</t>
  </si>
  <si>
    <t>Aumento 5%</t>
  </si>
  <si>
    <t>Disminucion 5%</t>
  </si>
  <si>
    <t>Original</t>
  </si>
  <si>
    <t>UTILIDAD NETA / VENTAS</t>
  </si>
  <si>
    <t>MARGEN DE UTILIDAD NETA</t>
  </si>
  <si>
    <t>PUBLICIDAD ( FRANQUICIA )</t>
  </si>
  <si>
    <t>Costos</t>
  </si>
  <si>
    <t>Ventas</t>
  </si>
  <si>
    <t xml:space="preserve">Tasa </t>
  </si>
  <si>
    <t>Ponderacion</t>
  </si>
  <si>
    <t>Inversion</t>
  </si>
  <si>
    <t>Tasa Pond.</t>
  </si>
  <si>
    <t>Tabla 6.8</t>
  </si>
  <si>
    <t>Calculo de Tasa de Descuento Ponderada del Proyecto</t>
  </si>
  <si>
    <t>Anexo # 17 : Franquicia</t>
  </si>
  <si>
    <t>Proyeccion del Estado de Perdidas y Ganancias</t>
  </si>
  <si>
    <t>Expresado en Dolares</t>
  </si>
  <si>
    <t>Anexo # 18: Franquicia</t>
  </si>
  <si>
    <t>Proyeccion del Estado de Flujo de Efectivo</t>
  </si>
  <si>
    <t>Proyeccion del Estado de Perdidas Y Ganancias</t>
  </si>
  <si>
    <t>Anexo # 21:Proyecto Pizza Pisa</t>
  </si>
  <si>
    <t>Anexo # 22: Proyeco Pizza Pisa</t>
  </si>
  <si>
    <t>Anexo # 23: Proyeco Pizza Pisa</t>
  </si>
  <si>
    <t>Balance General</t>
  </si>
  <si>
    <t>Anexo # 24: Proyeco Pizza Pisa</t>
  </si>
  <si>
    <t>Indices Financieros</t>
  </si>
  <si>
    <t>Anexo # 25: Proyeco Pizza Pisa</t>
  </si>
  <si>
    <t>CEIBOS</t>
  </si>
  <si>
    <t>Analisis de Sensibilidad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</si>
</sst>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.00"/>
    <numFmt numFmtId="165" formatCode="0.0000"/>
    <numFmt numFmtId="166" formatCode="#,##0.00;[Red]#,##0.00"/>
    <numFmt numFmtId="167" formatCode="#,##0.0000"/>
    <numFmt numFmtId="168" formatCode="&quot;S/.&quot;\ #,##0"/>
    <numFmt numFmtId="169" formatCode="#,##0.00_ ;[Red]\-#,##0.00\ "/>
    <numFmt numFmtId="170" formatCode="#,##0.0"/>
    <numFmt numFmtId="171" formatCode="#,##0.000"/>
    <numFmt numFmtId="172" formatCode="#,##0.00000"/>
    <numFmt numFmtId="173" formatCode="#,##0.000000"/>
    <numFmt numFmtId="174" formatCode="0.000"/>
    <numFmt numFmtId="175" formatCode="0.00000"/>
    <numFmt numFmtId="176" formatCode="0.000000"/>
    <numFmt numFmtId="177" formatCode="0.0000000"/>
    <numFmt numFmtId="178" formatCode="0.0"/>
    <numFmt numFmtId="179" formatCode="[$$-409]#,##0"/>
    <numFmt numFmtId="180" formatCode="0.00;[Red]0.00"/>
    <numFmt numFmtId="181" formatCode="0;[Red]0"/>
    <numFmt numFmtId="182" formatCode="0.0%"/>
    <numFmt numFmtId="183" formatCode="0.000%"/>
    <numFmt numFmtId="184" formatCode="0.0000%"/>
    <numFmt numFmtId="185" formatCode="0.00000%"/>
    <numFmt numFmtId="186" formatCode="0.00000000"/>
    <numFmt numFmtId="187" formatCode="#,##0;[Red]#,##0"/>
    <numFmt numFmtId="188" formatCode="#,##0_ ;[Red]\-#,##0\ "/>
    <numFmt numFmtId="189" formatCode="0.0000;[Red]0.000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&quot;S/.&quot;\ #,##0.0;[Red]&quot;S/.&quot;\ \-#,##0.0"/>
    <numFmt numFmtId="194" formatCode="&quot;S/.&quot;\ #,##0.000;[Red]&quot;S/.&quot;\ \-#,##0.000"/>
    <numFmt numFmtId="195" formatCode="&quot;S/.&quot;\ #,##0.0000;[Red]&quot;S/.&quot;\ \-#,##0.0000"/>
    <numFmt numFmtId="196" formatCode="&quot;S/.&quot;\ #,##0.00000;[Red]&quot;S/.&quot;\ \-#,##0.00000"/>
    <numFmt numFmtId="197" formatCode="&quot;S/.&quot;\ #,##0;[Red]&quot;S/.&quot;\ #,##0"/>
  </numFmts>
  <fonts count="43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0"/>
    </font>
    <font>
      <b/>
      <sz val="7"/>
      <name val="Arial"/>
      <family val="2"/>
    </font>
    <font>
      <b/>
      <sz val="8"/>
      <color indexed="10"/>
      <name val="Arial"/>
      <family val="2"/>
    </font>
    <font>
      <sz val="7"/>
      <name val="Arial"/>
      <family val="0"/>
    </font>
    <font>
      <sz val="7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u val="single"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14.5"/>
      <name val="Arial"/>
      <family val="0"/>
    </font>
    <font>
      <sz val="15"/>
      <name val="Arial"/>
      <family val="0"/>
    </font>
    <font>
      <b/>
      <sz val="12"/>
      <name val="Arial Narrow"/>
      <family val="2"/>
    </font>
    <font>
      <sz val="9"/>
      <name val="Arial Narrow"/>
      <family val="2"/>
    </font>
    <font>
      <sz val="8.75"/>
      <name val="Arial Narrow"/>
      <family val="2"/>
    </font>
    <font>
      <b/>
      <sz val="2.75"/>
      <name val="Arial"/>
      <family val="2"/>
    </font>
    <font>
      <b/>
      <sz val="1.75"/>
      <name val="Arial Narrow"/>
      <family val="2"/>
    </font>
    <font>
      <sz val="3.5"/>
      <name val="Arial"/>
      <family val="0"/>
    </font>
    <font>
      <sz val="1.5"/>
      <name val="Arial Narrow"/>
      <family val="2"/>
    </font>
    <font>
      <sz val="1.25"/>
      <name val="Arial Narrow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8"/>
      <color indexed="1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" fontId="2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2" borderId="1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10" fontId="11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0" fontId="12" fillId="2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Border="1" applyAlignment="1">
      <alignment/>
    </xf>
    <xf numFmtId="0" fontId="7" fillId="0" borderId="21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indent="1"/>
    </xf>
    <xf numFmtId="166" fontId="6" fillId="0" borderId="0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indent="1"/>
    </xf>
    <xf numFmtId="166" fontId="6" fillId="0" borderId="0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8" fontId="6" fillId="0" borderId="22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7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8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16" fillId="0" borderId="18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0" fontId="20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18" fillId="0" borderId="0" xfId="0" applyFont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indent="1"/>
    </xf>
    <xf numFmtId="166" fontId="2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left"/>
    </xf>
    <xf numFmtId="8" fontId="2" fillId="0" borderId="22" xfId="0" applyNumberFormat="1" applyFont="1" applyBorder="1" applyAlignment="1">
      <alignment horizontal="left" inden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3" fillId="0" borderId="21" xfId="0" applyFont="1" applyBorder="1" applyAlignment="1">
      <alignment horizontal="left" indent="1"/>
    </xf>
    <xf numFmtId="0" fontId="5" fillId="0" borderId="21" xfId="0" applyFont="1" applyBorder="1" applyAlignment="1">
      <alignment horizontal="left" indent="2"/>
    </xf>
    <xf numFmtId="0" fontId="4" fillId="0" borderId="21" xfId="0" applyFont="1" applyBorder="1" applyAlignment="1">
      <alignment horizontal="left" indent="1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" fontId="2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3" fillId="0" borderId="22" xfId="0" applyFont="1" applyBorder="1" applyAlignment="1">
      <alignment/>
    </xf>
    <xf numFmtId="166" fontId="3" fillId="0" borderId="15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8" fontId="2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2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9" fontId="3" fillId="2" borderId="11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0" fontId="24" fillId="0" borderId="21" xfId="0" applyFont="1" applyBorder="1" applyAlignment="1">
      <alignment horizontal="left" indent="1"/>
    </xf>
    <xf numFmtId="0" fontId="2" fillId="0" borderId="21" xfId="0" applyFont="1" applyBorder="1" applyAlignment="1">
      <alignment horizontal="left" indent="2"/>
    </xf>
    <xf numFmtId="180" fontId="4" fillId="0" borderId="0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4" fillId="0" borderId="18" xfId="0" applyFont="1" applyBorder="1" applyAlignment="1">
      <alignment horizontal="center"/>
    </xf>
    <xf numFmtId="10" fontId="14" fillId="0" borderId="18" xfId="0" applyNumberFormat="1" applyFont="1" applyBorder="1" applyAlignment="1">
      <alignment horizontal="center"/>
    </xf>
    <xf numFmtId="8" fontId="14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1" xfId="0" applyFont="1" applyBorder="1" applyAlignment="1">
      <alignment/>
    </xf>
    <xf numFmtId="174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10" fontId="2" fillId="0" borderId="24" xfId="0" applyNumberFormat="1" applyFont="1" applyBorder="1" applyAlignment="1">
      <alignment/>
    </xf>
    <xf numFmtId="8" fontId="2" fillId="0" borderId="16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74" fontId="2" fillId="0" borderId="16" xfId="0" applyNumberFormat="1" applyFont="1" applyBorder="1" applyAlignment="1">
      <alignment/>
    </xf>
    <xf numFmtId="166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/>
    </xf>
    <xf numFmtId="166" fontId="28" fillId="0" borderId="21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66" fontId="28" fillId="0" borderId="22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0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8" fontId="2" fillId="0" borderId="6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8" fontId="2" fillId="0" borderId="9" xfId="0" applyNumberFormat="1" applyFont="1" applyBorder="1" applyAlignment="1">
      <alignment/>
    </xf>
    <xf numFmtId="8" fontId="2" fillId="0" borderId="25" xfId="0" applyNumberFormat="1" applyFont="1" applyBorder="1" applyAlignment="1">
      <alignment/>
    </xf>
    <xf numFmtId="1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8" fontId="2" fillId="0" borderId="28" xfId="0" applyNumberFormat="1" applyFont="1" applyBorder="1" applyAlignment="1">
      <alignment/>
    </xf>
    <xf numFmtId="8" fontId="2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28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167" fontId="2" fillId="0" borderId="29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189" fontId="3" fillId="0" borderId="15" xfId="0" applyNumberFormat="1" applyFont="1" applyBorder="1" applyAlignment="1">
      <alignment horizontal="center"/>
    </xf>
    <xf numFmtId="192" fontId="2" fillId="0" borderId="0" xfId="17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9" fontId="3" fillId="0" borderId="30" xfId="0" applyNumberFormat="1" applyFont="1" applyBorder="1" applyAlignment="1">
      <alignment/>
    </xf>
    <xf numFmtId="9" fontId="3" fillId="0" borderId="31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6" fontId="2" fillId="0" borderId="25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9" fontId="3" fillId="0" borderId="23" xfId="0" applyNumberFormat="1" applyFont="1" applyBorder="1" applyAlignment="1">
      <alignment/>
    </xf>
    <xf numFmtId="10" fontId="3" fillId="0" borderId="32" xfId="0" applyNumberFormat="1" applyFont="1" applyBorder="1" applyAlignment="1">
      <alignment/>
    </xf>
    <xf numFmtId="0" fontId="27" fillId="2" borderId="23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83" fontId="0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83" fontId="8" fillId="0" borderId="17" xfId="0" applyNumberFormat="1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8" fillId="2" borderId="11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0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0" fontId="40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66" fontId="10" fillId="0" borderId="0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10" fillId="0" borderId="21" xfId="0" applyFont="1" applyBorder="1" applyAlignment="1">
      <alignment horizontal="left" indent="1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 indent="2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3" fillId="0" borderId="21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80" fontId="4" fillId="0" borderId="21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66" fontId="28" fillId="0" borderId="0" xfId="0" applyNumberFormat="1" applyFont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0" fontId="3" fillId="0" borderId="23" xfId="0" applyNumberFormat="1" applyFont="1" applyBorder="1" applyAlignment="1">
      <alignment/>
    </xf>
    <xf numFmtId="166" fontId="7" fillId="2" borderId="11" xfId="0" applyNumberFormat="1" applyFont="1" applyFill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12" fillId="0" borderId="19" xfId="0" applyFont="1" applyBorder="1" applyAlignment="1">
      <alignment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4" fillId="0" borderId="21" xfId="0" applyFont="1" applyBorder="1" applyAlignment="1">
      <alignment/>
    </xf>
    <xf numFmtId="0" fontId="12" fillId="0" borderId="21" xfId="0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0" fontId="14" fillId="0" borderId="21" xfId="0" applyFont="1" applyBorder="1" applyAlignment="1">
      <alignment horizontal="left" indent="1"/>
    </xf>
    <xf numFmtId="166" fontId="14" fillId="0" borderId="0" xfId="0" applyNumberFormat="1" applyFont="1" applyBorder="1" applyAlignment="1">
      <alignment horizontal="center"/>
    </xf>
    <xf numFmtId="166" fontId="14" fillId="0" borderId="16" xfId="0" applyNumberFormat="1" applyFont="1" applyBorder="1" applyAlignment="1">
      <alignment horizontal="center"/>
    </xf>
    <xf numFmtId="166" fontId="12" fillId="2" borderId="0" xfId="0" applyNumberFormat="1" applyFont="1" applyFill="1" applyBorder="1" applyAlignment="1">
      <alignment horizontal="center"/>
    </xf>
    <xf numFmtId="166" fontId="12" fillId="2" borderId="16" xfId="0" applyNumberFormat="1" applyFont="1" applyFill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8" fontId="14" fillId="0" borderId="22" xfId="0" applyNumberFormat="1" applyFont="1" applyBorder="1" applyAlignment="1">
      <alignment horizontal="left" indent="1"/>
    </xf>
    <xf numFmtId="4" fontId="14" fillId="0" borderId="15" xfId="0" applyNumberFormat="1" applyFont="1" applyBorder="1" applyAlignment="1">
      <alignment horizontal="center"/>
    </xf>
    <xf numFmtId="166" fontId="14" fillId="0" borderId="15" xfId="0" applyNumberFormat="1" applyFont="1" applyBorder="1" applyAlignment="1">
      <alignment horizontal="center"/>
    </xf>
    <xf numFmtId="166" fontId="14" fillId="0" borderId="17" xfId="0" applyNumberFormat="1" applyFont="1" applyBorder="1" applyAlignment="1">
      <alignment horizontal="center"/>
    </xf>
    <xf numFmtId="0" fontId="41" fillId="2" borderId="12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0" fillId="0" borderId="0" xfId="0" applyFont="1" applyAlignment="1">
      <alignment horizontal="center"/>
    </xf>
    <xf numFmtId="10" fontId="40" fillId="0" borderId="0" xfId="0" applyNumberFormat="1" applyFont="1" applyAlignment="1">
      <alignment horizontal="center"/>
    </xf>
    <xf numFmtId="0" fontId="27" fillId="2" borderId="19" xfId="0" applyFont="1" applyFill="1" applyBorder="1" applyAlignment="1">
      <alignment horizontal="center" vertical="center" wrapText="1" shrinkToFit="1"/>
    </xf>
    <xf numFmtId="0" fontId="27" fillId="2" borderId="2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7" fillId="2" borderId="23" xfId="0" applyFont="1" applyFill="1" applyBorder="1" applyAlignment="1">
      <alignment horizontal="center" vertical="center" wrapText="1" shrinkToFit="1"/>
    </xf>
    <xf numFmtId="0" fontId="27" fillId="2" borderId="14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/>
    </xf>
    <xf numFmtId="166" fontId="7" fillId="2" borderId="12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0" fontId="42" fillId="2" borderId="10" xfId="0" applyFont="1" applyFill="1" applyBorder="1" applyAlignment="1">
      <alignment horizontal="center"/>
    </xf>
    <xf numFmtId="0" fontId="42" fillId="2" borderId="12" xfId="0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42" fillId="0" borderId="23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Periodo Real de Recuperación de Inversión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'A. SENCIBILIDAD'!#REF!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,##0.00;[Red]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,##0.00;[Red]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,##0.00;[Red]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,##0.00;[Red]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,##0.00;[Red]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,##0.00;[Red]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,##0.00;[Red]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,##0.00;[Red]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;[Red]#,##0.00" sourceLinked="0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'A. SENCIBILIDAD'!#REF!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'A. SENCIBILIDAD'!#REF!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upDownBars>
          <c:upBars/>
          <c:downBars/>
        </c:upDownBars>
        <c:marker val="1"/>
        <c:axId val="33938731"/>
        <c:axId val="37013124"/>
      </c:lineChart>
      <c:catAx>
        <c:axId val="3393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Años del Proyecto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solidFill>
                  <a:srgbClr val="0000FF"/>
                </a:solidFill>
              </a:defRPr>
            </a:pPr>
          </a:p>
        </c:txPr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Saldo de Inversión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3938731"/>
        <c:crossesAt val="1"/>
        <c:crossBetween val="between"/>
        <c:dispUnits/>
        <c:majorUnit val="3000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05"/>
          <c:w val="0.948"/>
          <c:h val="0.7665"/>
        </c:manualLayout>
      </c:layout>
      <c:lineChart>
        <c:grouping val="standard"/>
        <c:varyColors val="0"/>
        <c:ser>
          <c:idx val="0"/>
          <c:order val="0"/>
          <c:tx>
            <c:v>VAN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'A. SENCIBILIDAD (2)'!$C$71:$C$80</c:f>
              <c:numCache/>
            </c:numRef>
          </c:cat>
          <c:val>
            <c:numRef>
              <c:f>'A. SENCIBILIDAD (2)'!$D$71:$D$80</c:f>
              <c:numCache/>
            </c:numRef>
          </c:val>
          <c:smooth val="0"/>
        </c:ser>
        <c:marker val="1"/>
        <c:axId val="64682661"/>
        <c:axId val="45273038"/>
      </c:line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646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25"/>
          <c:y val="0.88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525"/>
          <c:w val="0.92725"/>
          <c:h val="0.905"/>
        </c:manualLayout>
      </c:layout>
      <c:lineChart>
        <c:grouping val="standard"/>
        <c:varyColors val="0"/>
        <c:ser>
          <c:idx val="1"/>
          <c:order val="0"/>
          <c:tx>
            <c:strRef>
              <c:f>'A. SENCIBILIDAD (2)'!$H$40</c:f>
              <c:strCache>
                <c:ptCount val="1"/>
                <c:pt idx="0">
                  <c:v>Costos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&quot;S/.&quot;\ 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&quot;S/.&quot;\ 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&quot;S/.&quot;\ 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&quot;S/.&quot;\ 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S/.&quot;\ 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'A. SENCIBILIDAD (2)'!$G$42:$G$45</c:f>
              <c:numCache/>
            </c:numRef>
          </c:cat>
          <c:val>
            <c:numRef>
              <c:f>'A. SENCIBILIDAD (2)'!$H$42:$H$45</c:f>
              <c:numCache>
                <c:ptCount val="4"/>
                <c:pt idx="0">
                  <c:v>263990.48880836717</c:v>
                </c:pt>
                <c:pt idx="1">
                  <c:v>124772.97069410505</c:v>
                </c:pt>
                <c:pt idx="2">
                  <c:v>25216.309910434997</c:v>
                </c:pt>
                <c:pt idx="3">
                  <c:v>0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upDownBars>
          <c:upBars/>
          <c:downBars/>
        </c:upDownBars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Variacion Porcentual en los Costos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04159"/>
        <c:crossesAt val="1"/>
        <c:crossBetween val="between"/>
        <c:dispUnits/>
        <c:majorUnit val="4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0</xdr:rowOff>
    </xdr:from>
    <xdr:to>
      <xdr:col>14</xdr:col>
      <xdr:colOff>104775</xdr:colOff>
      <xdr:row>44</xdr:row>
      <xdr:rowOff>0</xdr:rowOff>
    </xdr:to>
    <xdr:graphicFrame>
      <xdr:nvGraphicFramePr>
        <xdr:cNvPr id="1" name="Chart 6"/>
        <xdr:cNvGraphicFramePr/>
      </xdr:nvGraphicFramePr>
      <xdr:xfrm>
        <a:off x="3981450" y="7343775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84</xdr:row>
      <xdr:rowOff>47625</xdr:rowOff>
    </xdr:from>
    <xdr:to>
      <xdr:col>6</xdr:col>
      <xdr:colOff>228600</xdr:colOff>
      <xdr:row>98</xdr:row>
      <xdr:rowOff>47625</xdr:rowOff>
    </xdr:to>
    <xdr:graphicFrame>
      <xdr:nvGraphicFramePr>
        <xdr:cNvPr id="1" name="Chart 1"/>
        <xdr:cNvGraphicFramePr/>
      </xdr:nvGraphicFramePr>
      <xdr:xfrm>
        <a:off x="85725" y="13935075"/>
        <a:ext cx="35528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800100</xdr:colOff>
      <xdr:row>66</xdr:row>
      <xdr:rowOff>0</xdr:rowOff>
    </xdr:from>
    <xdr:to>
      <xdr:col>12</xdr:col>
      <xdr:colOff>400050</xdr:colOff>
      <xdr:row>83</xdr:row>
      <xdr:rowOff>38100</xdr:rowOff>
    </xdr:to>
    <xdr:graphicFrame>
      <xdr:nvGraphicFramePr>
        <xdr:cNvPr id="2" name="Chart 9"/>
        <xdr:cNvGraphicFramePr/>
      </xdr:nvGraphicFramePr>
      <xdr:xfrm>
        <a:off x="3019425" y="10972800"/>
        <a:ext cx="49434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IMACION%20DE%20VENTA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CION 1"/>
      <sheetName val="ANEXO 20"/>
      <sheetName val="FLUJO  FRANQUICIATARIO"/>
      <sheetName val="P y G  FRANQUICIATARIO"/>
      <sheetName val="P y G  FRANQUICIA"/>
      <sheetName val="P y G  FRANQUICIA (2)"/>
      <sheetName val="FLUJO  FRANQUICIA"/>
      <sheetName val="FLUJO  FRANQUICIA (2)"/>
      <sheetName val="BALANCE GENERAL"/>
      <sheetName val="INDICES"/>
      <sheetName val="SENCIBIL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7"/>
  <sheetViews>
    <sheetView workbookViewId="0" topLeftCell="A1">
      <selection activeCell="H152" sqref="H152"/>
    </sheetView>
  </sheetViews>
  <sheetFormatPr defaultColWidth="11.421875" defaultRowHeight="12.75"/>
  <cols>
    <col min="1" max="1" width="9.140625" style="3" customWidth="1"/>
    <col min="2" max="2" width="13.57421875" style="2" customWidth="1"/>
    <col min="3" max="3" width="11.140625" style="2" customWidth="1"/>
    <col min="4" max="4" width="8.8515625" style="2" customWidth="1"/>
    <col min="5" max="5" width="11.28125" style="2" customWidth="1"/>
    <col min="6" max="6" width="14.8515625" style="2" customWidth="1"/>
    <col min="7" max="7" width="12.140625" style="2" bestFit="1" customWidth="1"/>
    <col min="8" max="8" width="12.7109375" style="2" customWidth="1"/>
    <col min="9" max="9" width="14.28125" style="2" bestFit="1" customWidth="1"/>
    <col min="10" max="10" width="11.7109375" style="2" customWidth="1"/>
    <col min="11" max="11" width="9.28125" style="2" bestFit="1" customWidth="1"/>
    <col min="12" max="12" width="11.421875" style="2" customWidth="1"/>
    <col min="13" max="13" width="14.28125" style="2" bestFit="1" customWidth="1"/>
    <col min="14" max="15" width="11.421875" style="2" customWidth="1"/>
    <col min="16" max="16" width="12.28125" style="2" bestFit="1" customWidth="1"/>
    <col min="17" max="17" width="6.8515625" style="2" bestFit="1" customWidth="1"/>
    <col min="18" max="18" width="10.57421875" style="2" bestFit="1" customWidth="1"/>
    <col min="19" max="19" width="8.421875" style="2" bestFit="1" customWidth="1"/>
    <col min="20" max="16384" width="11.421875" style="2" customWidth="1"/>
  </cols>
  <sheetData>
    <row r="1" ht="13.5" thickBot="1"/>
    <row r="2" spans="1:20" s="4" customFormat="1" ht="13.5" thickBot="1">
      <c r="A2" s="11"/>
      <c r="B2" s="12" t="s">
        <v>0</v>
      </c>
      <c r="C2" s="12" t="s">
        <v>1</v>
      </c>
      <c r="D2" s="12" t="s">
        <v>2</v>
      </c>
      <c r="E2" s="12" t="s">
        <v>137</v>
      </c>
      <c r="F2" s="12" t="s">
        <v>140</v>
      </c>
      <c r="G2" s="13" t="s">
        <v>144</v>
      </c>
      <c r="I2" s="11" t="s">
        <v>10</v>
      </c>
      <c r="J2" s="19">
        <f>4.5%</f>
        <v>0.045</v>
      </c>
      <c r="L2" s="11" t="s">
        <v>159</v>
      </c>
      <c r="M2" s="13" t="s">
        <v>158</v>
      </c>
      <c r="P2" s="47" t="s">
        <v>203</v>
      </c>
      <c r="Q2" s="202" t="s">
        <v>204</v>
      </c>
      <c r="R2" s="48" t="s">
        <v>205</v>
      </c>
      <c r="S2" s="202" t="s">
        <v>206</v>
      </c>
      <c r="T2" s="4" t="s">
        <v>211</v>
      </c>
    </row>
    <row r="3" spans="1:21" ht="13.5" thickBot="1">
      <c r="A3" s="14" t="s">
        <v>4</v>
      </c>
      <c r="B3" s="9">
        <f>3009.84821242122</f>
        <v>3009.84821242122</v>
      </c>
      <c r="C3" s="10">
        <f>15.49</f>
        <v>15.49</v>
      </c>
      <c r="D3" s="10">
        <f>3.99+3</f>
        <v>6.99</v>
      </c>
      <c r="E3" s="10">
        <f>+B3*C3</f>
        <v>46622.548810404696</v>
      </c>
      <c r="F3" s="38">
        <v>0.45</v>
      </c>
      <c r="G3" s="77">
        <v>0.45</v>
      </c>
      <c r="H3" s="4">
        <f>+B3/$B$7</f>
        <v>0.5879475508409324</v>
      </c>
      <c r="I3" s="41" t="s">
        <v>9</v>
      </c>
      <c r="J3" s="44">
        <f>2.4%</f>
        <v>0.024</v>
      </c>
      <c r="L3" s="223">
        <f>3</f>
        <v>3</v>
      </c>
      <c r="M3" s="78">
        <v>2.19</v>
      </c>
      <c r="P3" s="73" t="s">
        <v>163</v>
      </c>
      <c r="Q3" s="203">
        <v>4</v>
      </c>
      <c r="R3" s="190">
        <v>700</v>
      </c>
      <c r="S3" s="204">
        <f>+R3*Q3</f>
        <v>2800</v>
      </c>
      <c r="T3" s="7">
        <v>3195.26</v>
      </c>
      <c r="U3" s="7">
        <v>3646.33</v>
      </c>
    </row>
    <row r="4" spans="1:21" ht="13.5" thickBot="1">
      <c r="A4" s="14" t="s">
        <v>5</v>
      </c>
      <c r="B4" s="9">
        <f>1703.53906144437</f>
        <v>1703.53906144437</v>
      </c>
      <c r="C4" s="10">
        <v>10.06</v>
      </c>
      <c r="D4" s="10">
        <f>2.46+1.76</f>
        <v>4.22</v>
      </c>
      <c r="E4" s="10">
        <f>+B4*C4</f>
        <v>17137.602958130363</v>
      </c>
      <c r="F4" s="38">
        <v>0.25</v>
      </c>
      <c r="G4" s="77">
        <v>0.25</v>
      </c>
      <c r="H4" s="4">
        <f>+B4/$B$7</f>
        <v>0.3327714715993485</v>
      </c>
      <c r="I4" s="16" t="s">
        <v>64</v>
      </c>
      <c r="J4" s="20">
        <v>0.05</v>
      </c>
      <c r="P4" s="73" t="s">
        <v>207</v>
      </c>
      <c r="Q4" s="205">
        <v>2</v>
      </c>
      <c r="R4" s="190">
        <v>75</v>
      </c>
      <c r="S4" s="206">
        <f aca="true" t="shared" si="0" ref="S4:S12">+R4*Q4</f>
        <v>150</v>
      </c>
      <c r="T4" s="7">
        <v>171.18</v>
      </c>
      <c r="U4" s="7">
        <v>195.34</v>
      </c>
    </row>
    <row r="5" spans="1:20" ht="12.75">
      <c r="A5" s="14" t="s">
        <v>7</v>
      </c>
      <c r="B5" s="9">
        <f>305.157019515336</f>
        <v>305.157019515336</v>
      </c>
      <c r="C5" s="10">
        <v>5.88</v>
      </c>
      <c r="D5" s="10">
        <f>1.42+1.125</f>
        <v>2.545</v>
      </c>
      <c r="E5" s="10">
        <f>+B5*C5</f>
        <v>1794.3232747501756</v>
      </c>
      <c r="F5" s="38">
        <v>0.15</v>
      </c>
      <c r="G5" s="77">
        <v>0.11</v>
      </c>
      <c r="H5" s="4">
        <f>+B5/$B$7</f>
        <v>0.05960975756369856</v>
      </c>
      <c r="P5" s="73" t="s">
        <v>165</v>
      </c>
      <c r="Q5" s="205">
        <v>1</v>
      </c>
      <c r="R5" s="190">
        <v>100</v>
      </c>
      <c r="S5" s="206">
        <f t="shared" si="0"/>
        <v>100</v>
      </c>
      <c r="T5" s="7"/>
    </row>
    <row r="6" spans="1:20" ht="12.75">
      <c r="A6" s="14" t="s">
        <v>6</v>
      </c>
      <c r="B6" s="9">
        <f>100.701816440061</f>
        <v>100.701816440061</v>
      </c>
      <c r="C6" s="10">
        <v>2.58</v>
      </c>
      <c r="D6" s="10">
        <f>0.84+0.75</f>
        <v>1.5899999999999999</v>
      </c>
      <c r="E6" s="10">
        <f>+B6*C6</f>
        <v>259.8106864153574</v>
      </c>
      <c r="F6" s="38">
        <v>0.06</v>
      </c>
      <c r="G6" s="77">
        <v>0.06</v>
      </c>
      <c r="H6" s="4">
        <f>+B6/$B$7</f>
        <v>0.019671219996020547</v>
      </c>
      <c r="J6" s="251"/>
      <c r="P6" s="73" t="s">
        <v>166</v>
      </c>
      <c r="Q6" s="205">
        <v>1</v>
      </c>
      <c r="R6" s="190">
        <v>1200</v>
      </c>
      <c r="S6" s="206">
        <f t="shared" si="0"/>
        <v>1200</v>
      </c>
      <c r="T6" s="5"/>
    </row>
    <row r="7" spans="1:20" ht="13.5" thickBot="1">
      <c r="A7" s="16" t="s">
        <v>8</v>
      </c>
      <c r="B7" s="130">
        <f>SUM(B3:B6)</f>
        <v>5119.246109820987</v>
      </c>
      <c r="C7" s="17">
        <v>12.855731</v>
      </c>
      <c r="D7" s="132">
        <v>5.69678</v>
      </c>
      <c r="E7" s="17">
        <f>SUM(E3:E6)</f>
        <v>65814.28572970058</v>
      </c>
      <c r="F7" s="17">
        <v>0.357873</v>
      </c>
      <c r="G7" s="18">
        <v>0.3558</v>
      </c>
      <c r="J7" s="250"/>
      <c r="K7" s="251"/>
      <c r="P7" s="73" t="s">
        <v>167</v>
      </c>
      <c r="Q7" s="205">
        <v>1</v>
      </c>
      <c r="R7" s="190">
        <v>2500</v>
      </c>
      <c r="S7" s="206">
        <f t="shared" si="0"/>
        <v>2500</v>
      </c>
      <c r="T7" s="5"/>
    </row>
    <row r="8" spans="1:20" ht="13.5" thickBot="1">
      <c r="A8" s="74"/>
      <c r="B8" s="307"/>
      <c r="C8" s="129"/>
      <c r="D8" s="308"/>
      <c r="E8" s="6"/>
      <c r="F8" s="6"/>
      <c r="G8" s="6"/>
      <c r="P8" s="73" t="s">
        <v>168</v>
      </c>
      <c r="Q8" s="205">
        <v>1</v>
      </c>
      <c r="R8" s="190">
        <v>500</v>
      </c>
      <c r="S8" s="206">
        <f t="shared" si="0"/>
        <v>500</v>
      </c>
      <c r="T8" s="5"/>
    </row>
    <row r="9" spans="1:20" ht="14.25" thickBot="1">
      <c r="A9" s="39"/>
      <c r="B9" s="12" t="s">
        <v>0</v>
      </c>
      <c r="C9" s="12" t="s">
        <v>1</v>
      </c>
      <c r="D9" s="12" t="s">
        <v>2</v>
      </c>
      <c r="E9" s="136" t="s">
        <v>156</v>
      </c>
      <c r="F9" s="136" t="s">
        <v>157</v>
      </c>
      <c r="G9" s="137" t="s">
        <v>158</v>
      </c>
      <c r="H9" s="13" t="s">
        <v>159</v>
      </c>
      <c r="K9" s="366" t="s">
        <v>143</v>
      </c>
      <c r="L9" s="367"/>
      <c r="M9" s="367"/>
      <c r="N9" s="368"/>
      <c r="P9" s="73" t="s">
        <v>208</v>
      </c>
      <c r="Q9" s="205">
        <v>1</v>
      </c>
      <c r="R9" s="190">
        <v>200</v>
      </c>
      <c r="S9" s="206">
        <f t="shared" si="0"/>
        <v>200</v>
      </c>
      <c r="T9" s="5"/>
    </row>
    <row r="10" spans="1:20" ht="12.75">
      <c r="A10" s="42">
        <v>2004</v>
      </c>
      <c r="B10" s="9">
        <f>+B7*12</f>
        <v>61430.95331785185</v>
      </c>
      <c r="C10" s="10">
        <v>12.855731</v>
      </c>
      <c r="D10" s="10">
        <v>5.69678</v>
      </c>
      <c r="E10" s="10">
        <v>0.98</v>
      </c>
      <c r="F10" s="10">
        <v>1.2453</v>
      </c>
      <c r="G10" s="10">
        <f>+F7*M3</f>
        <v>0.78374187</v>
      </c>
      <c r="H10" s="15">
        <f>+G7*L3</f>
        <v>1.0674000000000001</v>
      </c>
      <c r="K10" s="39"/>
      <c r="L10" s="12" t="s">
        <v>72</v>
      </c>
      <c r="M10" s="12" t="s">
        <v>141</v>
      </c>
      <c r="N10" s="13" t="s">
        <v>142</v>
      </c>
      <c r="P10" s="73" t="s">
        <v>184</v>
      </c>
      <c r="Q10" s="205">
        <v>1</v>
      </c>
      <c r="R10" s="190">
        <v>4500</v>
      </c>
      <c r="S10" s="206">
        <f t="shared" si="0"/>
        <v>4500</v>
      </c>
      <c r="T10" s="5"/>
    </row>
    <row r="11" spans="1:20" ht="12.75">
      <c r="A11" s="42">
        <v>2005</v>
      </c>
      <c r="B11" s="9">
        <f aca="true" t="shared" si="1" ref="B11:B16">+B10*(1+$J$3)</f>
        <v>62905.29619748029</v>
      </c>
      <c r="C11" s="10">
        <f aca="true" t="shared" si="2" ref="C11:H16">+C10*(1+$J$2)</f>
        <v>13.434238895</v>
      </c>
      <c r="D11" s="10">
        <f t="shared" si="2"/>
        <v>5.9531351</v>
      </c>
      <c r="E11" s="10">
        <f t="shared" si="2"/>
        <v>1.0241</v>
      </c>
      <c r="F11" s="10">
        <f t="shared" si="2"/>
        <v>1.3013385</v>
      </c>
      <c r="G11" s="10">
        <f t="shared" si="2"/>
        <v>0.8190102541499998</v>
      </c>
      <c r="H11" s="15">
        <f t="shared" si="2"/>
        <v>1.1154330000000001</v>
      </c>
      <c r="K11" s="42">
        <v>2004</v>
      </c>
      <c r="L11" s="10">
        <f>+D62</f>
        <v>78973.9810927861</v>
      </c>
      <c r="M11" s="10">
        <f>+D73</f>
        <v>120404.6685029896</v>
      </c>
      <c r="N11" s="15">
        <f>+D84</f>
        <v>152999.9323334418</v>
      </c>
      <c r="P11" s="73" t="s">
        <v>209</v>
      </c>
      <c r="Q11" s="205">
        <v>1</v>
      </c>
      <c r="R11" s="190">
        <v>25000</v>
      </c>
      <c r="S11" s="206">
        <f t="shared" si="0"/>
        <v>25000</v>
      </c>
      <c r="T11" s="7">
        <f>+G152</f>
        <v>31154.548441328116</v>
      </c>
    </row>
    <row r="12" spans="1:20" ht="13.5" thickBot="1">
      <c r="A12" s="42">
        <v>2006</v>
      </c>
      <c r="B12" s="9">
        <f t="shared" si="1"/>
        <v>64415.02330621982</v>
      </c>
      <c r="C12" s="10">
        <f t="shared" si="2"/>
        <v>14.038779645275</v>
      </c>
      <c r="D12" s="10">
        <f t="shared" si="2"/>
        <v>6.221026179499999</v>
      </c>
      <c r="E12" s="10">
        <f t="shared" si="2"/>
        <v>1.0701844999999999</v>
      </c>
      <c r="F12" s="10">
        <f t="shared" si="2"/>
        <v>1.3598987324999998</v>
      </c>
      <c r="G12" s="10">
        <f t="shared" si="2"/>
        <v>0.8558657155867497</v>
      </c>
      <c r="H12" s="15">
        <f t="shared" si="2"/>
        <v>1.1656274850000001</v>
      </c>
      <c r="K12" s="42">
        <v>2005</v>
      </c>
      <c r="L12" s="10">
        <f>+G62</f>
        <v>211271.19421942136</v>
      </c>
      <c r="M12" s="10">
        <f>+G73</f>
        <v>322106.56917919783</v>
      </c>
      <c r="N12" s="15">
        <f>+G84</f>
        <v>409305.4189784236</v>
      </c>
      <c r="P12" s="73" t="s">
        <v>210</v>
      </c>
      <c r="Q12" s="205">
        <v>2</v>
      </c>
      <c r="R12" s="190">
        <v>1200</v>
      </c>
      <c r="S12" s="206">
        <f t="shared" si="0"/>
        <v>2400</v>
      </c>
      <c r="T12" s="5"/>
    </row>
    <row r="13" spans="1:19" ht="13.5" thickBot="1">
      <c r="A13" s="42">
        <v>2007</v>
      </c>
      <c r="B13" s="9">
        <f t="shared" si="1"/>
        <v>65960.9838655691</v>
      </c>
      <c r="C13" s="10">
        <f t="shared" si="2"/>
        <v>14.670524729312374</v>
      </c>
      <c r="D13" s="10">
        <f t="shared" si="2"/>
        <v>6.500972357577498</v>
      </c>
      <c r="E13" s="10">
        <f t="shared" si="2"/>
        <v>1.1183428024999997</v>
      </c>
      <c r="F13" s="10">
        <f t="shared" si="2"/>
        <v>1.4210941754624997</v>
      </c>
      <c r="G13" s="10">
        <f t="shared" si="2"/>
        <v>0.8943796727881534</v>
      </c>
      <c r="H13" s="15">
        <f t="shared" si="2"/>
        <v>1.218080721825</v>
      </c>
      <c r="K13" s="42">
        <v>2006</v>
      </c>
      <c r="L13" s="10">
        <f>+D22*6</f>
        <v>271292.49541238206</v>
      </c>
      <c r="M13" s="10">
        <f>+B12*E12*6</f>
        <v>413615.75705673115</v>
      </c>
      <c r="N13" s="15">
        <f>+B12*6*F12</f>
        <v>525587.4512885177</v>
      </c>
      <c r="P13" s="72" t="s">
        <v>170</v>
      </c>
      <c r="Q13" s="207"/>
      <c r="R13" s="51"/>
      <c r="S13" s="208">
        <f>SUM(S3:S12)</f>
        <v>39350</v>
      </c>
    </row>
    <row r="14" spans="1:14" ht="12.75">
      <c r="A14" s="42">
        <v>2008</v>
      </c>
      <c r="B14" s="9">
        <f t="shared" si="1"/>
        <v>67544.04747834276</v>
      </c>
      <c r="C14" s="10">
        <f t="shared" si="2"/>
        <v>15.33069834213143</v>
      </c>
      <c r="D14" s="10">
        <f t="shared" si="2"/>
        <v>6.793516113668486</v>
      </c>
      <c r="E14" s="10">
        <f t="shared" si="2"/>
        <v>1.1686682286124996</v>
      </c>
      <c r="F14" s="10">
        <f t="shared" si="2"/>
        <v>1.4850434133583121</v>
      </c>
      <c r="G14" s="10">
        <f t="shared" si="2"/>
        <v>0.9346267580636203</v>
      </c>
      <c r="H14" s="15">
        <f t="shared" si="2"/>
        <v>1.272894354307125</v>
      </c>
      <c r="K14" s="42">
        <v>2007</v>
      </c>
      <c r="L14" s="10">
        <f>+D23*6</f>
        <v>290304.6734908818</v>
      </c>
      <c r="M14" s="10">
        <f>+B13*E13*6</f>
        <v>442601.9493112669</v>
      </c>
      <c r="N14" s="15">
        <f>+B13*6*F13</f>
        <v>562420.619874817</v>
      </c>
    </row>
    <row r="15" spans="1:14" ht="12.75">
      <c r="A15" s="42">
        <v>2009</v>
      </c>
      <c r="B15" s="9">
        <f t="shared" si="1"/>
        <v>69165.10461782299</v>
      </c>
      <c r="C15" s="10">
        <f t="shared" si="2"/>
        <v>16.020579767527344</v>
      </c>
      <c r="D15" s="10">
        <f t="shared" si="2"/>
        <v>7.099224338783567</v>
      </c>
      <c r="E15" s="10">
        <f t="shared" si="2"/>
        <v>1.221258298900062</v>
      </c>
      <c r="F15" s="10">
        <f t="shared" si="2"/>
        <v>1.551870366959436</v>
      </c>
      <c r="G15" s="10">
        <f t="shared" si="2"/>
        <v>0.9766849621764832</v>
      </c>
      <c r="H15" s="15">
        <f t="shared" si="2"/>
        <v>1.3301746002509456</v>
      </c>
      <c r="K15" s="42">
        <v>2008</v>
      </c>
      <c r="L15" s="10">
        <f>+D24*6</f>
        <v>310649.22500912286</v>
      </c>
      <c r="M15" s="10">
        <f>+B14*E14*6</f>
        <v>473619.4939190005</v>
      </c>
      <c r="N15" s="15">
        <f>+B14*6*F14</f>
        <v>601835.0569156442</v>
      </c>
    </row>
    <row r="16" spans="1:14" ht="13.5" thickBot="1">
      <c r="A16" s="43">
        <v>2010</v>
      </c>
      <c r="B16" s="130">
        <f t="shared" si="1"/>
        <v>70825.06712865074</v>
      </c>
      <c r="C16" s="17">
        <f t="shared" si="2"/>
        <v>16.741505857066073</v>
      </c>
      <c r="D16" s="17">
        <f t="shared" si="2"/>
        <v>7.418689434028827</v>
      </c>
      <c r="E16" s="17">
        <f t="shared" si="2"/>
        <v>1.2762149223505648</v>
      </c>
      <c r="F16" s="17">
        <f t="shared" si="2"/>
        <v>1.6217045334726106</v>
      </c>
      <c r="G16" s="17">
        <f t="shared" si="2"/>
        <v>1.0206357854744248</v>
      </c>
      <c r="H16" s="18">
        <f t="shared" si="2"/>
        <v>1.390032457262238</v>
      </c>
      <c r="K16" s="42">
        <v>2009</v>
      </c>
      <c r="L16" s="10">
        <f>+D25*6</f>
        <v>332419.5226977621</v>
      </c>
      <c r="M16" s="10">
        <f>+B15*E15*6</f>
        <v>506810.74805284396</v>
      </c>
      <c r="N16" s="15">
        <f>+B15*6*F15</f>
        <v>644011.6577042926</v>
      </c>
    </row>
    <row r="17" spans="1:14" ht="13.5" thickBot="1">
      <c r="A17" s="74"/>
      <c r="B17" s="129"/>
      <c r="C17" s="129"/>
      <c r="D17" s="129"/>
      <c r="E17" s="6"/>
      <c r="F17" s="6"/>
      <c r="G17" s="6"/>
      <c r="K17" s="43">
        <v>2010</v>
      </c>
      <c r="L17" s="10">
        <f>+D26*6</f>
        <v>355715.4828484213</v>
      </c>
      <c r="M17" s="10">
        <f>+B16*E16*6</f>
        <v>542328.0452763872</v>
      </c>
      <c r="N17" s="15">
        <f>+B16*6*F16</f>
        <v>689143.9946762093</v>
      </c>
    </row>
    <row r="18" spans="6:9" ht="13.5" thickBot="1">
      <c r="F18" s="371" t="s">
        <v>73</v>
      </c>
      <c r="G18" s="372"/>
      <c r="H18" s="372"/>
      <c r="I18" s="373"/>
    </row>
    <row r="19" spans="1:14" ht="14.25" thickBot="1">
      <c r="A19" s="39"/>
      <c r="B19" s="12" t="s">
        <v>62</v>
      </c>
      <c r="C19" s="12" t="s">
        <v>3</v>
      </c>
      <c r="D19" s="13" t="s">
        <v>72</v>
      </c>
      <c r="F19" s="59" t="s">
        <v>45</v>
      </c>
      <c r="G19" s="60" t="s">
        <v>46</v>
      </c>
      <c r="H19" s="61" t="s">
        <v>47</v>
      </c>
      <c r="I19" s="60" t="s">
        <v>48</v>
      </c>
      <c r="K19" s="366" t="s">
        <v>152</v>
      </c>
      <c r="L19" s="367"/>
      <c r="M19" s="367"/>
      <c r="N19" s="368"/>
    </row>
    <row r="20" spans="1:14" ht="12.75">
      <c r="A20" s="42">
        <v>2004</v>
      </c>
      <c r="B20" s="10">
        <f aca="true" t="shared" si="3" ref="B20:B26">+B10*C10</f>
        <v>789739.8109278609</v>
      </c>
      <c r="C20" s="10">
        <f aca="true" t="shared" si="4" ref="C20:C26">+B10*D10</f>
        <v>349958.6262420721</v>
      </c>
      <c r="D20" s="45">
        <f aca="true" t="shared" si="5" ref="D20:D26">+B20*$J$4</f>
        <v>39486.99054639305</v>
      </c>
      <c r="F20" s="62" t="s">
        <v>74</v>
      </c>
      <c r="G20" s="40">
        <v>1</v>
      </c>
      <c r="H20" s="63">
        <v>450</v>
      </c>
      <c r="I20" s="64">
        <f>+H20*G20</f>
        <v>450</v>
      </c>
      <c r="K20" s="39"/>
      <c r="L20" s="12" t="s">
        <v>82</v>
      </c>
      <c r="M20" s="12" t="s">
        <v>141</v>
      </c>
      <c r="N20" s="13" t="s">
        <v>142</v>
      </c>
    </row>
    <row r="21" spans="1:14" ht="14.25" customHeight="1">
      <c r="A21" s="42">
        <v>2005</v>
      </c>
      <c r="B21" s="10">
        <f t="shared" si="3"/>
        <v>845084.7768776853</v>
      </c>
      <c r="C21" s="10">
        <f t="shared" si="4"/>
        <v>374483.7267691164</v>
      </c>
      <c r="D21" s="45">
        <f t="shared" si="5"/>
        <v>42254.23884388427</v>
      </c>
      <c r="F21" s="65" t="s">
        <v>75</v>
      </c>
      <c r="G21" s="38">
        <v>1</v>
      </c>
      <c r="H21" s="9">
        <v>350</v>
      </c>
      <c r="I21" s="66">
        <f aca="true" t="shared" si="6" ref="I21:I27">+H21*G21</f>
        <v>350</v>
      </c>
      <c r="K21" s="42">
        <v>2004</v>
      </c>
      <c r="L21" s="10">
        <f>+D97</f>
        <v>48000</v>
      </c>
      <c r="M21" s="10">
        <f>+D108</f>
        <v>96292.02045843181</v>
      </c>
      <c r="N21" s="15">
        <f>+D119</f>
        <v>131142.79914295013</v>
      </c>
    </row>
    <row r="22" spans="1:14" ht="12.75">
      <c r="A22" s="42">
        <v>2006</v>
      </c>
      <c r="B22" s="10">
        <f t="shared" si="3"/>
        <v>904308.3180412735</v>
      </c>
      <c r="C22" s="10">
        <f t="shared" si="4"/>
        <v>400727.54634109605</v>
      </c>
      <c r="D22" s="45">
        <f t="shared" si="5"/>
        <v>45215.41590206368</v>
      </c>
      <c r="F22" s="65" t="s">
        <v>76</v>
      </c>
      <c r="G22" s="38">
        <v>2</v>
      </c>
      <c r="H22" s="9">
        <v>280</v>
      </c>
      <c r="I22" s="66">
        <f t="shared" si="6"/>
        <v>560</v>
      </c>
      <c r="K22" s="42">
        <v>2005</v>
      </c>
      <c r="L22" s="10">
        <f>+G97</f>
        <v>125400</v>
      </c>
      <c r="M22" s="10">
        <f>+G108</f>
        <v>257600.41313039674</v>
      </c>
      <c r="N22" s="15">
        <f>+G119</f>
        <v>350833.2162672202</v>
      </c>
    </row>
    <row r="23" spans="1:14" ht="12.75">
      <c r="A23" s="42">
        <v>2007</v>
      </c>
      <c r="B23" s="10">
        <f t="shared" si="3"/>
        <v>967682.2449696059</v>
      </c>
      <c r="C23" s="10">
        <f t="shared" si="4"/>
        <v>428810.53278868005</v>
      </c>
      <c r="D23" s="45">
        <f t="shared" si="5"/>
        <v>48384.1122484803</v>
      </c>
      <c r="F23" s="67" t="s">
        <v>77</v>
      </c>
      <c r="G23" s="38">
        <v>1</v>
      </c>
      <c r="H23" s="9">
        <v>280</v>
      </c>
      <c r="I23" s="66">
        <f t="shared" si="6"/>
        <v>280</v>
      </c>
      <c r="K23" s="42">
        <v>2006</v>
      </c>
      <c r="L23" s="10">
        <f>+L22*(1+$J$2)</f>
        <v>131042.99999999999</v>
      </c>
      <c r="M23" s="10">
        <f>+B12*G12*6</f>
        <v>330783.6600990899</v>
      </c>
      <c r="N23" s="15">
        <f>+B12*H12*6</f>
        <v>450503.5296758724</v>
      </c>
    </row>
    <row r="24" spans="1:14" ht="12.75">
      <c r="A24" s="42">
        <v>2008</v>
      </c>
      <c r="B24" s="10">
        <f t="shared" si="3"/>
        <v>1035497.416697076</v>
      </c>
      <c r="C24" s="10">
        <f t="shared" si="4"/>
        <v>458861.5749265108</v>
      </c>
      <c r="D24" s="45">
        <f t="shared" si="5"/>
        <v>51774.870834853806</v>
      </c>
      <c r="F24" s="67" t="s">
        <v>78</v>
      </c>
      <c r="G24" s="38">
        <v>10</v>
      </c>
      <c r="H24" s="9">
        <v>220</v>
      </c>
      <c r="I24" s="66">
        <f t="shared" si="6"/>
        <v>2200</v>
      </c>
      <c r="K24" s="42">
        <v>2007</v>
      </c>
      <c r="L24" s="10">
        <f>+L23*(1+$J$2)</f>
        <v>136939.93499999997</v>
      </c>
      <c r="M24" s="10">
        <f>+B13*G13*6</f>
        <v>353964.97899883415</v>
      </c>
      <c r="N24" s="15">
        <f>+B13*H13*6</f>
        <v>482074.8170355575</v>
      </c>
    </row>
    <row r="25" spans="1:14" ht="12.75">
      <c r="A25" s="42">
        <v>2009</v>
      </c>
      <c r="B25" s="10">
        <f t="shared" si="3"/>
        <v>1108065.075659207</v>
      </c>
      <c r="C25" s="10">
        <f t="shared" si="4"/>
        <v>491018.5940973606</v>
      </c>
      <c r="D25" s="45">
        <f t="shared" si="5"/>
        <v>55403.25378296035</v>
      </c>
      <c r="F25" s="67" t="s">
        <v>79</v>
      </c>
      <c r="G25" s="38">
        <v>4</v>
      </c>
      <c r="H25" s="9">
        <v>180</v>
      </c>
      <c r="I25" s="66">
        <f t="shared" si="6"/>
        <v>720</v>
      </c>
      <c r="K25" s="42">
        <v>2008</v>
      </c>
      <c r="L25" s="10">
        <f>+L24*(1+$J$2)</f>
        <v>143102.23207499995</v>
      </c>
      <c r="M25" s="10">
        <f>+B14*G14*6</f>
        <v>378770.84472707246</v>
      </c>
      <c r="N25" s="15">
        <f>+B14*H14*6</f>
        <v>515858.6202134094</v>
      </c>
    </row>
    <row r="26" spans="1:14" ht="13.5" thickBot="1">
      <c r="A26" s="43">
        <v>2010</v>
      </c>
      <c r="B26" s="10">
        <f t="shared" si="3"/>
        <v>1185718.2761614043</v>
      </c>
      <c r="C26" s="10">
        <f t="shared" si="4"/>
        <v>525429.1771717037</v>
      </c>
      <c r="D26" s="46">
        <f t="shared" si="5"/>
        <v>59285.91380807022</v>
      </c>
      <c r="F26" s="67" t="s">
        <v>80</v>
      </c>
      <c r="G26" s="38">
        <v>5</v>
      </c>
      <c r="H26" s="9">
        <v>300</v>
      </c>
      <c r="I26" s="66">
        <f t="shared" si="6"/>
        <v>1500</v>
      </c>
      <c r="K26" s="42">
        <v>2009</v>
      </c>
      <c r="L26" s="10">
        <f>+L25*(1+$J$2)</f>
        <v>149541.83251837493</v>
      </c>
      <c r="M26" s="10">
        <f>+B15*G15*6</f>
        <v>405315.10552554566</v>
      </c>
      <c r="N26" s="15">
        <f>+B15*H15*6</f>
        <v>552009.9923179651</v>
      </c>
    </row>
    <row r="27" spans="6:14" ht="13.5" thickBot="1">
      <c r="F27" s="67" t="s">
        <v>81</v>
      </c>
      <c r="G27" s="38">
        <v>1</v>
      </c>
      <c r="H27" s="9">
        <v>350</v>
      </c>
      <c r="I27" s="66">
        <f t="shared" si="6"/>
        <v>350</v>
      </c>
      <c r="K27" s="43">
        <v>2010</v>
      </c>
      <c r="L27" s="10">
        <f>+L26*(1+$J$2)</f>
        <v>156271.21498170178</v>
      </c>
      <c r="M27" s="10">
        <f>+B16*G16*6</f>
        <v>433719.5881207759</v>
      </c>
      <c r="N27" s="15">
        <f>+B16*H16*6</f>
        <v>590694.8525796081</v>
      </c>
    </row>
    <row r="28" spans="1:9" ht="13.5" thickBot="1">
      <c r="A28" s="2"/>
      <c r="F28" s="68" t="s">
        <v>8</v>
      </c>
      <c r="G28" s="69"/>
      <c r="H28" s="70"/>
      <c r="I28" s="71">
        <f>SUM(I20:I27)</f>
        <v>6410</v>
      </c>
    </row>
    <row r="29" spans="1:4" ht="14.25" customHeight="1" thickBot="1">
      <c r="A29" s="374" t="s">
        <v>90</v>
      </c>
      <c r="B29" s="375"/>
      <c r="C29" s="75">
        <f>+(C30+C31+C32+C33)*0.5</f>
        <v>1470</v>
      </c>
      <c r="D29" s="76">
        <f>+C29*12</f>
        <v>17640</v>
      </c>
    </row>
    <row r="30" spans="1:8" ht="13.5" customHeight="1">
      <c r="A30" s="376" t="s">
        <v>26</v>
      </c>
      <c r="B30" s="377"/>
      <c r="C30" s="10">
        <v>795</v>
      </c>
      <c r="D30" s="45">
        <f>+C30*12</f>
        <v>9540</v>
      </c>
      <c r="F30" s="11" t="s">
        <v>93</v>
      </c>
      <c r="G30" s="12" t="s">
        <v>1</v>
      </c>
      <c r="H30" s="13" t="s">
        <v>3</v>
      </c>
    </row>
    <row r="31" spans="1:8" ht="13.5" customHeight="1">
      <c r="A31" s="376" t="s">
        <v>25</v>
      </c>
      <c r="B31" s="377"/>
      <c r="C31" s="10">
        <v>545</v>
      </c>
      <c r="D31" s="45">
        <f>+C31*12</f>
        <v>6540</v>
      </c>
      <c r="F31" s="80" t="s">
        <v>94</v>
      </c>
      <c r="G31" s="10">
        <f>+(B3+B4)*1.5*12</f>
        <v>84840.97092958062</v>
      </c>
      <c r="H31" s="15">
        <f>+(B3+B4)*1.2*12</f>
        <v>67872.7767436645</v>
      </c>
    </row>
    <row r="32" spans="1:8" ht="13.5" customHeight="1">
      <c r="A32" s="376" t="s">
        <v>24</v>
      </c>
      <c r="B32" s="377"/>
      <c r="C32" s="10">
        <v>1200</v>
      </c>
      <c r="D32" s="45">
        <f>+C32*12</f>
        <v>14400</v>
      </c>
      <c r="F32" s="80" t="s">
        <v>95</v>
      </c>
      <c r="G32" s="10">
        <f>+(B5+B6)*0.6*12</f>
        <v>2922.1836188788584</v>
      </c>
      <c r="H32" s="15">
        <f>+(B5+B6)*0.4*12</f>
        <v>1948.1224125859057</v>
      </c>
    </row>
    <row r="33" spans="1:8" ht="13.5" customHeight="1" thickBot="1">
      <c r="A33" s="376" t="s">
        <v>82</v>
      </c>
      <c r="B33" s="377"/>
      <c r="C33" s="38">
        <v>400</v>
      </c>
      <c r="D33" s="45">
        <f>+C33*12</f>
        <v>4800</v>
      </c>
      <c r="F33" s="43" t="s">
        <v>8</v>
      </c>
      <c r="G33" s="81">
        <f>SUM(G31:G32)</f>
        <v>87763.15454845948</v>
      </c>
      <c r="H33" s="82">
        <f>SUM(H31:H32)</f>
        <v>69820.8991562504</v>
      </c>
    </row>
    <row r="34" spans="1:4" ht="13.5" customHeight="1" thickBot="1">
      <c r="A34" s="378" t="s">
        <v>27</v>
      </c>
      <c r="B34" s="379"/>
      <c r="C34" s="17">
        <v>108297.8</v>
      </c>
      <c r="D34" s="46">
        <f>+C34/10</f>
        <v>10829.78</v>
      </c>
    </row>
    <row r="35" ht="13.5" customHeight="1" thickBot="1"/>
    <row r="36" spans="1:11" s="4" customFormat="1" ht="12.75">
      <c r="A36" s="11"/>
      <c r="B36" s="12" t="s">
        <v>84</v>
      </c>
      <c r="C36" s="12" t="s">
        <v>24</v>
      </c>
      <c r="D36" s="12" t="s">
        <v>85</v>
      </c>
      <c r="E36" s="12" t="s">
        <v>82</v>
      </c>
      <c r="F36" s="12" t="s">
        <v>86</v>
      </c>
      <c r="G36" s="12" t="s">
        <v>87</v>
      </c>
      <c r="H36" s="12" t="s">
        <v>89</v>
      </c>
      <c r="I36" s="12" t="s">
        <v>27</v>
      </c>
      <c r="J36" s="12" t="s">
        <v>96</v>
      </c>
      <c r="K36" s="13" t="s">
        <v>97</v>
      </c>
    </row>
    <row r="37" spans="1:11" ht="12.75">
      <c r="A37" s="42">
        <v>2004</v>
      </c>
      <c r="B37" s="10">
        <f>+D30</f>
        <v>9540</v>
      </c>
      <c r="C37" s="10">
        <f>+D32</f>
        <v>14400</v>
      </c>
      <c r="D37" s="10">
        <f>+D31</f>
        <v>6540</v>
      </c>
      <c r="E37" s="10">
        <f>+D33</f>
        <v>4800</v>
      </c>
      <c r="F37" s="10">
        <f>+(I20+I21+I22)*12</f>
        <v>16320</v>
      </c>
      <c r="G37" s="10">
        <f>+(I23+I24+I25+I26+I27)*12</f>
        <v>60600</v>
      </c>
      <c r="H37" s="10">
        <f>+D29</f>
        <v>17640</v>
      </c>
      <c r="I37" s="10">
        <f>+$D$34</f>
        <v>10829.78</v>
      </c>
      <c r="J37" s="10">
        <f>+G33</f>
        <v>87763.15454845948</v>
      </c>
      <c r="K37" s="15">
        <f>+H33</f>
        <v>69820.8991562504</v>
      </c>
    </row>
    <row r="38" spans="1:11" ht="12.75">
      <c r="A38" s="42">
        <v>2005</v>
      </c>
      <c r="B38" s="10">
        <f>+B37*(1+$J$2)*(1+$J$3)</f>
        <v>10208.563199999999</v>
      </c>
      <c r="C38" s="10">
        <f>+C37*(1+$J$2)</f>
        <v>15047.999999999998</v>
      </c>
      <c r="D38" s="10">
        <f aca="true" t="shared" si="7" ref="D38:E41">+D37*(1+$J$2)*(1+$J$3)</f>
        <v>6998.3232</v>
      </c>
      <c r="E38" s="10">
        <f t="shared" si="7"/>
        <v>5136.384</v>
      </c>
      <c r="F38" s="10">
        <f aca="true" t="shared" si="8" ref="F38:H41">+F37*(1+$J$2)</f>
        <v>17054.399999999998</v>
      </c>
      <c r="G38" s="10">
        <f t="shared" si="8"/>
        <v>63326.99999999999</v>
      </c>
      <c r="H38" s="10">
        <f t="shared" si="8"/>
        <v>18433.8</v>
      </c>
      <c r="I38" s="10">
        <f>+$D$34</f>
        <v>10829.78</v>
      </c>
      <c r="J38" s="10">
        <f aca="true" t="shared" si="9" ref="J38:K41">+J37*(1+$J$2)*(1+$J$3)</f>
        <v>93913.59641921552</v>
      </c>
      <c r="K38" s="15">
        <f t="shared" si="9"/>
        <v>74713.94776912041</v>
      </c>
    </row>
    <row r="39" spans="1:11" ht="12.75">
      <c r="A39" s="42">
        <v>2006</v>
      </c>
      <c r="B39" s="10">
        <f>+B38*(1+$J$2)*(1+$J$3)</f>
        <v>10923.979309055998</v>
      </c>
      <c r="C39" s="10">
        <f>+C38*(1+$J$2)</f>
        <v>15725.159999999996</v>
      </c>
      <c r="D39" s="10">
        <f t="shared" si="7"/>
        <v>7488.765689856</v>
      </c>
      <c r="E39" s="10">
        <f t="shared" si="7"/>
        <v>5496.34179072</v>
      </c>
      <c r="F39" s="10">
        <f t="shared" si="8"/>
        <v>17821.847999999998</v>
      </c>
      <c r="G39" s="10">
        <f t="shared" si="8"/>
        <v>66176.71499999998</v>
      </c>
      <c r="H39" s="10">
        <f t="shared" si="8"/>
        <v>19263.320999999996</v>
      </c>
      <c r="I39" s="10">
        <f>+$D$34</f>
        <v>10829.78</v>
      </c>
      <c r="J39" s="10">
        <f t="shared" si="9"/>
        <v>100495.06125627413</v>
      </c>
      <c r="K39" s="15">
        <f t="shared" si="9"/>
        <v>79949.90122878036</v>
      </c>
    </row>
    <row r="40" spans="1:11" ht="12.75">
      <c r="A40" s="42">
        <v>2007</v>
      </c>
      <c r="B40" s="10">
        <f>+B39*(1+$J$2)*(1+$J$3)</f>
        <v>11689.531779034642</v>
      </c>
      <c r="C40" s="10">
        <f>+C39*(1+$J$2)</f>
        <v>16432.792199999996</v>
      </c>
      <c r="D40" s="10">
        <f t="shared" si="7"/>
        <v>8013.578389401108</v>
      </c>
      <c r="E40" s="10">
        <f t="shared" si="7"/>
        <v>5881.525423413657</v>
      </c>
      <c r="F40" s="10">
        <f t="shared" si="8"/>
        <v>18623.831159999998</v>
      </c>
      <c r="G40" s="10">
        <f t="shared" si="8"/>
        <v>69154.66717499998</v>
      </c>
      <c r="H40" s="10">
        <f t="shared" si="8"/>
        <v>20130.170444999996</v>
      </c>
      <c r="I40" s="10">
        <f>+$D$34</f>
        <v>10829.78</v>
      </c>
      <c r="J40" s="10">
        <f t="shared" si="9"/>
        <v>107537.75514911381</v>
      </c>
      <c r="K40" s="15">
        <f t="shared" si="9"/>
        <v>85552.7903068933</v>
      </c>
    </row>
    <row r="41" spans="1:11" ht="13.5" thickBot="1">
      <c r="A41" s="43">
        <v>2008</v>
      </c>
      <c r="B41" s="17">
        <f>+B40*(1+$J$2)*(1+$J$3)</f>
        <v>12508.734166109389</v>
      </c>
      <c r="C41" s="17">
        <f>+C40*(1+$J$2)</f>
        <v>17172.267848999996</v>
      </c>
      <c r="D41" s="17">
        <f t="shared" si="7"/>
        <v>8575.169962930337</v>
      </c>
      <c r="E41" s="17">
        <f t="shared" si="7"/>
        <v>6293.702725086486</v>
      </c>
      <c r="F41" s="17">
        <f t="shared" si="8"/>
        <v>19461.903562199997</v>
      </c>
      <c r="G41" s="17">
        <f t="shared" si="8"/>
        <v>72266.62719787497</v>
      </c>
      <c r="H41" s="17">
        <f t="shared" si="8"/>
        <v>21036.028115024994</v>
      </c>
      <c r="I41" s="17">
        <f>+$D$34</f>
        <v>10829.78</v>
      </c>
      <c r="J41" s="17">
        <f t="shared" si="9"/>
        <v>115074.0010299637</v>
      </c>
      <c r="K41" s="18">
        <f t="shared" si="9"/>
        <v>91548.32985160037</v>
      </c>
    </row>
    <row r="43" ht="13.5" thickBot="1"/>
    <row r="44" spans="1:12" ht="12.75">
      <c r="A44" s="11"/>
      <c r="B44" s="12" t="s">
        <v>84</v>
      </c>
      <c r="C44" s="12" t="s">
        <v>24</v>
      </c>
      <c r="D44" s="12" t="s">
        <v>85</v>
      </c>
      <c r="E44" s="12" t="s">
        <v>82</v>
      </c>
      <c r="F44" s="12" t="s">
        <v>86</v>
      </c>
      <c r="G44" s="12" t="s">
        <v>87</v>
      </c>
      <c r="H44" s="12" t="s">
        <v>89</v>
      </c>
      <c r="I44" s="12" t="s">
        <v>27</v>
      </c>
      <c r="J44" s="12" t="s">
        <v>29</v>
      </c>
      <c r="K44" s="12" t="s">
        <v>173</v>
      </c>
      <c r="L44" s="13" t="s">
        <v>174</v>
      </c>
    </row>
    <row r="45" spans="1:12" ht="12.75">
      <c r="A45" s="42">
        <v>2004</v>
      </c>
      <c r="B45" s="10">
        <f>+L90</f>
        <v>4800</v>
      </c>
      <c r="C45" s="10">
        <f>+L92</f>
        <v>14400</v>
      </c>
      <c r="D45" s="10">
        <f>+L91</f>
        <v>3600</v>
      </c>
      <c r="E45" s="10">
        <f>+L93</f>
        <v>30000</v>
      </c>
      <c r="F45" s="10">
        <f>+(I123+I124+I125+I126+I127+I128+I129+I130+I131+I132+I133+I134)*12</f>
        <v>90600</v>
      </c>
      <c r="G45" s="10">
        <f>+I135*12</f>
        <v>4800</v>
      </c>
      <c r="H45" s="10">
        <f>+L89</f>
        <v>5280</v>
      </c>
      <c r="I45" s="10">
        <f>+C149</f>
        <v>6413.333333333334</v>
      </c>
      <c r="J45" s="10">
        <f>+L94</f>
        <v>6000</v>
      </c>
      <c r="K45" s="10">
        <v>54000</v>
      </c>
      <c r="L45" s="15">
        <v>21000</v>
      </c>
    </row>
    <row r="46" spans="1:12" ht="12.75">
      <c r="A46" s="42">
        <v>2005</v>
      </c>
      <c r="B46" s="10">
        <f aca="true" t="shared" si="10" ref="B46:B51">+B45*(1+$J$2)*(1+$J$3)</f>
        <v>5136.384</v>
      </c>
      <c r="C46" s="10">
        <f aca="true" t="shared" si="11" ref="C46:C51">+C45*(1+$J$2)</f>
        <v>15047.999999999998</v>
      </c>
      <c r="D46" s="10">
        <f aca="true" t="shared" si="12" ref="D46:E51">+D45*(1+$J$2)*(1+$J$3)</f>
        <v>3852.2879999999996</v>
      </c>
      <c r="E46" s="10">
        <f t="shared" si="12"/>
        <v>32102.399999999998</v>
      </c>
      <c r="F46" s="10">
        <f aca="true" t="shared" si="13" ref="F46:G51">+F45*(1+$J$2)</f>
        <v>94677</v>
      </c>
      <c r="G46" s="10">
        <f t="shared" si="13"/>
        <v>5016</v>
      </c>
      <c r="H46" s="10">
        <f aca="true" t="shared" si="14" ref="H46:H51">+H45*(1+0.01)</f>
        <v>5332.8</v>
      </c>
      <c r="I46" s="10">
        <f>+D149</f>
        <v>6413.333333333334</v>
      </c>
      <c r="J46" s="10">
        <f>+J45*(1+$J$2)</f>
        <v>6270</v>
      </c>
      <c r="K46" s="10">
        <f>+K45*(1+$J$2)</f>
        <v>56429.99999999999</v>
      </c>
      <c r="L46" s="15">
        <f>+L45*(1+$J$2)</f>
        <v>21945</v>
      </c>
    </row>
    <row r="47" spans="1:12" ht="12.75">
      <c r="A47" s="42">
        <v>2006</v>
      </c>
      <c r="B47" s="10">
        <f t="shared" si="10"/>
        <v>5496.34179072</v>
      </c>
      <c r="C47" s="10">
        <f t="shared" si="11"/>
        <v>15725.159999999996</v>
      </c>
      <c r="D47" s="10">
        <f t="shared" si="12"/>
        <v>4122.25634304</v>
      </c>
      <c r="E47" s="10">
        <f t="shared" si="12"/>
        <v>34352.136192</v>
      </c>
      <c r="F47" s="10">
        <f t="shared" si="13"/>
        <v>98937.465</v>
      </c>
      <c r="G47" s="10">
        <f t="shared" si="13"/>
        <v>5241.719999999999</v>
      </c>
      <c r="H47" s="10">
        <f t="shared" si="14"/>
        <v>5386.128000000001</v>
      </c>
      <c r="I47" s="10">
        <f>+E149</f>
        <v>6413.333333333334</v>
      </c>
      <c r="J47" s="10">
        <f>+J46/2</f>
        <v>3135</v>
      </c>
      <c r="K47" s="38">
        <v>0</v>
      </c>
      <c r="L47" s="77">
        <v>0</v>
      </c>
    </row>
    <row r="48" spans="1:12" ht="12.75">
      <c r="A48" s="42">
        <v>2007</v>
      </c>
      <c r="B48" s="10">
        <f t="shared" si="10"/>
        <v>5881.525423413657</v>
      </c>
      <c r="C48" s="10">
        <f t="shared" si="11"/>
        <v>16432.792199999996</v>
      </c>
      <c r="D48" s="10">
        <f t="shared" si="12"/>
        <v>4411.144067560243</v>
      </c>
      <c r="E48" s="10">
        <f t="shared" si="12"/>
        <v>36759.53389633536</v>
      </c>
      <c r="F48" s="10">
        <f t="shared" si="13"/>
        <v>103389.650925</v>
      </c>
      <c r="G48" s="10">
        <f t="shared" si="13"/>
        <v>5477.597399999999</v>
      </c>
      <c r="H48" s="10">
        <f t="shared" si="14"/>
        <v>5439.989280000001</v>
      </c>
      <c r="I48" s="10">
        <f>+F149</f>
        <v>6552.1466666666665</v>
      </c>
      <c r="J48" s="10">
        <f>+J47*(1+$J$2)</f>
        <v>3276.075</v>
      </c>
      <c r="K48" s="38">
        <v>0</v>
      </c>
      <c r="L48" s="77">
        <v>0</v>
      </c>
    </row>
    <row r="49" spans="1:12" ht="12.75">
      <c r="A49" s="42">
        <v>2008</v>
      </c>
      <c r="B49" s="10">
        <f t="shared" si="10"/>
        <v>6293.702725086486</v>
      </c>
      <c r="C49" s="10">
        <f t="shared" si="11"/>
        <v>17172.267848999996</v>
      </c>
      <c r="D49" s="10">
        <f t="shared" si="12"/>
        <v>4720.277043814865</v>
      </c>
      <c r="E49" s="10">
        <f t="shared" si="12"/>
        <v>39335.64203179054</v>
      </c>
      <c r="F49" s="10">
        <f t="shared" si="13"/>
        <v>108042.18521662499</v>
      </c>
      <c r="G49" s="10">
        <f t="shared" si="13"/>
        <v>5724.089282999998</v>
      </c>
      <c r="H49" s="10">
        <f t="shared" si="14"/>
        <v>5494.389172800001</v>
      </c>
      <c r="I49" s="10">
        <f>+G149</f>
        <v>6552.1466666666665</v>
      </c>
      <c r="J49" s="10">
        <f>+J48*(1+$J$2)</f>
        <v>3423.4983749999997</v>
      </c>
      <c r="K49" s="38">
        <v>0</v>
      </c>
      <c r="L49" s="77">
        <v>0</v>
      </c>
    </row>
    <row r="50" spans="1:12" ht="12.75">
      <c r="A50" s="42">
        <v>2009</v>
      </c>
      <c r="B50" s="10">
        <f t="shared" si="10"/>
        <v>6734.765412060547</v>
      </c>
      <c r="C50" s="10">
        <f t="shared" si="11"/>
        <v>17945.019902204996</v>
      </c>
      <c r="D50" s="10">
        <f t="shared" si="12"/>
        <v>5051.07405904541</v>
      </c>
      <c r="E50" s="10">
        <f t="shared" si="12"/>
        <v>42092.28382537842</v>
      </c>
      <c r="F50" s="10">
        <f t="shared" si="13"/>
        <v>112904.0835513731</v>
      </c>
      <c r="G50" s="10">
        <f t="shared" si="13"/>
        <v>5981.673300734998</v>
      </c>
      <c r="H50" s="10">
        <f t="shared" si="14"/>
        <v>5549.333064528001</v>
      </c>
      <c r="I50" s="10">
        <f>+H149</f>
        <v>7906.252666666666</v>
      </c>
      <c r="J50" s="10">
        <f>+J49/2</f>
        <v>1711.7491874999998</v>
      </c>
      <c r="K50" s="38">
        <v>0</v>
      </c>
      <c r="L50" s="77">
        <v>0</v>
      </c>
    </row>
    <row r="51" spans="1:12" ht="13.5" thickBot="1">
      <c r="A51" s="43">
        <v>2010</v>
      </c>
      <c r="B51" s="10">
        <f t="shared" si="10"/>
        <v>7206.737772137749</v>
      </c>
      <c r="C51" s="10">
        <f t="shared" si="11"/>
        <v>18752.54579780422</v>
      </c>
      <c r="D51" s="10">
        <f t="shared" si="12"/>
        <v>5405.053329103312</v>
      </c>
      <c r="E51" s="10">
        <f t="shared" si="12"/>
        <v>45042.11107586094</v>
      </c>
      <c r="F51" s="10">
        <f t="shared" si="13"/>
        <v>117984.76731118489</v>
      </c>
      <c r="G51" s="10">
        <f t="shared" si="13"/>
        <v>6250.848599268072</v>
      </c>
      <c r="H51" s="10">
        <f t="shared" si="14"/>
        <v>5604.8263951732815</v>
      </c>
      <c r="I51" s="17">
        <f>+I149</f>
        <v>8064.662666666666</v>
      </c>
      <c r="J51" s="17">
        <f>+J50*(1+$J$2)</f>
        <v>1788.7779009374997</v>
      </c>
      <c r="K51" s="69">
        <v>0</v>
      </c>
      <c r="L51" s="78">
        <v>0</v>
      </c>
    </row>
    <row r="52" ht="13.5" thickBot="1"/>
    <row r="53" spans="1:15" ht="13.5" customHeight="1" thickBot="1">
      <c r="A53" s="366" t="s">
        <v>138</v>
      </c>
      <c r="B53" s="367"/>
      <c r="C53" s="367"/>
      <c r="D53" s="367"/>
      <c r="E53" s="367"/>
      <c r="F53" s="367"/>
      <c r="G53" s="368"/>
      <c r="I53" s="366" t="s">
        <v>138</v>
      </c>
      <c r="J53" s="367"/>
      <c r="K53" s="367"/>
      <c r="L53" s="367"/>
      <c r="M53" s="367"/>
      <c r="N53" s="367"/>
      <c r="O53" s="368"/>
    </row>
    <row r="54" spans="1:15" s="3" customFormat="1" ht="12.75">
      <c r="A54" s="119"/>
      <c r="B54" s="61" t="s">
        <v>130</v>
      </c>
      <c r="C54" s="61" t="s">
        <v>131</v>
      </c>
      <c r="D54" s="61" t="s">
        <v>132</v>
      </c>
      <c r="E54" s="61" t="s">
        <v>133</v>
      </c>
      <c r="F54" s="61" t="s">
        <v>134</v>
      </c>
      <c r="G54" s="120" t="s">
        <v>135</v>
      </c>
      <c r="I54" s="119"/>
      <c r="J54" s="61" t="s">
        <v>146</v>
      </c>
      <c r="K54" s="61" t="s">
        <v>147</v>
      </c>
      <c r="L54" s="61" t="s">
        <v>148</v>
      </c>
      <c r="M54" s="61" t="s">
        <v>149</v>
      </c>
      <c r="N54" s="61" t="s">
        <v>150</v>
      </c>
      <c r="O54" s="120" t="s">
        <v>151</v>
      </c>
    </row>
    <row r="55" spans="1:15" ht="12.75">
      <c r="A55" s="118" t="s">
        <v>125</v>
      </c>
      <c r="B55" s="6">
        <f>+$D$20/3</f>
        <v>13162.330182131016</v>
      </c>
      <c r="C55" s="6">
        <f>+$D$20/3</f>
        <v>13162.330182131016</v>
      </c>
      <c r="D55" s="6">
        <f>+$D$20/3</f>
        <v>13162.330182131016</v>
      </c>
      <c r="E55" s="6">
        <f aca="true" t="shared" si="15" ref="E55:G58">+$D$21/3</f>
        <v>14084.746281294756</v>
      </c>
      <c r="F55" s="6">
        <f t="shared" si="15"/>
        <v>14084.746281294756</v>
      </c>
      <c r="G55" s="121">
        <f t="shared" si="15"/>
        <v>14084.746281294756</v>
      </c>
      <c r="I55" s="118" t="s">
        <v>125</v>
      </c>
      <c r="J55" s="6">
        <f>+$D$26/3</f>
        <v>19761.971269356738</v>
      </c>
      <c r="K55" s="6">
        <f>+$D$26/3</f>
        <v>19761.971269356738</v>
      </c>
      <c r="L55" s="6">
        <f>+$D$26/3</f>
        <v>19761.971269356738</v>
      </c>
      <c r="M55" s="6">
        <f aca="true" t="shared" si="16" ref="M55:O58">+$D$25/3</f>
        <v>18467.751260986784</v>
      </c>
      <c r="N55" s="6">
        <f t="shared" si="16"/>
        <v>18467.751260986784</v>
      </c>
      <c r="O55" s="121">
        <f t="shared" si="16"/>
        <v>18467.751260986784</v>
      </c>
    </row>
    <row r="56" spans="1:15" ht="12.75">
      <c r="A56" s="118" t="s">
        <v>126</v>
      </c>
      <c r="B56" s="6"/>
      <c r="C56" s="6">
        <f>+$D$20/3</f>
        <v>13162.330182131016</v>
      </c>
      <c r="D56" s="6">
        <f>+$D$20/3</f>
        <v>13162.330182131016</v>
      </c>
      <c r="E56" s="6">
        <f t="shared" si="15"/>
        <v>14084.746281294756</v>
      </c>
      <c r="F56" s="6">
        <f t="shared" si="15"/>
        <v>14084.746281294756</v>
      </c>
      <c r="G56" s="121">
        <f t="shared" si="15"/>
        <v>14084.746281294756</v>
      </c>
      <c r="I56" s="118" t="s">
        <v>126</v>
      </c>
      <c r="J56" s="6"/>
      <c r="K56" s="6">
        <f>+$D$26/3</f>
        <v>19761.971269356738</v>
      </c>
      <c r="L56" s="6">
        <f>+$D$26/3</f>
        <v>19761.971269356738</v>
      </c>
      <c r="M56" s="6">
        <f t="shared" si="16"/>
        <v>18467.751260986784</v>
      </c>
      <c r="N56" s="6">
        <f t="shared" si="16"/>
        <v>18467.751260986784</v>
      </c>
      <c r="O56" s="121">
        <f t="shared" si="16"/>
        <v>18467.751260986784</v>
      </c>
    </row>
    <row r="57" spans="1:15" ht="12.75">
      <c r="A57" s="118" t="s">
        <v>129</v>
      </c>
      <c r="B57" s="6"/>
      <c r="C57" s="6"/>
      <c r="D57" s="6">
        <f>+$D$20/3</f>
        <v>13162.330182131016</v>
      </c>
      <c r="E57" s="6">
        <f t="shared" si="15"/>
        <v>14084.746281294756</v>
      </c>
      <c r="F57" s="6">
        <f t="shared" si="15"/>
        <v>14084.746281294756</v>
      </c>
      <c r="G57" s="121">
        <f t="shared" si="15"/>
        <v>14084.746281294756</v>
      </c>
      <c r="I57" s="118" t="s">
        <v>129</v>
      </c>
      <c r="J57" s="6"/>
      <c r="K57" s="6"/>
      <c r="L57" s="6">
        <f>+$D$26/3</f>
        <v>19761.971269356738</v>
      </c>
      <c r="M57" s="6">
        <f t="shared" si="16"/>
        <v>18467.751260986784</v>
      </c>
      <c r="N57" s="6">
        <f t="shared" si="16"/>
        <v>18467.751260986784</v>
      </c>
      <c r="O57" s="121">
        <f t="shared" si="16"/>
        <v>18467.751260986784</v>
      </c>
    </row>
    <row r="58" spans="1:15" ht="12.75">
      <c r="A58" s="118" t="s">
        <v>136</v>
      </c>
      <c r="B58" s="6"/>
      <c r="C58" s="6"/>
      <c r="D58" s="6"/>
      <c r="E58" s="6">
        <f t="shared" si="15"/>
        <v>14084.746281294756</v>
      </c>
      <c r="F58" s="6">
        <f t="shared" si="15"/>
        <v>14084.746281294756</v>
      </c>
      <c r="G58" s="121">
        <f t="shared" si="15"/>
        <v>14084.746281294756</v>
      </c>
      <c r="I58" s="118" t="s">
        <v>136</v>
      </c>
      <c r="J58" s="6"/>
      <c r="K58" s="6"/>
      <c r="L58" s="6"/>
      <c r="M58" s="6">
        <f t="shared" si="16"/>
        <v>18467.751260986784</v>
      </c>
      <c r="N58" s="6">
        <f t="shared" si="16"/>
        <v>18467.751260986784</v>
      </c>
      <c r="O58" s="121">
        <f t="shared" si="16"/>
        <v>18467.751260986784</v>
      </c>
    </row>
    <row r="59" spans="1:15" ht="12.75">
      <c r="A59" s="118" t="s">
        <v>127</v>
      </c>
      <c r="B59" s="6"/>
      <c r="C59" s="6"/>
      <c r="D59" s="6"/>
      <c r="E59" s="6"/>
      <c r="F59" s="6">
        <f>+$D$21/3</f>
        <v>14084.746281294756</v>
      </c>
      <c r="G59" s="121">
        <f>+$D$21/3</f>
        <v>14084.746281294756</v>
      </c>
      <c r="I59" s="118" t="s">
        <v>127</v>
      </c>
      <c r="J59" s="6"/>
      <c r="K59" s="6"/>
      <c r="L59" s="6"/>
      <c r="M59" s="6"/>
      <c r="N59" s="6">
        <f>+$D$25/3</f>
        <v>18467.751260986784</v>
      </c>
      <c r="O59" s="121">
        <f>+$D$25/3</f>
        <v>18467.751260986784</v>
      </c>
    </row>
    <row r="60" spans="1:15" ht="12.75">
      <c r="A60" s="118" t="s">
        <v>290</v>
      </c>
      <c r="B60" s="6"/>
      <c r="C60" s="6"/>
      <c r="D60" s="6"/>
      <c r="E60" s="6"/>
      <c r="F60" s="6"/>
      <c r="G60" s="121">
        <f>+$D$21/3</f>
        <v>14084.746281294756</v>
      </c>
      <c r="I60" s="118" t="s">
        <v>290</v>
      </c>
      <c r="J60" s="6"/>
      <c r="K60" s="6"/>
      <c r="L60" s="6"/>
      <c r="M60" s="6"/>
      <c r="N60" s="6"/>
      <c r="O60" s="121">
        <f>+$D$25/3</f>
        <v>18467.751260986784</v>
      </c>
    </row>
    <row r="61" spans="1:15" ht="12.75">
      <c r="A61" s="122" t="s">
        <v>8</v>
      </c>
      <c r="B61" s="6">
        <f aca="true" t="shared" si="17" ref="B61:G61">SUM(B55:B60)</f>
        <v>13162.330182131016</v>
      </c>
      <c r="C61" s="6">
        <f t="shared" si="17"/>
        <v>26324.660364262032</v>
      </c>
      <c r="D61" s="6">
        <f t="shared" si="17"/>
        <v>39486.99054639305</v>
      </c>
      <c r="E61" s="6">
        <f t="shared" si="17"/>
        <v>56338.985125179024</v>
      </c>
      <c r="F61" s="6">
        <f t="shared" si="17"/>
        <v>70423.73140647379</v>
      </c>
      <c r="G61" s="121">
        <f t="shared" si="17"/>
        <v>84508.47768776855</v>
      </c>
      <c r="I61" s="122" t="s">
        <v>8</v>
      </c>
      <c r="J61" s="6">
        <f aca="true" t="shared" si="18" ref="J61:O61">SUM(J55:J60)</f>
        <v>19761.971269356738</v>
      </c>
      <c r="K61" s="6">
        <f t="shared" si="18"/>
        <v>39523.942538713476</v>
      </c>
      <c r="L61" s="6">
        <f t="shared" si="18"/>
        <v>59285.91380807021</v>
      </c>
      <c r="M61" s="6">
        <f t="shared" si="18"/>
        <v>73871.00504394714</v>
      </c>
      <c r="N61" s="6">
        <f t="shared" si="18"/>
        <v>92338.75630493392</v>
      </c>
      <c r="O61" s="121">
        <f t="shared" si="18"/>
        <v>110806.5075659207</v>
      </c>
    </row>
    <row r="62" spans="1:15" ht="13.5" thickBot="1">
      <c r="A62" s="72"/>
      <c r="B62" s="123"/>
      <c r="C62" s="123"/>
      <c r="D62" s="127">
        <f>+B61+C61+D61</f>
        <v>78973.9810927861</v>
      </c>
      <c r="E62" s="125"/>
      <c r="F62" s="125"/>
      <c r="G62" s="128">
        <f>+E61+F61+G61</f>
        <v>211271.19421942136</v>
      </c>
      <c r="I62" s="72"/>
      <c r="J62" s="123"/>
      <c r="K62" s="123"/>
      <c r="L62" s="127">
        <f>+J61+K61+L61</f>
        <v>118571.82761614042</v>
      </c>
      <c r="M62" s="125"/>
      <c r="N62" s="125"/>
      <c r="O62" s="128">
        <f>+M61+N61+O61</f>
        <v>277016.26891480177</v>
      </c>
    </row>
    <row r="63" ht="13.5" thickBot="1"/>
    <row r="64" spans="1:15" ht="14.25" thickBot="1">
      <c r="A64" s="366" t="s">
        <v>139</v>
      </c>
      <c r="B64" s="367"/>
      <c r="C64" s="367"/>
      <c r="D64" s="367"/>
      <c r="E64" s="367"/>
      <c r="F64" s="367"/>
      <c r="G64" s="368"/>
      <c r="I64" s="366" t="s">
        <v>139</v>
      </c>
      <c r="J64" s="367"/>
      <c r="K64" s="367"/>
      <c r="L64" s="367"/>
      <c r="M64" s="367"/>
      <c r="N64" s="367"/>
      <c r="O64" s="368"/>
    </row>
    <row r="65" spans="1:15" ht="12.75">
      <c r="A65" s="119"/>
      <c r="B65" s="61" t="s">
        <v>130</v>
      </c>
      <c r="C65" s="61" t="s">
        <v>131</v>
      </c>
      <c r="D65" s="61" t="s">
        <v>132</v>
      </c>
      <c r="E65" s="61" t="s">
        <v>133</v>
      </c>
      <c r="F65" s="61" t="s">
        <v>134</v>
      </c>
      <c r="G65" s="120" t="s">
        <v>135</v>
      </c>
      <c r="I65" s="119"/>
      <c r="J65" s="61" t="s">
        <v>146</v>
      </c>
      <c r="K65" s="61" t="s">
        <v>147</v>
      </c>
      <c r="L65" s="61" t="s">
        <v>148</v>
      </c>
      <c r="M65" s="61" t="s">
        <v>149</v>
      </c>
      <c r="N65" s="61" t="s">
        <v>150</v>
      </c>
      <c r="O65" s="120" t="s">
        <v>151</v>
      </c>
    </row>
    <row r="66" spans="1:15" ht="12.75">
      <c r="A66" s="118" t="s">
        <v>125</v>
      </c>
      <c r="B66" s="6">
        <f>+$B$10/3*$E$10</f>
        <v>20067.444750498267</v>
      </c>
      <c r="C66" s="6">
        <f aca="true" t="shared" si="19" ref="C66:D68">+$B$10/3*$E$10</f>
        <v>20067.444750498267</v>
      </c>
      <c r="D66" s="6">
        <f t="shared" si="19"/>
        <v>20067.444750498267</v>
      </c>
      <c r="E66" s="6">
        <f>+$B$11/3*$E$11</f>
        <v>21473.77127861319</v>
      </c>
      <c r="F66" s="6">
        <f aca="true" t="shared" si="20" ref="F66:G71">+$B$11/3*$E$11</f>
        <v>21473.77127861319</v>
      </c>
      <c r="G66" s="121">
        <f t="shared" si="20"/>
        <v>21473.77127861319</v>
      </c>
      <c r="I66" s="118" t="s">
        <v>125</v>
      </c>
      <c r="J66" s="6">
        <f>+$B$16/3*$E$16</f>
        <v>30129.33584868818</v>
      </c>
      <c r="K66" s="6">
        <f aca="true" t="shared" si="21" ref="K66:L68">+$B$16/3*$E$16</f>
        <v>30129.33584868818</v>
      </c>
      <c r="L66" s="6">
        <f t="shared" si="21"/>
        <v>30129.33584868818</v>
      </c>
      <c r="M66" s="6">
        <f>+$B$15*$E$15/3</f>
        <v>28156.15266960244</v>
      </c>
      <c r="N66" s="6">
        <f>+$B$15*$E$15/3</f>
        <v>28156.15266960244</v>
      </c>
      <c r="O66" s="121">
        <f>+$B$15*$E$15/3</f>
        <v>28156.15266960244</v>
      </c>
    </row>
    <row r="67" spans="1:15" ht="12.75">
      <c r="A67" s="118" t="s">
        <v>126</v>
      </c>
      <c r="B67" s="6"/>
      <c r="C67" s="6">
        <f t="shared" si="19"/>
        <v>20067.444750498267</v>
      </c>
      <c r="D67" s="6">
        <f t="shared" si="19"/>
        <v>20067.444750498267</v>
      </c>
      <c r="E67" s="6">
        <f>+$B$11/3*$E$11</f>
        <v>21473.77127861319</v>
      </c>
      <c r="F67" s="6">
        <f t="shared" si="20"/>
        <v>21473.77127861319</v>
      </c>
      <c r="G67" s="121">
        <f t="shared" si="20"/>
        <v>21473.77127861319</v>
      </c>
      <c r="I67" s="118" t="s">
        <v>126</v>
      </c>
      <c r="J67" s="6"/>
      <c r="K67" s="6">
        <f t="shared" si="21"/>
        <v>30129.33584868818</v>
      </c>
      <c r="L67" s="6">
        <f t="shared" si="21"/>
        <v>30129.33584868818</v>
      </c>
      <c r="M67" s="6">
        <f aca="true" t="shared" si="22" ref="M67:O71">+$B$15*$E$15/3</f>
        <v>28156.15266960244</v>
      </c>
      <c r="N67" s="6">
        <f t="shared" si="22"/>
        <v>28156.15266960244</v>
      </c>
      <c r="O67" s="121">
        <f t="shared" si="22"/>
        <v>28156.15266960244</v>
      </c>
    </row>
    <row r="68" spans="1:15" ht="12.75">
      <c r="A68" s="118" t="s">
        <v>129</v>
      </c>
      <c r="B68" s="6"/>
      <c r="C68" s="6"/>
      <c r="D68" s="6">
        <f t="shared" si="19"/>
        <v>20067.444750498267</v>
      </c>
      <c r="E68" s="6">
        <f>+$B$11/3*$E$11</f>
        <v>21473.77127861319</v>
      </c>
      <c r="F68" s="6">
        <f t="shared" si="20"/>
        <v>21473.77127861319</v>
      </c>
      <c r="G68" s="121">
        <f t="shared" si="20"/>
        <v>21473.77127861319</v>
      </c>
      <c r="I68" s="118" t="s">
        <v>129</v>
      </c>
      <c r="J68" s="6"/>
      <c r="K68" s="6"/>
      <c r="L68" s="6">
        <f t="shared" si="21"/>
        <v>30129.33584868818</v>
      </c>
      <c r="M68" s="6">
        <f t="shared" si="22"/>
        <v>28156.15266960244</v>
      </c>
      <c r="N68" s="6">
        <f t="shared" si="22"/>
        <v>28156.15266960244</v>
      </c>
      <c r="O68" s="121">
        <f t="shared" si="22"/>
        <v>28156.15266960244</v>
      </c>
    </row>
    <row r="69" spans="1:15" ht="12.75">
      <c r="A69" s="118" t="s">
        <v>136</v>
      </c>
      <c r="B69" s="6"/>
      <c r="C69" s="6"/>
      <c r="D69" s="6"/>
      <c r="E69" s="6">
        <f>+$B$11/3*$E$11</f>
        <v>21473.77127861319</v>
      </c>
      <c r="F69" s="6">
        <f t="shared" si="20"/>
        <v>21473.77127861319</v>
      </c>
      <c r="G69" s="121">
        <f t="shared" si="20"/>
        <v>21473.77127861319</v>
      </c>
      <c r="I69" s="118" t="s">
        <v>136</v>
      </c>
      <c r="J69" s="6"/>
      <c r="K69" s="6"/>
      <c r="L69" s="6"/>
      <c r="M69" s="6">
        <f t="shared" si="22"/>
        <v>28156.15266960244</v>
      </c>
      <c r="N69" s="6">
        <f t="shared" si="22"/>
        <v>28156.15266960244</v>
      </c>
      <c r="O69" s="121">
        <f t="shared" si="22"/>
        <v>28156.15266960244</v>
      </c>
    </row>
    <row r="70" spans="1:15" ht="12.75">
      <c r="A70" s="118" t="s">
        <v>127</v>
      </c>
      <c r="B70" s="6"/>
      <c r="C70" s="6"/>
      <c r="D70" s="6"/>
      <c r="E70" s="6"/>
      <c r="F70" s="6">
        <f t="shared" si="20"/>
        <v>21473.77127861319</v>
      </c>
      <c r="G70" s="121">
        <f t="shared" si="20"/>
        <v>21473.77127861319</v>
      </c>
      <c r="I70" s="118" t="s">
        <v>127</v>
      </c>
      <c r="J70" s="6"/>
      <c r="K70" s="6"/>
      <c r="L70" s="6"/>
      <c r="M70" s="6"/>
      <c r="N70" s="6">
        <f t="shared" si="22"/>
        <v>28156.15266960244</v>
      </c>
      <c r="O70" s="121">
        <f t="shared" si="22"/>
        <v>28156.15266960244</v>
      </c>
    </row>
    <row r="71" spans="1:15" ht="12.75">
      <c r="A71" s="118" t="s">
        <v>128</v>
      </c>
      <c r="B71" s="6"/>
      <c r="C71" s="6"/>
      <c r="D71" s="6"/>
      <c r="E71" s="6"/>
      <c r="F71" s="6"/>
      <c r="G71" s="121">
        <f t="shared" si="20"/>
        <v>21473.77127861319</v>
      </c>
      <c r="I71" s="118" t="s">
        <v>128</v>
      </c>
      <c r="J71" s="6"/>
      <c r="K71" s="6"/>
      <c r="L71" s="6"/>
      <c r="M71" s="6"/>
      <c r="N71" s="6"/>
      <c r="O71" s="121">
        <f t="shared" si="22"/>
        <v>28156.15266960244</v>
      </c>
    </row>
    <row r="72" spans="1:15" ht="12.75">
      <c r="A72" s="122" t="s">
        <v>8</v>
      </c>
      <c r="B72" s="6">
        <f aca="true" t="shared" si="23" ref="B72:G72">SUM(B66:B71)</f>
        <v>20067.444750498267</v>
      </c>
      <c r="C72" s="6">
        <f t="shared" si="23"/>
        <v>40134.889500996534</v>
      </c>
      <c r="D72" s="6">
        <f t="shared" si="23"/>
        <v>60202.3342514948</v>
      </c>
      <c r="E72" s="6">
        <f t="shared" si="23"/>
        <v>85895.08511445276</v>
      </c>
      <c r="F72" s="6">
        <f t="shared" si="23"/>
        <v>107368.85639306594</v>
      </c>
      <c r="G72" s="121">
        <f t="shared" si="23"/>
        <v>128842.62767167913</v>
      </c>
      <c r="I72" s="122" t="s">
        <v>8</v>
      </c>
      <c r="J72" s="6">
        <f aca="true" t="shared" si="24" ref="J72:O72">SUM(J66:J71)</f>
        <v>30129.33584868818</v>
      </c>
      <c r="K72" s="6">
        <f t="shared" si="24"/>
        <v>60258.67169737636</v>
      </c>
      <c r="L72" s="6">
        <f t="shared" si="24"/>
        <v>90388.00754606455</v>
      </c>
      <c r="M72" s="6">
        <f t="shared" si="24"/>
        <v>112624.61067840976</v>
      </c>
      <c r="N72" s="6">
        <f t="shared" si="24"/>
        <v>140780.7633480122</v>
      </c>
      <c r="O72" s="121">
        <f t="shared" si="24"/>
        <v>168936.91601761465</v>
      </c>
    </row>
    <row r="73" spans="1:15" ht="13.5" thickBot="1">
      <c r="A73" s="72"/>
      <c r="B73" s="123"/>
      <c r="C73" s="123"/>
      <c r="D73" s="127">
        <f>+B72+C72+D72</f>
        <v>120404.6685029896</v>
      </c>
      <c r="E73" s="125"/>
      <c r="F73" s="125"/>
      <c r="G73" s="128">
        <f>+E72+F72+G72</f>
        <v>322106.56917919783</v>
      </c>
      <c r="I73" s="72"/>
      <c r="J73" s="123"/>
      <c r="K73" s="123"/>
      <c r="L73" s="127">
        <f>+J72+K72+L72</f>
        <v>180776.0150921291</v>
      </c>
      <c r="M73" s="125"/>
      <c r="N73" s="125"/>
      <c r="O73" s="128">
        <f>+M72+N72+O72</f>
        <v>422342.29004403664</v>
      </c>
    </row>
    <row r="74" ht="13.5" thickBot="1"/>
    <row r="75" spans="1:15" ht="14.25" thickBot="1">
      <c r="A75" s="366" t="s">
        <v>145</v>
      </c>
      <c r="B75" s="367"/>
      <c r="C75" s="367"/>
      <c r="D75" s="367"/>
      <c r="E75" s="367"/>
      <c r="F75" s="367"/>
      <c r="G75" s="368"/>
      <c r="I75" s="366" t="s">
        <v>145</v>
      </c>
      <c r="J75" s="367"/>
      <c r="K75" s="367"/>
      <c r="L75" s="367"/>
      <c r="M75" s="367"/>
      <c r="N75" s="367"/>
      <c r="O75" s="368"/>
    </row>
    <row r="76" spans="1:15" ht="12.75">
      <c r="A76" s="134"/>
      <c r="B76" s="79" t="s">
        <v>130</v>
      </c>
      <c r="C76" s="79" t="s">
        <v>131</v>
      </c>
      <c r="D76" s="79" t="s">
        <v>132</v>
      </c>
      <c r="E76" s="79" t="s">
        <v>133</v>
      </c>
      <c r="F76" s="79" t="s">
        <v>134</v>
      </c>
      <c r="G76" s="135" t="s">
        <v>135</v>
      </c>
      <c r="I76" s="134"/>
      <c r="J76" s="79" t="s">
        <v>146</v>
      </c>
      <c r="K76" s="79" t="s">
        <v>147</v>
      </c>
      <c r="L76" s="79" t="s">
        <v>148</v>
      </c>
      <c r="M76" s="79" t="s">
        <v>149</v>
      </c>
      <c r="N76" s="79" t="s">
        <v>150</v>
      </c>
      <c r="O76" s="135" t="s">
        <v>151</v>
      </c>
    </row>
    <row r="77" spans="1:15" ht="12.75">
      <c r="A77" s="118" t="s">
        <v>125</v>
      </c>
      <c r="B77" s="6">
        <f>+$B$10/3*$F$10</f>
        <v>25499.9887222403</v>
      </c>
      <c r="C77" s="6">
        <f aca="true" t="shared" si="25" ref="C77:D79">+$B$10/3*$F$10</f>
        <v>25499.9887222403</v>
      </c>
      <c r="D77" s="6">
        <f t="shared" si="25"/>
        <v>25499.9887222403</v>
      </c>
      <c r="E77" s="6">
        <f>+$B$11/3*$F$11</f>
        <v>27287.027931894903</v>
      </c>
      <c r="F77" s="6">
        <f aca="true" t="shared" si="26" ref="F77:G82">+$B$11/3*$F$11</f>
        <v>27287.027931894903</v>
      </c>
      <c r="G77" s="121">
        <f t="shared" si="26"/>
        <v>27287.027931894903</v>
      </c>
      <c r="I77" s="118" t="s">
        <v>125</v>
      </c>
      <c r="J77" s="6">
        <f>+$B$16/3*$F$16</f>
        <v>38285.777482011625</v>
      </c>
      <c r="K77" s="6">
        <f aca="true" t="shared" si="27" ref="K77:L79">+$B$16/3*$F$16</f>
        <v>38285.777482011625</v>
      </c>
      <c r="L77" s="6">
        <f t="shared" si="27"/>
        <v>38285.777482011625</v>
      </c>
      <c r="M77" s="6">
        <f>+$B$15/3*$F$15</f>
        <v>35778.42542801625</v>
      </c>
      <c r="N77" s="6">
        <f aca="true" t="shared" si="28" ref="N77:O82">+$B$15/3*$F$15</f>
        <v>35778.42542801625</v>
      </c>
      <c r="O77" s="121">
        <f t="shared" si="28"/>
        <v>35778.42542801625</v>
      </c>
    </row>
    <row r="78" spans="1:15" ht="12.75">
      <c r="A78" s="118" t="s">
        <v>126</v>
      </c>
      <c r="B78" s="6"/>
      <c r="C78" s="6">
        <f t="shared" si="25"/>
        <v>25499.9887222403</v>
      </c>
      <c r="D78" s="6">
        <f t="shared" si="25"/>
        <v>25499.9887222403</v>
      </c>
      <c r="E78" s="6">
        <f>+$B$11/3*$F$11</f>
        <v>27287.027931894903</v>
      </c>
      <c r="F78" s="6">
        <f t="shared" si="26"/>
        <v>27287.027931894903</v>
      </c>
      <c r="G78" s="121">
        <f t="shared" si="26"/>
        <v>27287.027931894903</v>
      </c>
      <c r="I78" s="118" t="s">
        <v>126</v>
      </c>
      <c r="J78" s="6"/>
      <c r="K78" s="6">
        <f t="shared" si="27"/>
        <v>38285.777482011625</v>
      </c>
      <c r="L78" s="6">
        <f t="shared" si="27"/>
        <v>38285.777482011625</v>
      </c>
      <c r="M78" s="6">
        <f>+$B$15/3*$F$15</f>
        <v>35778.42542801625</v>
      </c>
      <c r="N78" s="6">
        <f t="shared" si="28"/>
        <v>35778.42542801625</v>
      </c>
      <c r="O78" s="121">
        <f t="shared" si="28"/>
        <v>35778.42542801625</v>
      </c>
    </row>
    <row r="79" spans="1:15" ht="12.75">
      <c r="A79" s="118" t="s">
        <v>129</v>
      </c>
      <c r="B79" s="6"/>
      <c r="C79" s="6"/>
      <c r="D79" s="6">
        <f t="shared" si="25"/>
        <v>25499.9887222403</v>
      </c>
      <c r="E79" s="6">
        <f>+$B$11/3*$F$11</f>
        <v>27287.027931894903</v>
      </c>
      <c r="F79" s="6">
        <f t="shared" si="26"/>
        <v>27287.027931894903</v>
      </c>
      <c r="G79" s="121">
        <f t="shared" si="26"/>
        <v>27287.027931894903</v>
      </c>
      <c r="I79" s="118" t="s">
        <v>129</v>
      </c>
      <c r="J79" s="6"/>
      <c r="K79" s="6"/>
      <c r="L79" s="6">
        <f t="shared" si="27"/>
        <v>38285.777482011625</v>
      </c>
      <c r="M79" s="6">
        <f>+$B$15/3*$F$15</f>
        <v>35778.42542801625</v>
      </c>
      <c r="N79" s="6">
        <f t="shared" si="28"/>
        <v>35778.42542801625</v>
      </c>
      <c r="O79" s="121">
        <f t="shared" si="28"/>
        <v>35778.42542801625</v>
      </c>
    </row>
    <row r="80" spans="1:15" ht="12.75">
      <c r="A80" s="118" t="s">
        <v>136</v>
      </c>
      <c r="B80" s="6"/>
      <c r="C80" s="6"/>
      <c r="D80" s="6"/>
      <c r="E80" s="6">
        <f>+$B$11/3*$F$11</f>
        <v>27287.027931894903</v>
      </c>
      <c r="F80" s="6">
        <f t="shared" si="26"/>
        <v>27287.027931894903</v>
      </c>
      <c r="G80" s="121">
        <f t="shared" si="26"/>
        <v>27287.027931894903</v>
      </c>
      <c r="I80" s="118" t="s">
        <v>136</v>
      </c>
      <c r="J80" s="6"/>
      <c r="K80" s="6"/>
      <c r="L80" s="6"/>
      <c r="M80" s="6">
        <f>+$B$15/3*$F$15</f>
        <v>35778.42542801625</v>
      </c>
      <c r="N80" s="6">
        <f t="shared" si="28"/>
        <v>35778.42542801625</v>
      </c>
      <c r="O80" s="121">
        <f t="shared" si="28"/>
        <v>35778.42542801625</v>
      </c>
    </row>
    <row r="81" spans="1:15" ht="12.75">
      <c r="A81" s="118" t="s">
        <v>127</v>
      </c>
      <c r="B81" s="6"/>
      <c r="C81" s="6"/>
      <c r="D81" s="6"/>
      <c r="E81" s="6"/>
      <c r="F81" s="6">
        <f t="shared" si="26"/>
        <v>27287.027931894903</v>
      </c>
      <c r="G81" s="121">
        <f t="shared" si="26"/>
        <v>27287.027931894903</v>
      </c>
      <c r="I81" s="118" t="s">
        <v>127</v>
      </c>
      <c r="J81" s="6"/>
      <c r="K81" s="6"/>
      <c r="L81" s="6"/>
      <c r="M81" s="6"/>
      <c r="N81" s="6">
        <f t="shared" si="28"/>
        <v>35778.42542801625</v>
      </c>
      <c r="O81" s="121">
        <f t="shared" si="28"/>
        <v>35778.42542801625</v>
      </c>
    </row>
    <row r="82" spans="1:15" ht="12.75">
      <c r="A82" s="118" t="s">
        <v>128</v>
      </c>
      <c r="B82" s="6"/>
      <c r="C82" s="6"/>
      <c r="D82" s="6"/>
      <c r="E82" s="6"/>
      <c r="F82" s="6"/>
      <c r="G82" s="121">
        <f t="shared" si="26"/>
        <v>27287.027931894903</v>
      </c>
      <c r="I82" s="118" t="s">
        <v>128</v>
      </c>
      <c r="J82" s="6"/>
      <c r="K82" s="6"/>
      <c r="L82" s="6"/>
      <c r="M82" s="6"/>
      <c r="N82" s="6"/>
      <c r="O82" s="121">
        <f t="shared" si="28"/>
        <v>35778.42542801625</v>
      </c>
    </row>
    <row r="83" spans="1:15" ht="12.75">
      <c r="A83" s="122" t="s">
        <v>8</v>
      </c>
      <c r="B83" s="6">
        <f aca="true" t="shared" si="29" ref="B83:G83">SUM(B77:B82)</f>
        <v>25499.9887222403</v>
      </c>
      <c r="C83" s="6">
        <f t="shared" si="29"/>
        <v>50999.9774444806</v>
      </c>
      <c r="D83" s="6">
        <f t="shared" si="29"/>
        <v>76499.9661667209</v>
      </c>
      <c r="E83" s="6">
        <f t="shared" si="29"/>
        <v>109148.11172757961</v>
      </c>
      <c r="F83" s="6">
        <f t="shared" si="29"/>
        <v>136435.13965947452</v>
      </c>
      <c r="G83" s="121">
        <f t="shared" si="29"/>
        <v>163722.16759136942</v>
      </c>
      <c r="I83" s="122" t="s">
        <v>8</v>
      </c>
      <c r="J83" s="6">
        <f aca="true" t="shared" si="30" ref="J83:O83">SUM(J77:J82)</f>
        <v>38285.777482011625</v>
      </c>
      <c r="K83" s="6">
        <f t="shared" si="30"/>
        <v>76571.55496402325</v>
      </c>
      <c r="L83" s="6">
        <f t="shared" si="30"/>
        <v>114857.33244603488</v>
      </c>
      <c r="M83" s="6">
        <f t="shared" si="30"/>
        <v>143113.701712065</v>
      </c>
      <c r="N83" s="6">
        <f t="shared" si="30"/>
        <v>178892.12714008125</v>
      </c>
      <c r="O83" s="121">
        <f t="shared" si="30"/>
        <v>214670.5525680975</v>
      </c>
    </row>
    <row r="84" spans="1:15" ht="13.5" thickBot="1">
      <c r="A84" s="72"/>
      <c r="B84" s="123"/>
      <c r="C84" s="123"/>
      <c r="D84" s="127">
        <f>+B83+C83+D83</f>
        <v>152999.9323334418</v>
      </c>
      <c r="E84" s="125"/>
      <c r="F84" s="125"/>
      <c r="G84" s="128">
        <f>+E83+F83+G83</f>
        <v>409305.4189784236</v>
      </c>
      <c r="I84" s="72"/>
      <c r="J84" s="123"/>
      <c r="K84" s="123"/>
      <c r="L84" s="127">
        <f>+J83+K83+L83</f>
        <v>229714.66489206976</v>
      </c>
      <c r="M84" s="125"/>
      <c r="N84" s="125"/>
      <c r="O84" s="128">
        <f>+M83+N83+O83</f>
        <v>536676.3814202438</v>
      </c>
    </row>
    <row r="86" ht="12.75">
      <c r="R86" s="250">
        <v>0.07</v>
      </c>
    </row>
    <row r="87" ht="13.5" thickBot="1"/>
    <row r="88" spans="1:12" ht="14.25" thickBot="1">
      <c r="A88" s="366" t="s">
        <v>153</v>
      </c>
      <c r="B88" s="367"/>
      <c r="C88" s="367"/>
      <c r="D88" s="367"/>
      <c r="E88" s="367"/>
      <c r="F88" s="367"/>
      <c r="G88" s="368"/>
      <c r="I88" s="366" t="s">
        <v>161</v>
      </c>
      <c r="J88" s="367"/>
      <c r="K88" s="367"/>
      <c r="L88" s="368"/>
    </row>
    <row r="89" spans="1:12" ht="12.75">
      <c r="A89" s="134"/>
      <c r="B89" s="79" t="s">
        <v>130</v>
      </c>
      <c r="C89" s="79" t="s">
        <v>131</v>
      </c>
      <c r="D89" s="79" t="s">
        <v>132</v>
      </c>
      <c r="E89" s="79" t="s">
        <v>133</v>
      </c>
      <c r="F89" s="79" t="s">
        <v>134</v>
      </c>
      <c r="G89" s="135" t="s">
        <v>135</v>
      </c>
      <c r="H89" s="3"/>
      <c r="I89" s="369" t="s">
        <v>90</v>
      </c>
      <c r="J89" s="370"/>
      <c r="K89" s="6">
        <f>+(K90+K91+K92+K93)*0.1</f>
        <v>440</v>
      </c>
      <c r="L89" s="145">
        <f>+K89*12</f>
        <v>5280</v>
      </c>
    </row>
    <row r="90" spans="1:12" ht="12.75">
      <c r="A90" s="118" t="s">
        <v>125</v>
      </c>
      <c r="B90" s="6">
        <f>8000*1</f>
        <v>8000</v>
      </c>
      <c r="C90" s="6">
        <f>+B90</f>
        <v>8000</v>
      </c>
      <c r="D90" s="6">
        <f>+C90</f>
        <v>8000</v>
      </c>
      <c r="E90" s="6">
        <f aca="true" t="shared" si="31" ref="E90:G93">+$D$90*(1+$J$2)</f>
        <v>8360</v>
      </c>
      <c r="F90" s="6">
        <f t="shared" si="31"/>
        <v>8360</v>
      </c>
      <c r="G90" s="121">
        <f t="shared" si="31"/>
        <v>8360</v>
      </c>
      <c r="I90" s="369" t="s">
        <v>26</v>
      </c>
      <c r="J90" s="370"/>
      <c r="K90" s="6">
        <v>400</v>
      </c>
      <c r="L90" s="145">
        <f>+K90*12</f>
        <v>4800</v>
      </c>
    </row>
    <row r="91" spans="1:12" ht="12.75">
      <c r="A91" s="118" t="s">
        <v>126</v>
      </c>
      <c r="B91" s="6"/>
      <c r="C91" s="6">
        <f>+C90</f>
        <v>8000</v>
      </c>
      <c r="D91" s="6">
        <f>+C91</f>
        <v>8000</v>
      </c>
      <c r="E91" s="6">
        <f t="shared" si="31"/>
        <v>8360</v>
      </c>
      <c r="F91" s="6">
        <f t="shared" si="31"/>
        <v>8360</v>
      </c>
      <c r="G91" s="121">
        <f t="shared" si="31"/>
        <v>8360</v>
      </c>
      <c r="I91" s="369" t="s">
        <v>25</v>
      </c>
      <c r="J91" s="370"/>
      <c r="K91" s="6">
        <v>300</v>
      </c>
      <c r="L91" s="145">
        <f>+K91*12</f>
        <v>3600</v>
      </c>
    </row>
    <row r="92" spans="1:12" ht="12.75">
      <c r="A92" s="118" t="s">
        <v>129</v>
      </c>
      <c r="B92" s="6"/>
      <c r="C92" s="6"/>
      <c r="D92" s="6">
        <f>+D91</f>
        <v>8000</v>
      </c>
      <c r="E92" s="6">
        <f t="shared" si="31"/>
        <v>8360</v>
      </c>
      <c r="F92" s="6">
        <f t="shared" si="31"/>
        <v>8360</v>
      </c>
      <c r="G92" s="121">
        <f t="shared" si="31"/>
        <v>8360</v>
      </c>
      <c r="I92" s="369" t="s">
        <v>24</v>
      </c>
      <c r="J92" s="370"/>
      <c r="K92" s="6">
        <v>1200</v>
      </c>
      <c r="L92" s="145">
        <f>+K92*12</f>
        <v>14400</v>
      </c>
    </row>
    <row r="93" spans="1:12" ht="12.75">
      <c r="A93" s="118" t="s">
        <v>136</v>
      </c>
      <c r="B93" s="6"/>
      <c r="C93" s="6"/>
      <c r="D93" s="6"/>
      <c r="E93" s="6">
        <f t="shared" si="31"/>
        <v>8360</v>
      </c>
      <c r="F93" s="6">
        <f t="shared" si="31"/>
        <v>8360</v>
      </c>
      <c r="G93" s="121">
        <f t="shared" si="31"/>
        <v>8360</v>
      </c>
      <c r="I93" s="369" t="s">
        <v>268</v>
      </c>
      <c r="J93" s="370"/>
      <c r="K93" s="52">
        <v>2500</v>
      </c>
      <c r="L93" s="145">
        <f>+K93*12</f>
        <v>30000</v>
      </c>
    </row>
    <row r="94" spans="1:12" ht="13.5" thickBot="1">
      <c r="A94" s="118" t="s">
        <v>127</v>
      </c>
      <c r="B94" s="6"/>
      <c r="C94" s="6"/>
      <c r="D94" s="6"/>
      <c r="E94" s="6"/>
      <c r="F94" s="6">
        <f>+$D$90*(1+$J$2)</f>
        <v>8360</v>
      </c>
      <c r="G94" s="121">
        <f>+$D$90*(1+$J$2)</f>
        <v>8360</v>
      </c>
      <c r="I94" s="380" t="s">
        <v>29</v>
      </c>
      <c r="J94" s="381"/>
      <c r="K94" s="125">
        <v>2000</v>
      </c>
      <c r="L94" s="124">
        <f>+K94*3</f>
        <v>6000</v>
      </c>
    </row>
    <row r="95" spans="1:15" ht="12.75">
      <c r="A95" s="118" t="s">
        <v>128</v>
      </c>
      <c r="B95" s="6"/>
      <c r="C95" s="6"/>
      <c r="D95" s="6"/>
      <c r="E95" s="6"/>
      <c r="F95" s="6"/>
      <c r="G95" s="121">
        <f>+$D$90*(1+$J$2)</f>
        <v>8360</v>
      </c>
      <c r="I95" s="141"/>
      <c r="J95" s="139"/>
      <c r="K95" s="139"/>
      <c r="L95" s="139"/>
      <c r="M95" s="139"/>
      <c r="N95" s="139"/>
      <c r="O95" s="139"/>
    </row>
    <row r="96" spans="1:15" ht="12.75">
      <c r="A96" s="122" t="s">
        <v>8</v>
      </c>
      <c r="B96" s="6">
        <f aca="true" t="shared" si="32" ref="B96:G96">SUM(B90:B95)</f>
        <v>8000</v>
      </c>
      <c r="C96" s="6">
        <f t="shared" si="32"/>
        <v>16000</v>
      </c>
      <c r="D96" s="6">
        <f t="shared" si="32"/>
        <v>24000</v>
      </c>
      <c r="E96" s="6">
        <f t="shared" si="32"/>
        <v>33440</v>
      </c>
      <c r="F96" s="6">
        <f t="shared" si="32"/>
        <v>41800</v>
      </c>
      <c r="G96" s="121">
        <f t="shared" si="32"/>
        <v>50160</v>
      </c>
      <c r="I96" s="138"/>
      <c r="J96" s="139"/>
      <c r="K96" s="139"/>
      <c r="L96" s="139"/>
      <c r="M96" s="139"/>
      <c r="N96" s="139"/>
      <c r="O96" s="139"/>
    </row>
    <row r="97" spans="1:15" ht="13.5" thickBot="1">
      <c r="A97" s="72"/>
      <c r="B97" s="123"/>
      <c r="C97" s="123"/>
      <c r="D97" s="127">
        <f>+B96+C96+D96</f>
        <v>48000</v>
      </c>
      <c r="E97" s="125"/>
      <c r="F97" s="125"/>
      <c r="G97" s="128">
        <f>+E96+F96+G96</f>
        <v>125400</v>
      </c>
      <c r="I97" s="140"/>
      <c r="J97" s="142"/>
      <c r="K97" s="142"/>
      <c r="L97" s="143"/>
      <c r="M97" s="139"/>
      <c r="N97" s="139"/>
      <c r="O97" s="143"/>
    </row>
    <row r="98" ht="13.5" thickBot="1"/>
    <row r="99" spans="1:15" ht="14.25" thickBot="1">
      <c r="A99" s="366" t="s">
        <v>154</v>
      </c>
      <c r="B99" s="367"/>
      <c r="C99" s="367"/>
      <c r="D99" s="367"/>
      <c r="E99" s="367"/>
      <c r="F99" s="367"/>
      <c r="G99" s="368"/>
      <c r="I99" s="366" t="s">
        <v>154</v>
      </c>
      <c r="J99" s="367"/>
      <c r="K99" s="367"/>
      <c r="L99" s="367"/>
      <c r="M99" s="367"/>
      <c r="N99" s="367"/>
      <c r="O99" s="368"/>
    </row>
    <row r="100" spans="1:15" ht="12.75">
      <c r="A100" s="134"/>
      <c r="B100" s="79" t="s">
        <v>130</v>
      </c>
      <c r="C100" s="79" t="s">
        <v>131</v>
      </c>
      <c r="D100" s="79" t="s">
        <v>132</v>
      </c>
      <c r="E100" s="79" t="s">
        <v>133</v>
      </c>
      <c r="F100" s="79" t="s">
        <v>134</v>
      </c>
      <c r="G100" s="135" t="s">
        <v>135</v>
      </c>
      <c r="I100" s="134"/>
      <c r="J100" s="79" t="s">
        <v>146</v>
      </c>
      <c r="K100" s="79" t="s">
        <v>147</v>
      </c>
      <c r="L100" s="79" t="s">
        <v>148</v>
      </c>
      <c r="M100" s="79" t="s">
        <v>149</v>
      </c>
      <c r="N100" s="79" t="s">
        <v>150</v>
      </c>
      <c r="O100" s="135" t="s">
        <v>151</v>
      </c>
    </row>
    <row r="101" spans="1:15" ht="12.75">
      <c r="A101" s="118" t="s">
        <v>125</v>
      </c>
      <c r="B101" s="6">
        <f>+$B$10/3*$G$10</f>
        <v>16048.670076405302</v>
      </c>
      <c r="C101" s="6">
        <f aca="true" t="shared" si="33" ref="C101:D103">+$B$10/3*$G$10</f>
        <v>16048.670076405302</v>
      </c>
      <c r="D101" s="6">
        <f t="shared" si="33"/>
        <v>16048.670076405302</v>
      </c>
      <c r="E101" s="6">
        <f>+$B$11/3*$G$11</f>
        <v>17173.360875359784</v>
      </c>
      <c r="F101" s="6">
        <f aca="true" t="shared" si="34" ref="F101:G106">+$B$11/3*$G$11</f>
        <v>17173.360875359784</v>
      </c>
      <c r="G101" s="121">
        <f t="shared" si="34"/>
        <v>17173.360875359784</v>
      </c>
      <c r="I101" s="118" t="s">
        <v>125</v>
      </c>
      <c r="J101" s="6">
        <f>+$B$16/3*$G$16</f>
        <v>24095.532673376438</v>
      </c>
      <c r="K101" s="6">
        <f aca="true" t="shared" si="35" ref="K101:L103">+$B$16/3*$G$16</f>
        <v>24095.532673376438</v>
      </c>
      <c r="L101" s="6">
        <f t="shared" si="35"/>
        <v>24095.532673376438</v>
      </c>
      <c r="M101" s="6">
        <f>+$B$15*$G$15/3</f>
        <v>22517.505862530317</v>
      </c>
      <c r="N101" s="6">
        <f aca="true" t="shared" si="36" ref="N101:O106">+$B$15*$G$15/3</f>
        <v>22517.505862530317</v>
      </c>
      <c r="O101" s="121">
        <f t="shared" si="36"/>
        <v>22517.505862530317</v>
      </c>
    </row>
    <row r="102" spans="1:15" ht="12.75">
      <c r="A102" s="118" t="s">
        <v>126</v>
      </c>
      <c r="B102" s="6"/>
      <c r="C102" s="6">
        <f t="shared" si="33"/>
        <v>16048.670076405302</v>
      </c>
      <c r="D102" s="6">
        <f t="shared" si="33"/>
        <v>16048.670076405302</v>
      </c>
      <c r="E102" s="6">
        <f>+$B$11/3*$G$11</f>
        <v>17173.360875359784</v>
      </c>
      <c r="F102" s="6">
        <f t="shared" si="34"/>
        <v>17173.360875359784</v>
      </c>
      <c r="G102" s="121">
        <f t="shared" si="34"/>
        <v>17173.360875359784</v>
      </c>
      <c r="I102" s="118" t="s">
        <v>126</v>
      </c>
      <c r="J102" s="6"/>
      <c r="K102" s="6">
        <f t="shared" si="35"/>
        <v>24095.532673376438</v>
      </c>
      <c r="L102" s="6">
        <f t="shared" si="35"/>
        <v>24095.532673376438</v>
      </c>
      <c r="M102" s="6">
        <f>+$B$15*$G$15/3</f>
        <v>22517.505862530317</v>
      </c>
      <c r="N102" s="6">
        <f t="shared" si="36"/>
        <v>22517.505862530317</v>
      </c>
      <c r="O102" s="121">
        <f t="shared" si="36"/>
        <v>22517.505862530317</v>
      </c>
    </row>
    <row r="103" spans="1:15" ht="12.75">
      <c r="A103" s="118" t="s">
        <v>129</v>
      </c>
      <c r="B103" s="6"/>
      <c r="C103" s="6"/>
      <c r="D103" s="6">
        <f t="shared" si="33"/>
        <v>16048.670076405302</v>
      </c>
      <c r="E103" s="6">
        <f>+$B$11/3*$G$11</f>
        <v>17173.360875359784</v>
      </c>
      <c r="F103" s="6">
        <f t="shared" si="34"/>
        <v>17173.360875359784</v>
      </c>
      <c r="G103" s="121">
        <f t="shared" si="34"/>
        <v>17173.360875359784</v>
      </c>
      <c r="I103" s="118" t="s">
        <v>129</v>
      </c>
      <c r="J103" s="6"/>
      <c r="K103" s="6"/>
      <c r="L103" s="6">
        <f t="shared" si="35"/>
        <v>24095.532673376438</v>
      </c>
      <c r="M103" s="6">
        <f>+$B$15*$G$15/3</f>
        <v>22517.505862530317</v>
      </c>
      <c r="N103" s="6">
        <f t="shared" si="36"/>
        <v>22517.505862530317</v>
      </c>
      <c r="O103" s="121">
        <f t="shared" si="36"/>
        <v>22517.505862530317</v>
      </c>
    </row>
    <row r="104" spans="1:15" ht="12.75">
      <c r="A104" s="118" t="s">
        <v>136</v>
      </c>
      <c r="B104" s="6"/>
      <c r="C104" s="6"/>
      <c r="D104" s="6"/>
      <c r="E104" s="6">
        <f>+$B$11/3*$G$11</f>
        <v>17173.360875359784</v>
      </c>
      <c r="F104" s="6">
        <f t="shared" si="34"/>
        <v>17173.360875359784</v>
      </c>
      <c r="G104" s="121">
        <f t="shared" si="34"/>
        <v>17173.360875359784</v>
      </c>
      <c r="I104" s="118" t="s">
        <v>136</v>
      </c>
      <c r="J104" s="6"/>
      <c r="K104" s="6"/>
      <c r="L104" s="6"/>
      <c r="M104" s="6">
        <f>+$B$15*$G$15/3</f>
        <v>22517.505862530317</v>
      </c>
      <c r="N104" s="6">
        <f t="shared" si="36"/>
        <v>22517.505862530317</v>
      </c>
      <c r="O104" s="121">
        <f t="shared" si="36"/>
        <v>22517.505862530317</v>
      </c>
    </row>
    <row r="105" spans="1:15" ht="12.75">
      <c r="A105" s="118" t="s">
        <v>127</v>
      </c>
      <c r="B105" s="6"/>
      <c r="C105" s="6"/>
      <c r="D105" s="6"/>
      <c r="E105" s="6"/>
      <c r="F105" s="6">
        <f t="shared" si="34"/>
        <v>17173.360875359784</v>
      </c>
      <c r="G105" s="121">
        <f t="shared" si="34"/>
        <v>17173.360875359784</v>
      </c>
      <c r="I105" s="118" t="s">
        <v>127</v>
      </c>
      <c r="J105" s="6"/>
      <c r="K105" s="6"/>
      <c r="L105" s="6"/>
      <c r="M105" s="6"/>
      <c r="N105" s="6">
        <f t="shared" si="36"/>
        <v>22517.505862530317</v>
      </c>
      <c r="O105" s="121">
        <f t="shared" si="36"/>
        <v>22517.505862530317</v>
      </c>
    </row>
    <row r="106" spans="1:15" ht="12.75">
      <c r="A106" s="118" t="s">
        <v>128</v>
      </c>
      <c r="B106" s="6"/>
      <c r="C106" s="6"/>
      <c r="D106" s="6"/>
      <c r="E106" s="6"/>
      <c r="F106" s="6"/>
      <c r="G106" s="121">
        <f t="shared" si="34"/>
        <v>17173.360875359784</v>
      </c>
      <c r="I106" s="118" t="s">
        <v>128</v>
      </c>
      <c r="J106" s="6"/>
      <c r="K106" s="6"/>
      <c r="L106" s="6"/>
      <c r="M106" s="6"/>
      <c r="N106" s="6"/>
      <c r="O106" s="121">
        <f t="shared" si="36"/>
        <v>22517.505862530317</v>
      </c>
    </row>
    <row r="107" spans="1:15" ht="12.75">
      <c r="A107" s="122" t="s">
        <v>8</v>
      </c>
      <c r="B107" s="6">
        <f aca="true" t="shared" si="37" ref="B107:G107">SUM(B101:B106)</f>
        <v>16048.670076405302</v>
      </c>
      <c r="C107" s="6">
        <f t="shared" si="37"/>
        <v>32097.340152810604</v>
      </c>
      <c r="D107" s="6">
        <f t="shared" si="37"/>
        <v>48146.010229215906</v>
      </c>
      <c r="E107" s="6">
        <f t="shared" si="37"/>
        <v>68693.44350143913</v>
      </c>
      <c r="F107" s="6">
        <f t="shared" si="37"/>
        <v>85866.80437679891</v>
      </c>
      <c r="G107" s="121">
        <f t="shared" si="37"/>
        <v>103040.1652521587</v>
      </c>
      <c r="I107" s="122" t="s">
        <v>8</v>
      </c>
      <c r="J107" s="6">
        <f aca="true" t="shared" si="38" ref="J107:O107">SUM(J101:J106)</f>
        <v>24095.532673376438</v>
      </c>
      <c r="K107" s="6">
        <f t="shared" si="38"/>
        <v>48191.065346752875</v>
      </c>
      <c r="L107" s="6">
        <f t="shared" si="38"/>
        <v>72286.59802012931</v>
      </c>
      <c r="M107" s="6">
        <f t="shared" si="38"/>
        <v>90070.02345012127</v>
      </c>
      <c r="N107" s="6">
        <f t="shared" si="38"/>
        <v>112587.52931265159</v>
      </c>
      <c r="O107" s="121">
        <f t="shared" si="38"/>
        <v>135105.0351751819</v>
      </c>
    </row>
    <row r="108" spans="1:15" ht="13.5" thickBot="1">
      <c r="A108" s="72"/>
      <c r="B108" s="123"/>
      <c r="C108" s="123"/>
      <c r="D108" s="127">
        <f>+B107+C107+D107</f>
        <v>96292.02045843181</v>
      </c>
      <c r="E108" s="125"/>
      <c r="F108" s="125"/>
      <c r="G108" s="128">
        <f>+E107+F107+G107</f>
        <v>257600.41313039674</v>
      </c>
      <c r="I108" s="72"/>
      <c r="J108" s="123"/>
      <c r="K108" s="123"/>
      <c r="L108" s="127">
        <f>+J107+K107+L107</f>
        <v>144573.19604025863</v>
      </c>
      <c r="M108" s="125"/>
      <c r="N108" s="125"/>
      <c r="O108" s="128">
        <f>+M107+N107+O107</f>
        <v>337762.58793795476</v>
      </c>
    </row>
    <row r="109" ht="13.5" thickBot="1"/>
    <row r="110" spans="1:15" ht="14.25" thickBot="1">
      <c r="A110" s="366" t="s">
        <v>155</v>
      </c>
      <c r="B110" s="367"/>
      <c r="C110" s="367"/>
      <c r="D110" s="367"/>
      <c r="E110" s="367"/>
      <c r="F110" s="367"/>
      <c r="G110" s="368"/>
      <c r="I110" s="366" t="s">
        <v>155</v>
      </c>
      <c r="J110" s="367"/>
      <c r="K110" s="367"/>
      <c r="L110" s="367"/>
      <c r="M110" s="367"/>
      <c r="N110" s="367"/>
      <c r="O110" s="368"/>
    </row>
    <row r="111" spans="1:15" ht="12.75">
      <c r="A111" s="134"/>
      <c r="B111" s="79" t="s">
        <v>130</v>
      </c>
      <c r="C111" s="79" t="s">
        <v>131</v>
      </c>
      <c r="D111" s="79" t="s">
        <v>132</v>
      </c>
      <c r="E111" s="79" t="s">
        <v>133</v>
      </c>
      <c r="F111" s="79" t="s">
        <v>134</v>
      </c>
      <c r="G111" s="135" t="s">
        <v>135</v>
      </c>
      <c r="I111" s="134"/>
      <c r="J111" s="79" t="s">
        <v>146</v>
      </c>
      <c r="K111" s="79" t="s">
        <v>147</v>
      </c>
      <c r="L111" s="79" t="s">
        <v>148</v>
      </c>
      <c r="M111" s="79" t="s">
        <v>149</v>
      </c>
      <c r="N111" s="79" t="s">
        <v>150</v>
      </c>
      <c r="O111" s="135" t="s">
        <v>151</v>
      </c>
    </row>
    <row r="112" spans="1:15" ht="12.75">
      <c r="A112" s="118" t="s">
        <v>125</v>
      </c>
      <c r="B112" s="6">
        <f>+$B$10/3*$H$10</f>
        <v>21857.133190491688</v>
      </c>
      <c r="C112" s="6">
        <f aca="true" t="shared" si="39" ref="C112:D114">+$B$10/3*$H$10</f>
        <v>21857.133190491688</v>
      </c>
      <c r="D112" s="6">
        <f t="shared" si="39"/>
        <v>21857.133190491688</v>
      </c>
      <c r="E112" s="6">
        <f>+$B$11/3*$H$11</f>
        <v>23388.88108448135</v>
      </c>
      <c r="F112" s="6">
        <f>+$B$11/3*$H$11</f>
        <v>23388.88108448135</v>
      </c>
      <c r="G112" s="121">
        <f>+$B$11/3*$H$11</f>
        <v>23388.88108448135</v>
      </c>
      <c r="I112" s="118" t="s">
        <v>125</v>
      </c>
      <c r="J112" s="6">
        <f>+$B$16/3*$H$16</f>
        <v>32816.38069886712</v>
      </c>
      <c r="K112" s="6">
        <f aca="true" t="shared" si="40" ref="K112:L114">+$B$16/3*$H$16</f>
        <v>32816.38069886712</v>
      </c>
      <c r="L112" s="6">
        <f t="shared" si="40"/>
        <v>32816.38069886712</v>
      </c>
      <c r="M112" s="6">
        <f>+$B$15/3*$H$15</f>
        <v>30667.221795442507</v>
      </c>
      <c r="N112" s="6">
        <f>+$B$15/3*$H$15</f>
        <v>30667.221795442507</v>
      </c>
      <c r="O112" s="121">
        <f>+$B$15/3*$H$15</f>
        <v>30667.221795442507</v>
      </c>
    </row>
    <row r="113" spans="1:15" ht="12.75">
      <c r="A113" s="118" t="s">
        <v>126</v>
      </c>
      <c r="B113" s="6"/>
      <c r="C113" s="6">
        <f t="shared" si="39"/>
        <v>21857.133190491688</v>
      </c>
      <c r="D113" s="6">
        <f t="shared" si="39"/>
        <v>21857.133190491688</v>
      </c>
      <c r="E113" s="6">
        <f aca="true" t="shared" si="41" ref="E113:G117">+$B$11/3*$H$11</f>
        <v>23388.88108448135</v>
      </c>
      <c r="F113" s="6">
        <f t="shared" si="41"/>
        <v>23388.88108448135</v>
      </c>
      <c r="G113" s="121">
        <f t="shared" si="41"/>
        <v>23388.88108448135</v>
      </c>
      <c r="I113" s="118" t="s">
        <v>126</v>
      </c>
      <c r="J113" s="6"/>
      <c r="K113" s="6">
        <f t="shared" si="40"/>
        <v>32816.38069886712</v>
      </c>
      <c r="L113" s="6">
        <f t="shared" si="40"/>
        <v>32816.38069886712</v>
      </c>
      <c r="M113" s="6">
        <f aca="true" t="shared" si="42" ref="M113:O117">+$B$15/3*$H$15</f>
        <v>30667.221795442507</v>
      </c>
      <c r="N113" s="6">
        <f t="shared" si="42"/>
        <v>30667.221795442507</v>
      </c>
      <c r="O113" s="121">
        <f t="shared" si="42"/>
        <v>30667.221795442507</v>
      </c>
    </row>
    <row r="114" spans="1:15" ht="12.75">
      <c r="A114" s="118" t="s">
        <v>129</v>
      </c>
      <c r="B114" s="6"/>
      <c r="C114" s="6"/>
      <c r="D114" s="6">
        <f t="shared" si="39"/>
        <v>21857.133190491688</v>
      </c>
      <c r="E114" s="6">
        <f t="shared" si="41"/>
        <v>23388.88108448135</v>
      </c>
      <c r="F114" s="6">
        <f t="shared" si="41"/>
        <v>23388.88108448135</v>
      </c>
      <c r="G114" s="121">
        <f t="shared" si="41"/>
        <v>23388.88108448135</v>
      </c>
      <c r="I114" s="118" t="s">
        <v>129</v>
      </c>
      <c r="J114" s="6"/>
      <c r="K114" s="6"/>
      <c r="L114" s="6">
        <f t="shared" si="40"/>
        <v>32816.38069886712</v>
      </c>
      <c r="M114" s="6">
        <f t="shared" si="42"/>
        <v>30667.221795442507</v>
      </c>
      <c r="N114" s="6">
        <f t="shared" si="42"/>
        <v>30667.221795442507</v>
      </c>
      <c r="O114" s="121">
        <f t="shared" si="42"/>
        <v>30667.221795442507</v>
      </c>
    </row>
    <row r="115" spans="1:15" ht="12.75">
      <c r="A115" s="118" t="s">
        <v>136</v>
      </c>
      <c r="B115" s="6"/>
      <c r="C115" s="6"/>
      <c r="D115" s="6"/>
      <c r="E115" s="6">
        <f t="shared" si="41"/>
        <v>23388.88108448135</v>
      </c>
      <c r="F115" s="6">
        <f t="shared" si="41"/>
        <v>23388.88108448135</v>
      </c>
      <c r="G115" s="121">
        <f t="shared" si="41"/>
        <v>23388.88108448135</v>
      </c>
      <c r="I115" s="118" t="s">
        <v>136</v>
      </c>
      <c r="J115" s="6"/>
      <c r="K115" s="6"/>
      <c r="L115" s="6"/>
      <c r="M115" s="6">
        <f t="shared" si="42"/>
        <v>30667.221795442507</v>
      </c>
      <c r="N115" s="6">
        <f t="shared" si="42"/>
        <v>30667.221795442507</v>
      </c>
      <c r="O115" s="121">
        <f t="shared" si="42"/>
        <v>30667.221795442507</v>
      </c>
    </row>
    <row r="116" spans="1:15" ht="12.75">
      <c r="A116" s="118" t="s">
        <v>127</v>
      </c>
      <c r="B116" s="6"/>
      <c r="C116" s="6"/>
      <c r="D116" s="6"/>
      <c r="E116" s="6"/>
      <c r="F116" s="6">
        <f t="shared" si="41"/>
        <v>23388.88108448135</v>
      </c>
      <c r="G116" s="121">
        <f t="shared" si="41"/>
        <v>23388.88108448135</v>
      </c>
      <c r="I116" s="118" t="s">
        <v>127</v>
      </c>
      <c r="J116" s="6"/>
      <c r="K116" s="6"/>
      <c r="L116" s="6"/>
      <c r="M116" s="6"/>
      <c r="N116" s="6">
        <f t="shared" si="42"/>
        <v>30667.221795442507</v>
      </c>
      <c r="O116" s="121">
        <f t="shared" si="42"/>
        <v>30667.221795442507</v>
      </c>
    </row>
    <row r="117" spans="1:15" ht="12.75">
      <c r="A117" s="118" t="s">
        <v>128</v>
      </c>
      <c r="B117" s="6"/>
      <c r="C117" s="6"/>
      <c r="D117" s="6"/>
      <c r="E117" s="6"/>
      <c r="F117" s="6"/>
      <c r="G117" s="121">
        <f t="shared" si="41"/>
        <v>23388.88108448135</v>
      </c>
      <c r="I117" s="118" t="s">
        <v>128</v>
      </c>
      <c r="J117" s="6"/>
      <c r="K117" s="6"/>
      <c r="L117" s="6"/>
      <c r="M117" s="6"/>
      <c r="N117" s="6"/>
      <c r="O117" s="121">
        <f t="shared" si="42"/>
        <v>30667.221795442507</v>
      </c>
    </row>
    <row r="118" spans="1:15" ht="12.75">
      <c r="A118" s="122" t="s">
        <v>8</v>
      </c>
      <c r="B118" s="6">
        <f aca="true" t="shared" si="43" ref="B118:G118">SUM(B112:B117)</f>
        <v>21857.133190491688</v>
      </c>
      <c r="C118" s="6">
        <f t="shared" si="43"/>
        <v>43714.266380983376</v>
      </c>
      <c r="D118" s="6">
        <f t="shared" si="43"/>
        <v>65571.39957147506</v>
      </c>
      <c r="E118" s="6">
        <f t="shared" si="43"/>
        <v>93555.5243379254</v>
      </c>
      <c r="F118" s="6">
        <f t="shared" si="43"/>
        <v>116944.40542240674</v>
      </c>
      <c r="G118" s="121">
        <f t="shared" si="43"/>
        <v>140333.28650688808</v>
      </c>
      <c r="I118" s="122" t="s">
        <v>8</v>
      </c>
      <c r="J118" s="6">
        <f aca="true" t="shared" si="44" ref="J118:O118">SUM(J112:J117)</f>
        <v>32816.38069886712</v>
      </c>
      <c r="K118" s="6">
        <f t="shared" si="44"/>
        <v>65632.76139773424</v>
      </c>
      <c r="L118" s="6">
        <f t="shared" si="44"/>
        <v>98449.14209660137</v>
      </c>
      <c r="M118" s="6">
        <f t="shared" si="44"/>
        <v>122668.88718177003</v>
      </c>
      <c r="N118" s="6">
        <f t="shared" si="44"/>
        <v>153336.10897721254</v>
      </c>
      <c r="O118" s="121">
        <f t="shared" si="44"/>
        <v>184003.33077265506</v>
      </c>
    </row>
    <row r="119" spans="1:15" ht="13.5" thickBot="1">
      <c r="A119" s="72"/>
      <c r="B119" s="123"/>
      <c r="C119" s="123"/>
      <c r="D119" s="127">
        <f>+B118+C118+D118</f>
        <v>131142.79914295013</v>
      </c>
      <c r="E119" s="125"/>
      <c r="F119" s="125"/>
      <c r="G119" s="128">
        <f>+E118+F118+G118</f>
        <v>350833.2162672202</v>
      </c>
      <c r="I119" s="72"/>
      <c r="J119" s="123"/>
      <c r="K119" s="123"/>
      <c r="L119" s="127">
        <f>+J118+K118+L118</f>
        <v>196898.28419320274</v>
      </c>
      <c r="M119" s="125"/>
      <c r="N119" s="125"/>
      <c r="O119" s="128">
        <f>+M118+N118+O118</f>
        <v>460008.3269316376</v>
      </c>
    </row>
    <row r="120" ht="13.5" thickBot="1"/>
    <row r="121" spans="1:9" ht="13.5" thickBot="1">
      <c r="A121" s="152" t="s">
        <v>244</v>
      </c>
      <c r="B121" s="230" t="s">
        <v>245</v>
      </c>
      <c r="F121" s="371" t="s">
        <v>44</v>
      </c>
      <c r="G121" s="372"/>
      <c r="H121" s="372"/>
      <c r="I121" s="373"/>
    </row>
    <row r="122" spans="1:9" ht="13.5" thickBot="1">
      <c r="A122" s="226">
        <v>45000</v>
      </c>
      <c r="B122" s="168">
        <f>105000-A122</f>
        <v>60000</v>
      </c>
      <c r="C122" s="264"/>
      <c r="D122" s="264"/>
      <c r="F122" s="49" t="s">
        <v>45</v>
      </c>
      <c r="G122" s="50" t="s">
        <v>46</v>
      </c>
      <c r="H122" s="51" t="s">
        <v>47</v>
      </c>
      <c r="I122" s="50" t="s">
        <v>48</v>
      </c>
    </row>
    <row r="123" spans="1:9" ht="12.75">
      <c r="A123" s="227">
        <v>0.14</v>
      </c>
      <c r="B123" s="168"/>
      <c r="F123" s="144" t="s">
        <v>49</v>
      </c>
      <c r="G123" s="52">
        <v>1</v>
      </c>
      <c r="H123" s="53">
        <v>1400</v>
      </c>
      <c r="I123" s="54">
        <f aca="true" t="shared" si="45" ref="I123:I135">+H123*G123</f>
        <v>1400</v>
      </c>
    </row>
    <row r="124" spans="1:9" ht="12.75">
      <c r="A124" s="226">
        <v>3</v>
      </c>
      <c r="B124" s="168"/>
      <c r="F124" s="144" t="s">
        <v>50</v>
      </c>
      <c r="G124" s="52">
        <v>1</v>
      </c>
      <c r="H124" s="53">
        <v>350</v>
      </c>
      <c r="I124" s="54">
        <f t="shared" si="45"/>
        <v>350</v>
      </c>
    </row>
    <row r="125" spans="1:9" ht="13.5" thickBot="1">
      <c r="A125" s="228">
        <f>PMT(A123,A124,A122,0,0)</f>
        <v>-19382.916618211413</v>
      </c>
      <c r="B125" s="229"/>
      <c r="F125" s="144" t="s">
        <v>51</v>
      </c>
      <c r="G125" s="52">
        <v>1</v>
      </c>
      <c r="H125" s="53">
        <v>900</v>
      </c>
      <c r="I125" s="54">
        <f t="shared" si="45"/>
        <v>900</v>
      </c>
    </row>
    <row r="126" spans="6:9" ht="13.5" thickBot="1">
      <c r="F126" s="144" t="s">
        <v>52</v>
      </c>
      <c r="G126" s="52">
        <v>1</v>
      </c>
      <c r="H126" s="53">
        <v>900</v>
      </c>
      <c r="I126" s="54">
        <f t="shared" si="45"/>
        <v>900</v>
      </c>
    </row>
    <row r="127" spans="1:9" ht="13.5" thickBot="1">
      <c r="A127" s="153" t="s">
        <v>175</v>
      </c>
      <c r="B127" s="154" t="s">
        <v>176</v>
      </c>
      <c r="C127" s="162" t="s">
        <v>177</v>
      </c>
      <c r="D127" s="154" t="s">
        <v>178</v>
      </c>
      <c r="E127" s="155" t="s">
        <v>179</v>
      </c>
      <c r="F127" s="144" t="s">
        <v>53</v>
      </c>
      <c r="G127" s="52">
        <v>1</v>
      </c>
      <c r="H127" s="53">
        <v>900</v>
      </c>
      <c r="I127" s="54">
        <f t="shared" si="45"/>
        <v>900</v>
      </c>
    </row>
    <row r="128" spans="1:9" ht="12.75">
      <c r="A128" s="156">
        <v>0</v>
      </c>
      <c r="B128" s="157"/>
      <c r="C128" s="157"/>
      <c r="D128" s="157"/>
      <c r="E128" s="158">
        <f>+A122</f>
        <v>45000</v>
      </c>
      <c r="F128" s="144" t="s">
        <v>54</v>
      </c>
      <c r="G128" s="52">
        <v>1</v>
      </c>
      <c r="H128" s="53">
        <v>800</v>
      </c>
      <c r="I128" s="54">
        <f t="shared" si="45"/>
        <v>800</v>
      </c>
    </row>
    <row r="129" spans="1:9" ht="12.75">
      <c r="A129" s="156">
        <v>1</v>
      </c>
      <c r="B129" s="157">
        <f>-$A$125</f>
        <v>19382.916618211413</v>
      </c>
      <c r="C129" s="157">
        <f>+B129-D129</f>
        <v>13082.916618211413</v>
      </c>
      <c r="D129" s="157">
        <f>+E128*$A$123</f>
        <v>6300.000000000001</v>
      </c>
      <c r="E129" s="158">
        <f>+E128-C129</f>
        <v>31917.083381788587</v>
      </c>
      <c r="F129" s="144" t="s">
        <v>55</v>
      </c>
      <c r="G129" s="52">
        <v>1</v>
      </c>
      <c r="H129" s="53">
        <v>500</v>
      </c>
      <c r="I129" s="54">
        <f t="shared" si="45"/>
        <v>500</v>
      </c>
    </row>
    <row r="130" spans="1:9" ht="12.75">
      <c r="A130" s="156">
        <v>2</v>
      </c>
      <c r="B130" s="157">
        <f>-$A$125</f>
        <v>19382.916618211413</v>
      </c>
      <c r="C130" s="157">
        <f>+B130-D130</f>
        <v>14914.524944761011</v>
      </c>
      <c r="D130" s="157">
        <f>+E129*$A$123</f>
        <v>4468.391673450403</v>
      </c>
      <c r="E130" s="158">
        <f>+E129-C130</f>
        <v>17002.558437027576</v>
      </c>
      <c r="F130" s="144" t="s">
        <v>56</v>
      </c>
      <c r="G130" s="52">
        <v>1</v>
      </c>
      <c r="H130" s="53">
        <v>500</v>
      </c>
      <c r="I130" s="54">
        <f t="shared" si="45"/>
        <v>500</v>
      </c>
    </row>
    <row r="131" spans="1:9" ht="13.5" thickBot="1">
      <c r="A131" s="159">
        <v>3</v>
      </c>
      <c r="B131" s="160">
        <f>-$A$125</f>
        <v>19382.916618211413</v>
      </c>
      <c r="C131" s="160">
        <f>+B131-D131</f>
        <v>17002.558437027554</v>
      </c>
      <c r="D131" s="160">
        <f>+E130*$A$123</f>
        <v>2380.358181183861</v>
      </c>
      <c r="E131" s="161">
        <f>+E130-C131</f>
        <v>0</v>
      </c>
      <c r="F131" s="144" t="s">
        <v>57</v>
      </c>
      <c r="G131" s="52">
        <v>1</v>
      </c>
      <c r="H131" s="53">
        <v>350</v>
      </c>
      <c r="I131" s="54">
        <f t="shared" si="45"/>
        <v>350</v>
      </c>
    </row>
    <row r="132" spans="6:9" ht="12.75">
      <c r="F132" s="144" t="s">
        <v>58</v>
      </c>
      <c r="G132" s="52">
        <v>1</v>
      </c>
      <c r="H132" s="53">
        <v>350</v>
      </c>
      <c r="I132" s="54">
        <f t="shared" si="45"/>
        <v>350</v>
      </c>
    </row>
    <row r="133" spans="6:9" ht="12.75">
      <c r="F133" s="144" t="s">
        <v>59</v>
      </c>
      <c r="G133" s="52">
        <v>1</v>
      </c>
      <c r="H133" s="53">
        <v>350</v>
      </c>
      <c r="I133" s="54">
        <f t="shared" si="45"/>
        <v>350</v>
      </c>
    </row>
    <row r="134" spans="6:9" ht="12.75">
      <c r="F134" s="144" t="s">
        <v>60</v>
      </c>
      <c r="G134" s="52">
        <v>1</v>
      </c>
      <c r="H134" s="53">
        <v>250</v>
      </c>
      <c r="I134" s="54">
        <f t="shared" si="45"/>
        <v>250</v>
      </c>
    </row>
    <row r="135" spans="6:9" ht="12.75">
      <c r="F135" s="144" t="s">
        <v>61</v>
      </c>
      <c r="G135" s="52">
        <v>2</v>
      </c>
      <c r="H135" s="53">
        <v>200</v>
      </c>
      <c r="I135" s="54">
        <f t="shared" si="45"/>
        <v>400</v>
      </c>
    </row>
    <row r="136" spans="6:9" ht="13.5" thickBot="1">
      <c r="F136" s="55" t="s">
        <v>8</v>
      </c>
      <c r="G136" s="56"/>
      <c r="H136" s="57"/>
      <c r="I136" s="58">
        <f>SUM(I123:I133)</f>
        <v>7300</v>
      </c>
    </row>
    <row r="137" ht="13.5" thickBot="1"/>
    <row r="138" spans="2:9" ht="13.5" thickBot="1">
      <c r="B138" s="363" t="s">
        <v>171</v>
      </c>
      <c r="C138" s="364"/>
      <c r="D138" s="364"/>
      <c r="E138" s="364"/>
      <c r="F138" s="364"/>
      <c r="G138" s="364"/>
      <c r="H138" s="364"/>
      <c r="I138" s="365"/>
    </row>
    <row r="139" spans="2:9" ht="13.5" thickBot="1">
      <c r="B139" s="147" t="s">
        <v>162</v>
      </c>
      <c r="C139" s="148" t="s">
        <v>71</v>
      </c>
      <c r="D139" s="148" t="s">
        <v>65</v>
      </c>
      <c r="E139" s="148" t="s">
        <v>66</v>
      </c>
      <c r="F139" s="148" t="s">
        <v>67</v>
      </c>
      <c r="G139" s="148" t="s">
        <v>68</v>
      </c>
      <c r="H139" s="148" t="s">
        <v>69</v>
      </c>
      <c r="I139" s="149" t="s">
        <v>70</v>
      </c>
    </row>
    <row r="140" spans="2:9" ht="12.75">
      <c r="B140" s="73"/>
      <c r="C140" s="52"/>
      <c r="D140" s="52"/>
      <c r="E140" s="52"/>
      <c r="F140" s="129"/>
      <c r="G140" s="129"/>
      <c r="H140" s="52"/>
      <c r="I140" s="150"/>
    </row>
    <row r="141" spans="2:9" ht="12.75">
      <c r="B141" s="73" t="s">
        <v>163</v>
      </c>
      <c r="C141" s="6">
        <f>+$S$3/3</f>
        <v>933.3333333333334</v>
      </c>
      <c r="D141" s="6">
        <f>+$S$3/3</f>
        <v>933.3333333333334</v>
      </c>
      <c r="E141" s="6">
        <f>+$S$3/3</f>
        <v>933.3333333333334</v>
      </c>
      <c r="F141" s="6">
        <f>+$T$3/3</f>
        <v>1065.0866666666668</v>
      </c>
      <c r="G141" s="6">
        <f>+$T$3/3</f>
        <v>1065.0866666666668</v>
      </c>
      <c r="H141" s="6">
        <f>+$T$3/3</f>
        <v>1065.0866666666668</v>
      </c>
      <c r="I141" s="121">
        <f>+U3/3</f>
        <v>1215.4433333333334</v>
      </c>
    </row>
    <row r="142" spans="2:9" ht="12.75">
      <c r="B142" s="73" t="s">
        <v>164</v>
      </c>
      <c r="C142" s="6">
        <f>+$S$4/3</f>
        <v>50</v>
      </c>
      <c r="D142" s="6">
        <f>+$S$4/3</f>
        <v>50</v>
      </c>
      <c r="E142" s="6">
        <f>+$S$4/3</f>
        <v>50</v>
      </c>
      <c r="F142" s="6">
        <f>+$T$4/3</f>
        <v>57.06</v>
      </c>
      <c r="G142" s="6">
        <f>+$T$4/3</f>
        <v>57.06</v>
      </c>
      <c r="H142" s="6">
        <f>+$T$4/3</f>
        <v>57.06</v>
      </c>
      <c r="I142" s="121">
        <f>+U4/3</f>
        <v>65.11333333333333</v>
      </c>
    </row>
    <row r="143" spans="2:9" ht="12.75">
      <c r="B143" s="73" t="s">
        <v>165</v>
      </c>
      <c r="C143" s="6">
        <f>+$S$5/10</f>
        <v>10</v>
      </c>
      <c r="D143" s="6">
        <f aca="true" t="shared" si="46" ref="D143:I143">+$S$5/10</f>
        <v>10</v>
      </c>
      <c r="E143" s="6">
        <f t="shared" si="46"/>
        <v>10</v>
      </c>
      <c r="F143" s="6">
        <f t="shared" si="46"/>
        <v>10</v>
      </c>
      <c r="G143" s="6">
        <f t="shared" si="46"/>
        <v>10</v>
      </c>
      <c r="H143" s="6">
        <f t="shared" si="46"/>
        <v>10</v>
      </c>
      <c r="I143" s="121">
        <f t="shared" si="46"/>
        <v>10</v>
      </c>
    </row>
    <row r="144" spans="2:9" ht="12.75">
      <c r="B144" s="73" t="s">
        <v>166</v>
      </c>
      <c r="C144" s="6">
        <f>+$S$6/10</f>
        <v>120</v>
      </c>
      <c r="D144" s="6">
        <f aca="true" t="shared" si="47" ref="D144:I144">+$S$6/10</f>
        <v>120</v>
      </c>
      <c r="E144" s="6">
        <f t="shared" si="47"/>
        <v>120</v>
      </c>
      <c r="F144" s="6">
        <f t="shared" si="47"/>
        <v>120</v>
      </c>
      <c r="G144" s="6">
        <f t="shared" si="47"/>
        <v>120</v>
      </c>
      <c r="H144" s="6">
        <f t="shared" si="47"/>
        <v>120</v>
      </c>
      <c r="I144" s="121">
        <f t="shared" si="47"/>
        <v>120</v>
      </c>
    </row>
    <row r="145" spans="2:9" ht="12.75">
      <c r="B145" s="73" t="s">
        <v>167</v>
      </c>
      <c r="C145" s="6">
        <f>+$S$7/10</f>
        <v>250</v>
      </c>
      <c r="D145" s="6">
        <f aca="true" t="shared" si="48" ref="D145:I145">+$S$7/10</f>
        <v>250</v>
      </c>
      <c r="E145" s="6">
        <f t="shared" si="48"/>
        <v>250</v>
      </c>
      <c r="F145" s="6">
        <f t="shared" si="48"/>
        <v>250</v>
      </c>
      <c r="G145" s="6">
        <f t="shared" si="48"/>
        <v>250</v>
      </c>
      <c r="H145" s="6">
        <f t="shared" si="48"/>
        <v>250</v>
      </c>
      <c r="I145" s="121">
        <f t="shared" si="48"/>
        <v>250</v>
      </c>
    </row>
    <row r="146" spans="2:9" ht="12.75">
      <c r="B146" s="73" t="s">
        <v>168</v>
      </c>
      <c r="C146" s="6">
        <f>+$S$8/10</f>
        <v>50</v>
      </c>
      <c r="D146" s="6">
        <f aca="true" t="shared" si="49" ref="D146:I146">+$S$8/10</f>
        <v>50</v>
      </c>
      <c r="E146" s="6">
        <f t="shared" si="49"/>
        <v>50</v>
      </c>
      <c r="F146" s="6">
        <f t="shared" si="49"/>
        <v>50</v>
      </c>
      <c r="G146" s="6">
        <f t="shared" si="49"/>
        <v>50</v>
      </c>
      <c r="H146" s="6">
        <f t="shared" si="49"/>
        <v>50</v>
      </c>
      <c r="I146" s="121">
        <f t="shared" si="49"/>
        <v>50</v>
      </c>
    </row>
    <row r="147" spans="2:9" ht="12.75">
      <c r="B147" s="73" t="s">
        <v>169</v>
      </c>
      <c r="C147" s="6">
        <f>+$S$11/5</f>
        <v>5000</v>
      </c>
      <c r="D147" s="6">
        <f>+$S$11/5</f>
        <v>5000</v>
      </c>
      <c r="E147" s="6">
        <f>+$S$11/5</f>
        <v>5000</v>
      </c>
      <c r="F147" s="6">
        <f>+$S$11/5</f>
        <v>5000</v>
      </c>
      <c r="G147" s="6">
        <f>+$S$11/5</f>
        <v>5000</v>
      </c>
      <c r="H147" s="6">
        <v>6354.106</v>
      </c>
      <c r="I147" s="121">
        <v>6354.106</v>
      </c>
    </row>
    <row r="148" spans="2:9" ht="12.75">
      <c r="B148" s="73"/>
      <c r="C148" s="6"/>
      <c r="D148" s="6"/>
      <c r="E148" s="6"/>
      <c r="F148" s="6"/>
      <c r="G148" s="6"/>
      <c r="H148" s="6"/>
      <c r="I148" s="121"/>
    </row>
    <row r="149" spans="2:9" ht="13.5" thickBot="1">
      <c r="B149" s="72" t="s">
        <v>170</v>
      </c>
      <c r="C149" s="127">
        <f aca="true" t="shared" si="50" ref="C149:I149">SUM(C141:C148)</f>
        <v>6413.333333333334</v>
      </c>
      <c r="D149" s="127">
        <f t="shared" si="50"/>
        <v>6413.333333333334</v>
      </c>
      <c r="E149" s="127">
        <f t="shared" si="50"/>
        <v>6413.333333333334</v>
      </c>
      <c r="F149" s="127">
        <f t="shared" si="50"/>
        <v>6552.1466666666665</v>
      </c>
      <c r="G149" s="127">
        <f t="shared" si="50"/>
        <v>6552.1466666666665</v>
      </c>
      <c r="H149" s="127">
        <f t="shared" si="50"/>
        <v>7906.252666666666</v>
      </c>
      <c r="I149" s="128">
        <f t="shared" si="50"/>
        <v>8064.662666666666</v>
      </c>
    </row>
    <row r="150" spans="2:9" ht="13.5" thickBot="1">
      <c r="B150" s="152" t="s">
        <v>172</v>
      </c>
      <c r="C150" s="163">
        <f>+C149</f>
        <v>6413.333333333334</v>
      </c>
      <c r="D150" s="163">
        <f aca="true" t="shared" si="51" ref="D150:I150">+C150+D149</f>
        <v>12826.666666666668</v>
      </c>
      <c r="E150" s="163">
        <f t="shared" si="51"/>
        <v>19240</v>
      </c>
      <c r="F150" s="163">
        <f t="shared" si="51"/>
        <v>25792.146666666667</v>
      </c>
      <c r="G150" s="163">
        <f t="shared" si="51"/>
        <v>32344.293333333335</v>
      </c>
      <c r="H150" s="163">
        <f t="shared" si="51"/>
        <v>40250.546</v>
      </c>
      <c r="I150" s="164">
        <f t="shared" si="51"/>
        <v>48315.208666666666</v>
      </c>
    </row>
    <row r="151" spans="2:9" ht="13.5" thickBot="1">
      <c r="B151" s="72" t="s">
        <v>108</v>
      </c>
      <c r="C151" s="125"/>
      <c r="D151" s="125"/>
      <c r="E151" s="125">
        <f>+F141-E141+F142-E142</f>
        <v>138.81333333333345</v>
      </c>
      <c r="F151" s="125"/>
      <c r="G151" s="125">
        <f>+(H147-G147)*3</f>
        <v>4062.3179999999993</v>
      </c>
      <c r="H151" s="125">
        <f>+I141-E141+I142-E142</f>
        <v>297.22333333333336</v>
      </c>
      <c r="I151" s="126">
        <f>+I141+I141+I142++I143+I143+I143+I144+I144+I144+I145+I145+I145+I146+I146+I146+I147+I147+I147</f>
        <v>22848.318</v>
      </c>
    </row>
    <row r="152" spans="2:9" ht="12.75">
      <c r="B152" s="3" t="s">
        <v>180</v>
      </c>
      <c r="E152" s="7">
        <f>+((D141*3)+(E142*3))*(1+J2)*(1+J2)*(1+J2)</f>
        <v>3366.440068749999</v>
      </c>
      <c r="F152" s="8"/>
      <c r="G152" s="7">
        <f>+(C147+D147+E147+F147+G147)*(1+J2)*(1+J2)*(1+J2)*(1+J2)*(1+J2)</f>
        <v>31154.548441328116</v>
      </c>
      <c r="H152" s="7">
        <f>+E152*(1+J2)*(1+J2)*(1+J2)</f>
        <v>3841.6673683001695</v>
      </c>
      <c r="I152" s="8"/>
    </row>
    <row r="153" ht="12.75">
      <c r="B153" s="146"/>
    </row>
    <row r="154" ht="12.75">
      <c r="B154" s="146"/>
    </row>
    <row r="155" ht="12.75">
      <c r="B155" s="146"/>
    </row>
    <row r="156" ht="12.75">
      <c r="B156" s="146"/>
    </row>
    <row r="157" spans="1:2" ht="12.75">
      <c r="A157" s="146"/>
      <c r="B157" s="146"/>
    </row>
  </sheetData>
  <mergeCells count="29">
    <mergeCell ref="F121:I121"/>
    <mergeCell ref="A33:B33"/>
    <mergeCell ref="A34:B34"/>
    <mergeCell ref="A32:B32"/>
    <mergeCell ref="A75:G75"/>
    <mergeCell ref="A88:G88"/>
    <mergeCell ref="I93:J93"/>
    <mergeCell ref="I94:J94"/>
    <mergeCell ref="I75:O75"/>
    <mergeCell ref="K19:N19"/>
    <mergeCell ref="F18:I18"/>
    <mergeCell ref="I92:J92"/>
    <mergeCell ref="A53:G53"/>
    <mergeCell ref="A64:G64"/>
    <mergeCell ref="I53:O53"/>
    <mergeCell ref="I64:O64"/>
    <mergeCell ref="A29:B29"/>
    <mergeCell ref="A30:B30"/>
    <mergeCell ref="A31:B31"/>
    <mergeCell ref="B138:I138"/>
    <mergeCell ref="K9:N9"/>
    <mergeCell ref="I89:J89"/>
    <mergeCell ref="I90:J90"/>
    <mergeCell ref="I91:J91"/>
    <mergeCell ref="I88:L88"/>
    <mergeCell ref="A99:G99"/>
    <mergeCell ref="I99:O99"/>
    <mergeCell ref="A110:G110"/>
    <mergeCell ref="I110:O110"/>
  </mergeCells>
  <printOptions/>
  <pageMargins left="0.29" right="0.19" top="0.39" bottom="0.36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O80"/>
  <sheetViews>
    <sheetView workbookViewId="0" topLeftCell="D13">
      <selection activeCell="J63" sqref="J63"/>
    </sheetView>
  </sheetViews>
  <sheetFormatPr defaultColWidth="11.421875" defaultRowHeight="12.75"/>
  <cols>
    <col min="1" max="1" width="1.421875" style="2" customWidth="1"/>
    <col min="2" max="2" width="7.8515625" style="2" customWidth="1"/>
    <col min="3" max="3" width="11.8515625" style="2" bestFit="1" customWidth="1"/>
    <col min="4" max="5" width="12.140625" style="2" customWidth="1"/>
    <col min="6" max="6" width="5.7109375" style="2" customWidth="1"/>
    <col min="7" max="7" width="11.421875" style="2" customWidth="1"/>
    <col min="8" max="8" width="11.8515625" style="2" bestFit="1" customWidth="1"/>
    <col min="9" max="9" width="10.00390625" style="2" bestFit="1" customWidth="1"/>
    <col min="10" max="10" width="12.140625" style="2" bestFit="1" customWidth="1"/>
    <col min="11" max="11" width="9.00390625" style="2" bestFit="1" customWidth="1"/>
    <col min="12" max="12" width="7.8515625" style="2" customWidth="1"/>
    <col min="13" max="13" width="11.8515625" style="2" bestFit="1" customWidth="1"/>
    <col min="14" max="14" width="10.00390625" style="2" bestFit="1" customWidth="1"/>
    <col min="15" max="15" width="12.140625" style="2" bestFit="1" customWidth="1"/>
    <col min="16" max="16384" width="11.421875" style="2" customWidth="1"/>
  </cols>
  <sheetData>
    <row r="2" ht="13.5" thickBot="1"/>
    <row r="3" spans="2:15" ht="13.5" thickBot="1">
      <c r="B3" s="371" t="s">
        <v>246</v>
      </c>
      <c r="C3" s="372"/>
      <c r="D3" s="372"/>
      <c r="E3" s="373"/>
      <c r="G3" s="371" t="s">
        <v>247</v>
      </c>
      <c r="H3" s="372"/>
      <c r="I3" s="372"/>
      <c r="J3" s="373"/>
      <c r="L3" s="371" t="s">
        <v>249</v>
      </c>
      <c r="M3" s="372"/>
      <c r="N3" s="372"/>
      <c r="O3" s="373"/>
    </row>
    <row r="4" ht="13.5" thickBot="1"/>
    <row r="5" spans="2:15" s="3" customFormat="1" ht="13.5" thickBot="1">
      <c r="B5" s="239" t="s">
        <v>238</v>
      </c>
      <c r="C5" s="240" t="s">
        <v>239</v>
      </c>
      <c r="D5" s="240" t="s">
        <v>240</v>
      </c>
      <c r="E5" s="241" t="s">
        <v>243</v>
      </c>
      <c r="G5" s="239" t="s">
        <v>238</v>
      </c>
      <c r="H5" s="240" t="s">
        <v>239</v>
      </c>
      <c r="I5" s="240" t="s">
        <v>240</v>
      </c>
      <c r="J5" s="241" t="s">
        <v>243</v>
      </c>
      <c r="L5" s="239" t="s">
        <v>238</v>
      </c>
      <c r="M5" s="240" t="s">
        <v>239</v>
      </c>
      <c r="N5" s="240" t="s">
        <v>240</v>
      </c>
      <c r="O5" s="241" t="s">
        <v>243</v>
      </c>
    </row>
    <row r="6" spans="2:15" ht="12.75">
      <c r="B6" s="232">
        <v>0</v>
      </c>
      <c r="C6" s="233">
        <v>-60000</v>
      </c>
      <c r="D6" s="233">
        <f>+C6</f>
        <v>-60000</v>
      </c>
      <c r="E6" s="234">
        <f>+D6</f>
        <v>-60000</v>
      </c>
      <c r="G6" s="232">
        <v>0</v>
      </c>
      <c r="H6" s="233">
        <v>-105000</v>
      </c>
      <c r="I6" s="233">
        <f>+H6</f>
        <v>-105000</v>
      </c>
      <c r="J6" s="234">
        <f>+I6</f>
        <v>-105000</v>
      </c>
      <c r="L6" s="232">
        <v>0</v>
      </c>
      <c r="M6" s="233">
        <v>-60000</v>
      </c>
      <c r="N6" s="233">
        <f>+M6</f>
        <v>-60000</v>
      </c>
      <c r="O6" s="234">
        <f>+N6</f>
        <v>-60000</v>
      </c>
    </row>
    <row r="7" spans="2:15" ht="12.75">
      <c r="B7" s="232">
        <v>1</v>
      </c>
      <c r="C7" s="233">
        <v>-62848.87261102768</v>
      </c>
      <c r="D7" s="233">
        <f>+C7/(1+$C$18)</f>
        <v>-54732.101899353554</v>
      </c>
      <c r="E7" s="234">
        <f>+E6+D7</f>
        <v>-114732.10189935355</v>
      </c>
      <c r="G7" s="232">
        <v>1</v>
      </c>
      <c r="H7" s="233">
        <v>-43490.376394048304</v>
      </c>
      <c r="I7" s="233">
        <f>+H7/(1+$C$18)</f>
        <v>-37873.705820820614</v>
      </c>
      <c r="J7" s="234">
        <f>+J6+I7</f>
        <v>-142873.7058208206</v>
      </c>
      <c r="L7" s="232">
        <v>1</v>
      </c>
      <c r="M7" s="233">
        <v>-74242.8126220848</v>
      </c>
      <c r="N7" s="233">
        <f>+M7/(1+$C$18)</f>
        <v>-64654.54377957399</v>
      </c>
      <c r="O7" s="234">
        <f>+O6+N7</f>
        <v>-124654.54377957399</v>
      </c>
    </row>
    <row r="8" spans="2:15" ht="12.75">
      <c r="B8" s="232">
        <v>2</v>
      </c>
      <c r="C8" s="233">
        <v>33760.62375905414</v>
      </c>
      <c r="D8" s="233">
        <f>+C8/(1+$C$18)/(1+$C$18)</f>
        <v>25603.523282348466</v>
      </c>
      <c r="E8" s="234">
        <f aca="true" t="shared" si="0" ref="E8:E13">+E7+D8</f>
        <v>-89128.57861700509</v>
      </c>
      <c r="G8" s="232">
        <v>2</v>
      </c>
      <c r="H8" s="233">
        <v>51107.84057819634</v>
      </c>
      <c r="I8" s="233">
        <f>+H8/(1+$C$18)/(1+$C$18)</f>
        <v>38759.3782476685</v>
      </c>
      <c r="J8" s="234">
        <f aca="true" t="shared" si="1" ref="J8:J13">+J7+I8</f>
        <v>-104114.32757315211</v>
      </c>
      <c r="L8" s="232">
        <v>2</v>
      </c>
      <c r="M8" s="233">
        <v>16919.833513591206</v>
      </c>
      <c r="N8" s="233">
        <f>+M8/(1+$C$18)/(1+$C$18)</f>
        <v>12831.734223586787</v>
      </c>
      <c r="O8" s="234">
        <f aca="true" t="shared" si="2" ref="O8:O13">+O7+N8</f>
        <v>-111822.8095559872</v>
      </c>
    </row>
    <row r="9" spans="2:15" ht="12.75">
      <c r="B9" s="232">
        <v>3</v>
      </c>
      <c r="C9" s="233">
        <v>55511.5858619911</v>
      </c>
      <c r="D9" s="233">
        <f>+C9/(1+$C$18)/(1+$C$18)/(1+$C$18)</f>
        <v>36662.11708171984</v>
      </c>
      <c r="E9" s="234">
        <f t="shared" si="0"/>
        <v>-52466.46153528524</v>
      </c>
      <c r="G9" s="232">
        <v>3</v>
      </c>
      <c r="H9" s="233">
        <v>73782.94335869141</v>
      </c>
      <c r="I9" s="233">
        <f>+H9/(1+$C$18)/(1+$C$18)/(1+$C$18)</f>
        <v>48729.26734205217</v>
      </c>
      <c r="J9" s="234">
        <f t="shared" si="1"/>
        <v>-55385.060231099946</v>
      </c>
      <c r="L9" s="232">
        <v>3</v>
      </c>
      <c r="M9" s="233">
        <v>33886.39447095321</v>
      </c>
      <c r="N9" s="233">
        <f>+M9/(1+$C$18)/(1+$C$18)/(1+$C$18)</f>
        <v>22379.958026421074</v>
      </c>
      <c r="O9" s="234">
        <f t="shared" si="2"/>
        <v>-89442.85152956613</v>
      </c>
    </row>
    <row r="10" spans="2:15" ht="12.75">
      <c r="B10" s="232">
        <v>4</v>
      </c>
      <c r="C10" s="233">
        <v>85967.98911863405</v>
      </c>
      <c r="D10" s="233">
        <f>+C10/(1+$C$18)/(1+$C$18)/(1+$C$18)/(1+$C$18)</f>
        <v>49444.19481895259</v>
      </c>
      <c r="E10" s="234">
        <f t="shared" si="0"/>
        <v>-3022.266716332655</v>
      </c>
      <c r="G10" s="232">
        <v>4</v>
      </c>
      <c r="H10" s="233">
        <v>85918.39215681556</v>
      </c>
      <c r="I10" s="233">
        <f>+H10/(1+$C$18)/(1+$C$18)/(1+$C$18)/(1+$C$18)</f>
        <v>49415.66929604897</v>
      </c>
      <c r="J10" s="234">
        <f t="shared" si="1"/>
        <v>-5969.390935050978</v>
      </c>
      <c r="L10" s="232">
        <v>4</v>
      </c>
      <c r="M10" s="233">
        <v>62827.30431491221</v>
      </c>
      <c r="N10" s="233">
        <f>+M10/(1+$C$18)/(1+$C$18)/(1+$C$18)/(1+$C$18)</f>
        <v>36134.909125410726</v>
      </c>
      <c r="O10" s="234">
        <f t="shared" si="2"/>
        <v>-53307.94240415541</v>
      </c>
    </row>
    <row r="11" spans="2:15" ht="12.75">
      <c r="B11" s="232">
        <v>5</v>
      </c>
      <c r="C11" s="233">
        <v>66615.48282567877</v>
      </c>
      <c r="D11" s="233">
        <f>+C11/(1+$C$18)/(1+$C$18)/(1+$C$18)/(1+$C$18)/(1+$C$18)</f>
        <v>33365.55519930995</v>
      </c>
      <c r="E11" s="234">
        <f t="shared" si="0"/>
        <v>30343.288482977296</v>
      </c>
      <c r="G11" s="232">
        <v>5</v>
      </c>
      <c r="H11" s="233">
        <v>66562.41010877595</v>
      </c>
      <c r="I11" s="233">
        <f>+H11/(1+$C$18)/(1+$C$18)/(1+$C$18)/(1+$C$18)/(1+$C$18)</f>
        <v>33338.97278047449</v>
      </c>
      <c r="J11" s="234">
        <f t="shared" si="1"/>
        <v>27369.581845423512</v>
      </c>
      <c r="L11" s="232">
        <v>5</v>
      </c>
      <c r="M11" s="233">
        <v>41853.098830912175</v>
      </c>
      <c r="N11" s="233">
        <f>+M11/(1+$C$18)/(1+$C$18)/(1+$C$18)/(1+$C$18)/(1+$C$18)</f>
        <v>20962.872594637625</v>
      </c>
      <c r="O11" s="234">
        <f t="shared" si="2"/>
        <v>-32345.069809517783</v>
      </c>
    </row>
    <row r="12" spans="2:15" ht="12.75">
      <c r="B12" s="232">
        <v>6</v>
      </c>
      <c r="C12" s="233">
        <v>102843.43072134344</v>
      </c>
      <c r="D12" s="233">
        <f>+C12/(1+$C$18)/(1+$C$18)/(1+$C$18)/(1+$C$18)/(1+$C$18)/(1+$C$18)</f>
        <v>44858.46068890461</v>
      </c>
      <c r="E12" s="234">
        <f t="shared" si="0"/>
        <v>75201.74917188191</v>
      </c>
      <c r="G12" s="232">
        <v>6</v>
      </c>
      <c r="H12" s="233">
        <v>102786.63866844022</v>
      </c>
      <c r="I12" s="233">
        <f>+H12/(1+$C$18)/(1+$C$18)/(1+$C$18)/(1+$C$18)/(1+$C$18)/(1+$C$18)</f>
        <v>44833.68901360428</v>
      </c>
      <c r="J12" s="234">
        <f t="shared" si="1"/>
        <v>72203.27085902779</v>
      </c>
      <c r="L12" s="232">
        <v>6</v>
      </c>
      <c r="M12" s="233">
        <v>76345.6988562237</v>
      </c>
      <c r="N12" s="233">
        <f>+M12/(1+$C$18)/(1+$C$18)/(1+$C$18)/(1+$C$18)/(1+$C$18)/(1+$C$18)</f>
        <v>33300.62510446873</v>
      </c>
      <c r="O12" s="234">
        <f t="shared" si="2"/>
        <v>955.5552949509474</v>
      </c>
    </row>
    <row r="13" spans="2:15" ht="13.5" thickBot="1">
      <c r="B13" s="235">
        <v>7</v>
      </c>
      <c r="C13" s="237">
        <v>130502.0021378753</v>
      </c>
      <c r="D13" s="237">
        <f>+C13/(1+$C$18)/(1+$C$18)/(1+$C$18)/(1+$C$18)/(1+$C$18)/(1+$C$18)/(1+$C$18)</f>
        <v>49571.22152222313</v>
      </c>
      <c r="E13" s="238">
        <f t="shared" si="0"/>
        <v>124772.97069410504</v>
      </c>
      <c r="G13" s="235">
        <v>7</v>
      </c>
      <c r="H13" s="237">
        <v>130441.23009790457</v>
      </c>
      <c r="I13" s="237">
        <f>+H13/(1+$C$18)/(1+$C$18)/(1+$C$18)/(1+$C$18)/(1+$C$18)/(1+$C$18)/(1+$C$18)</f>
        <v>49548.137246071085</v>
      </c>
      <c r="J13" s="238">
        <f t="shared" si="1"/>
        <v>121751.40810509888</v>
      </c>
      <c r="L13" s="235">
        <v>7</v>
      </c>
      <c r="M13" s="237">
        <v>102147.30922364796</v>
      </c>
      <c r="N13" s="237">
        <f>+M13/(1+$C$18)/(1+$C$18)/(1+$C$18)/(1+$C$18)/(1+$C$18)/(1+$C$18)/(1+$C$18)</f>
        <v>38800.683594684044</v>
      </c>
      <c r="O13" s="238">
        <f t="shared" si="2"/>
        <v>39756.23888963499</v>
      </c>
    </row>
    <row r="14" ht="13.5" thickBot="1">
      <c r="D14" s="224"/>
    </row>
    <row r="15" spans="2:13" ht="12.75">
      <c r="B15" s="134" t="s">
        <v>124</v>
      </c>
      <c r="C15" s="242">
        <f>IRR(C6:C13)</f>
        <v>0.3762487670633346</v>
      </c>
      <c r="D15" s="224"/>
      <c r="G15" s="134" t="s">
        <v>124</v>
      </c>
      <c r="H15" s="242">
        <f>IRR(H6:H13)</f>
        <v>0.33568662315703696</v>
      </c>
      <c r="L15" s="134" t="s">
        <v>124</v>
      </c>
      <c r="M15" s="242">
        <f>IRR(M6:M13)</f>
        <v>0.2236760713044314</v>
      </c>
    </row>
    <row r="16" spans="2:13" ht="12.75">
      <c r="B16" s="119" t="s">
        <v>123</v>
      </c>
      <c r="C16" s="243">
        <f>NPV(C18,C7:C13)+C6</f>
        <v>124772.97069410505</v>
      </c>
      <c r="G16" s="119" t="s">
        <v>123</v>
      </c>
      <c r="H16" s="243">
        <f>NPV(H18,H7:H13)+H6</f>
        <v>121751.40810509888</v>
      </c>
      <c r="L16" s="119" t="s">
        <v>123</v>
      </c>
      <c r="M16" s="243">
        <f>NPV(M18,M7:M13)+M6</f>
        <v>39756.238889635</v>
      </c>
    </row>
    <row r="17" spans="2:13" ht="12.75">
      <c r="B17" s="119" t="s">
        <v>241</v>
      </c>
      <c r="C17" s="245">
        <f>3+(-E9/D10)</f>
        <v>4.061124803981522</v>
      </c>
      <c r="G17" s="119" t="s">
        <v>241</v>
      </c>
      <c r="H17" s="245">
        <f>3+(-J9/I10)</f>
        <v>4.120799556498737</v>
      </c>
      <c r="L17" s="119" t="s">
        <v>241</v>
      </c>
      <c r="M17" s="245">
        <f>5+(-O11/N12)</f>
        <v>5.971305184453648</v>
      </c>
    </row>
    <row r="18" spans="2:13" ht="13.5" thickBot="1">
      <c r="B18" s="72" t="s">
        <v>242</v>
      </c>
      <c r="C18" s="244">
        <f>+'A. SENCIBILIDAD'!C24</f>
        <v>0.1483</v>
      </c>
      <c r="G18" s="72" t="s">
        <v>242</v>
      </c>
      <c r="H18" s="244">
        <f>+'A. SENCIBILIDAD'!C24</f>
        <v>0.1483</v>
      </c>
      <c r="L18" s="72" t="s">
        <v>242</v>
      </c>
      <c r="M18" s="244">
        <f>+'A. SENCIBILIDAD'!C24</f>
        <v>0.1483</v>
      </c>
    </row>
    <row r="20" ht="13.5" thickBot="1"/>
    <row r="21" spans="2:15" ht="13.5" thickBot="1">
      <c r="B21" s="371" t="s">
        <v>248</v>
      </c>
      <c r="C21" s="372"/>
      <c r="D21" s="372"/>
      <c r="E21" s="373"/>
      <c r="G21" s="371" t="s">
        <v>250</v>
      </c>
      <c r="H21" s="372"/>
      <c r="I21" s="372"/>
      <c r="J21" s="373"/>
      <c r="L21" s="371" t="s">
        <v>251</v>
      </c>
      <c r="M21" s="372"/>
      <c r="N21" s="372"/>
      <c r="O21" s="373"/>
    </row>
    <row r="22" ht="13.5" thickBot="1"/>
    <row r="23" spans="2:15" ht="13.5" thickBot="1">
      <c r="B23" s="239" t="s">
        <v>238</v>
      </c>
      <c r="C23" s="240" t="s">
        <v>239</v>
      </c>
      <c r="D23" s="240" t="s">
        <v>240</v>
      </c>
      <c r="E23" s="241" t="s">
        <v>243</v>
      </c>
      <c r="G23" s="239" t="s">
        <v>238</v>
      </c>
      <c r="H23" s="240" t="s">
        <v>239</v>
      </c>
      <c r="I23" s="240" t="s">
        <v>240</v>
      </c>
      <c r="J23" s="241" t="s">
        <v>243</v>
      </c>
      <c r="L23" s="239" t="s">
        <v>238</v>
      </c>
      <c r="M23" s="240" t="s">
        <v>239</v>
      </c>
      <c r="N23" s="240" t="s">
        <v>240</v>
      </c>
      <c r="O23" s="241" t="s">
        <v>243</v>
      </c>
    </row>
    <row r="24" spans="2:15" ht="12.75">
      <c r="B24" s="232">
        <v>0</v>
      </c>
      <c r="C24" s="233">
        <v>-60000</v>
      </c>
      <c r="D24" s="233">
        <f>+C24</f>
        <v>-60000</v>
      </c>
      <c r="E24" s="234">
        <f>+D24</f>
        <v>-60000</v>
      </c>
      <c r="G24" s="232">
        <v>0</v>
      </c>
      <c r="H24" s="233">
        <v>-60000</v>
      </c>
      <c r="I24" s="233">
        <f>+H24</f>
        <v>-60000</v>
      </c>
      <c r="J24" s="234">
        <f>+I24</f>
        <v>-60000</v>
      </c>
      <c r="L24" s="232">
        <v>0</v>
      </c>
      <c r="M24" s="233">
        <v>-60000</v>
      </c>
      <c r="N24" s="233">
        <f>+M24</f>
        <v>-60000</v>
      </c>
      <c r="O24" s="234">
        <f>+N24</f>
        <v>-60000</v>
      </c>
    </row>
    <row r="25" spans="2:15" ht="12.75">
      <c r="B25" s="232">
        <v>1</v>
      </c>
      <c r="C25" s="233">
        <v>-51503.7734024346</v>
      </c>
      <c r="D25" s="233">
        <f>+C25/(1+$C$18)</f>
        <v>-44852.19315721902</v>
      </c>
      <c r="E25" s="234">
        <f>+E24+D25</f>
        <v>-104852.19315721902</v>
      </c>
      <c r="G25" s="232">
        <v>1</v>
      </c>
      <c r="H25" s="233">
        <v>-69122.77419255732</v>
      </c>
      <c r="I25" s="233">
        <f>+H25/(1+$C$18)</f>
        <v>-60195.74518205811</v>
      </c>
      <c r="J25" s="234">
        <f>+J24+I25</f>
        <v>-120195.7451820581</v>
      </c>
      <c r="L25" s="232">
        <v>1</v>
      </c>
      <c r="M25" s="233">
        <v>-56598.170410668536</v>
      </c>
      <c r="N25" s="233">
        <f>+M25/(1+$C$18)</f>
        <v>-49288.661857239866</v>
      </c>
      <c r="O25" s="234">
        <f>+O24+N25</f>
        <v>-109288.66185723987</v>
      </c>
    </row>
    <row r="26" spans="2:15" ht="12.75">
      <c r="B26" s="232">
        <v>2</v>
      </c>
      <c r="C26" s="233">
        <v>50529.22495411674</v>
      </c>
      <c r="D26" s="233">
        <f>+C26/(1+$C$18)/(1+$C$18)</f>
        <v>38320.56530664044</v>
      </c>
      <c r="E26" s="234">
        <f aca="true" t="shared" si="3" ref="E26:E31">+E25+D26</f>
        <v>-66531.62785057857</v>
      </c>
      <c r="G26" s="232">
        <v>2</v>
      </c>
      <c r="H26" s="233">
        <v>24487.496074277442</v>
      </c>
      <c r="I26" s="233">
        <f>+H26/(1+$C$18)/(1+$C$18)</f>
        <v>18570.929860146178</v>
      </c>
      <c r="J26" s="234">
        <f aca="true" t="shared" si="4" ref="J26:J31">+J25+I26</f>
        <v>-101624.81532191193</v>
      </c>
      <c r="L26" s="232">
        <v>2</v>
      </c>
      <c r="M26" s="233">
        <v>42999.4616448906</v>
      </c>
      <c r="N26" s="233">
        <f>+M26/(1+$C$18)/(1+$C$18)</f>
        <v>32610.11186317758</v>
      </c>
      <c r="O26" s="234">
        <f aca="true" t="shared" si="5" ref="O26:O31">+O25+N26</f>
        <v>-76678.5499940623</v>
      </c>
    </row>
    <row r="27" spans="2:15" ht="12.75">
      <c r="B27" s="232">
        <v>3</v>
      </c>
      <c r="C27" s="233">
        <v>77044.07958216628</v>
      </c>
      <c r="D27" s="233">
        <f>+C27/(1+$C$18)/(1+$C$18)/(1+$C$18)</f>
        <v>50883.05481160339</v>
      </c>
      <c r="E27" s="234">
        <f t="shared" si="3"/>
        <v>-15648.573038975184</v>
      </c>
      <c r="G27" s="232">
        <v>3</v>
      </c>
      <c r="H27" s="233">
        <v>43603.99969448015</v>
      </c>
      <c r="I27" s="233">
        <f>+H27/(1+$C$18)/(1+$C$18)/(1+$C$18)</f>
        <v>28797.861152889218</v>
      </c>
      <c r="J27" s="234">
        <f t="shared" si="4"/>
        <v>-72826.9541690227</v>
      </c>
      <c r="L27" s="232">
        <v>3</v>
      </c>
      <c r="M27" s="233">
        <v>67375.14063584211</v>
      </c>
      <c r="N27" s="233">
        <f>+M27/(1+$C$18)/(1+$C$18)/(1+$C$18)</f>
        <v>44497.29288097815</v>
      </c>
      <c r="O27" s="234">
        <f t="shared" si="5"/>
        <v>-32181.257113084146</v>
      </c>
    </row>
    <row r="28" spans="2:15" ht="12.75">
      <c r="B28" s="232">
        <v>4</v>
      </c>
      <c r="C28" s="233">
        <v>109009.479998719</v>
      </c>
      <c r="D28" s="233">
        <f>+C28/(1+$C$18)/(1+$C$18)/(1+$C$18)/(1+$C$18)</f>
        <v>62696.42946668725</v>
      </c>
      <c r="E28" s="234">
        <f t="shared" si="3"/>
        <v>47047.85642771207</v>
      </c>
      <c r="G28" s="232">
        <v>4</v>
      </c>
      <c r="H28" s="233">
        <v>73225.91931250386</v>
      </c>
      <c r="I28" s="233">
        <f>+H28/(1+$C$18)/(1+$C$18)/(1+$C$18)/(1+$C$18)</f>
        <v>42115.6369644519</v>
      </c>
      <c r="J28" s="234">
        <f t="shared" si="4"/>
        <v>-30711.317204570805</v>
      </c>
      <c r="L28" s="232">
        <v>4</v>
      </c>
      <c r="M28" s="233">
        <v>98662.94181103652</v>
      </c>
      <c r="N28" s="233">
        <f>+M28/(1+$C$18)/(1+$C$18)/(1+$C$18)/(1+$C$18)</f>
        <v>56745.65342669474</v>
      </c>
      <c r="O28" s="234">
        <f t="shared" si="5"/>
        <v>24564.396313610596</v>
      </c>
    </row>
    <row r="29" spans="2:15" ht="12.75">
      <c r="B29" s="232">
        <v>5</v>
      </c>
      <c r="C29" s="233">
        <v>91271.7213866401</v>
      </c>
      <c r="D29" s="233">
        <f>+C29/(1+$C$18)/(1+$C$18)/(1+$C$18)/(1+$C$18)/(1+$C$18)</f>
        <v>45715.07296631155</v>
      </c>
      <c r="E29" s="234">
        <f t="shared" si="3"/>
        <v>92762.92939402361</v>
      </c>
      <c r="G29" s="232">
        <v>5</v>
      </c>
      <c r="H29" s="233">
        <v>52980.44876753492</v>
      </c>
      <c r="I29" s="233">
        <f>+H29/(1+$C$18)/(1+$C$18)/(1+$C$18)/(1+$C$18)/(1+$C$18)</f>
        <v>26536.204690780716</v>
      </c>
      <c r="J29" s="234">
        <f t="shared" si="4"/>
        <v>-4175.112513790089</v>
      </c>
      <c r="L29" s="232">
        <v>5</v>
      </c>
      <c r="M29" s="233">
        <v>80200.09780276485</v>
      </c>
      <c r="N29" s="233">
        <f>+M29/(1+$C$18)/(1+$C$18)/(1+$C$18)/(1+$C$18)/(1+$C$18)</f>
        <v>40169.652409945455</v>
      </c>
      <c r="O29" s="234">
        <f t="shared" si="5"/>
        <v>64734.04872355605</v>
      </c>
    </row>
    <row r="30" spans="2:15" ht="12.75">
      <c r="B30" s="232">
        <v>6</v>
      </c>
      <c r="C30" s="233">
        <v>129227.57848065702</v>
      </c>
      <c r="D30" s="233">
        <f>+C30/(1+$C$18)/(1+$C$18)/(1+$C$18)/(1+$C$18)/(1+$C$18)/(1+$C$18)</f>
        <v>56366.752922739935</v>
      </c>
      <c r="E30" s="234">
        <f t="shared" si="3"/>
        <v>149129.68231676356</v>
      </c>
      <c r="G30" s="232">
        <v>6</v>
      </c>
      <c r="H30" s="233">
        <v>88252.85347640485</v>
      </c>
      <c r="I30" s="233">
        <f>+H30/(1+$C$18)/(1+$C$18)/(1+$C$18)/(1+$C$18)/(1+$C$18)/(1+$C$18)</f>
        <v>38494.31247661951</v>
      </c>
      <c r="J30" s="234">
        <f t="shared" si="4"/>
        <v>34319.19996282942</v>
      </c>
      <c r="L30" s="232">
        <v>6</v>
      </c>
      <c r="M30" s="233">
        <v>117380.0555160236</v>
      </c>
      <c r="N30" s="233">
        <f>+M30/(1+$C$18)/(1+$C$18)/(1+$C$18)/(1+$C$18)/(1+$C$18)/(1+$C$18)</f>
        <v>51199.07580965423</v>
      </c>
      <c r="O30" s="234">
        <f t="shared" si="5"/>
        <v>115933.12453321027</v>
      </c>
    </row>
    <row r="31" spans="2:15" ht="13.5" thickBot="1">
      <c r="B31" s="235">
        <v>7</v>
      </c>
      <c r="C31" s="237">
        <v>158735.15097216167</v>
      </c>
      <c r="D31" s="237">
        <f>+C31/(1+$C$18)/(1+$C$18)/(1+$C$18)/(1+$C$18)/(1+$C$18)/(1+$C$18)/(1+$C$18)</f>
        <v>60295.59089745832</v>
      </c>
      <c r="E31" s="238">
        <f t="shared" si="3"/>
        <v>209425.27321422187</v>
      </c>
      <c r="G31" s="235">
        <v>7</v>
      </c>
      <c r="H31" s="237">
        <v>114888.91723961162</v>
      </c>
      <c r="I31" s="237">
        <f>+H31/(1+$C$18)/(1+$C$18)/(1+$C$18)/(1+$C$18)/(1+$C$18)/(1+$C$18)/(1+$C$18)</f>
        <v>43640.586915411375</v>
      </c>
      <c r="J31" s="238">
        <f t="shared" si="4"/>
        <v>77959.78687824079</v>
      </c>
      <c r="L31" s="235">
        <v>7</v>
      </c>
      <c r="M31" s="237">
        <v>146057.35359816696</v>
      </c>
      <c r="N31" s="237">
        <f>+M31/(1+$C$18)/(1+$C$18)/(1+$C$18)/(1+$C$18)/(1+$C$18)/(1+$C$18)/(1+$C$18)</f>
        <v>55479.92606669052</v>
      </c>
      <c r="O31" s="238">
        <f t="shared" si="5"/>
        <v>171413.05059990077</v>
      </c>
    </row>
    <row r="32" ht="13.5" thickBot="1"/>
    <row r="33" spans="2:13" ht="12.75">
      <c r="B33" s="134" t="s">
        <v>124</v>
      </c>
      <c r="C33" s="242">
        <f>IRR(C24:C31)</f>
        <v>0.522464124952155</v>
      </c>
      <c r="G33" s="134" t="s">
        <v>124</v>
      </c>
      <c r="H33" s="242">
        <f>IRR(H24:H31)</f>
        <v>0.29332916905901024</v>
      </c>
      <c r="L33" s="134" t="s">
        <v>124</v>
      </c>
      <c r="M33" s="242">
        <f>IRR(M24:M31)</f>
        <v>0.45719921342181585</v>
      </c>
    </row>
    <row r="34" spans="2:13" ht="12.75">
      <c r="B34" s="119" t="s">
        <v>123</v>
      </c>
      <c r="C34" s="243">
        <f>NPV(C36,C25:C31)+C24</f>
        <v>209425.27321422187</v>
      </c>
      <c r="G34" s="119" t="s">
        <v>123</v>
      </c>
      <c r="H34" s="243">
        <f>NPV(H36,H25:H31)+H24</f>
        <v>77959.78687824082</v>
      </c>
      <c r="L34" s="119" t="s">
        <v>123</v>
      </c>
      <c r="M34" s="243">
        <f>NPV(M36,M25:M31)+M24</f>
        <v>171413.0505999008</v>
      </c>
    </row>
    <row r="35" spans="2:13" ht="12.75">
      <c r="B35" s="119" t="s">
        <v>241</v>
      </c>
      <c r="C35" s="245">
        <f>3+(-E27/D28)</f>
        <v>3.2495927307517536</v>
      </c>
      <c r="G35" s="119" t="s">
        <v>241</v>
      </c>
      <c r="H35" s="245">
        <f>4+(-J28/I29)</f>
        <v>5.157336460222611</v>
      </c>
      <c r="L35" s="119" t="s">
        <v>241</v>
      </c>
      <c r="M35" s="245">
        <f>3+(-O27/N28)</f>
        <v>3.567114046094413</v>
      </c>
    </row>
    <row r="36" spans="2:13" ht="13.5" thickBot="1">
      <c r="B36" s="72" t="s">
        <v>242</v>
      </c>
      <c r="C36" s="244">
        <f>+C18</f>
        <v>0.1483</v>
      </c>
      <c r="G36" s="72" t="s">
        <v>242</v>
      </c>
      <c r="H36" s="244">
        <f>+'A. SENCIBILIDAD'!C24</f>
        <v>0.1483</v>
      </c>
      <c r="L36" s="72" t="s">
        <v>242</v>
      </c>
      <c r="M36" s="244">
        <f>+'A. SENCIBILIDAD'!C24</f>
        <v>0.1483</v>
      </c>
    </row>
    <row r="37" spans="2:13" ht="12.75">
      <c r="B37" s="74"/>
      <c r="C37" s="258"/>
      <c r="G37" s="74"/>
      <c r="H37" s="258"/>
      <c r="L37" s="74"/>
      <c r="M37" s="258"/>
    </row>
    <row r="38" spans="2:13" ht="12.75">
      <c r="B38" s="74"/>
      <c r="C38" s="258"/>
      <c r="G38" s="74"/>
      <c r="H38" s="258"/>
      <c r="L38" s="74"/>
      <c r="M38" s="258"/>
    </row>
    <row r="39" spans="2:13" ht="13.5" thickBot="1">
      <c r="B39" s="74"/>
      <c r="C39" s="258"/>
      <c r="G39" s="74"/>
      <c r="H39" s="258"/>
      <c r="L39" s="74"/>
      <c r="M39" s="258"/>
    </row>
    <row r="40" spans="2:13" ht="13.5" thickBot="1">
      <c r="B40" s="74"/>
      <c r="C40" s="258"/>
      <c r="G40" s="134"/>
      <c r="H40" s="267" t="s">
        <v>269</v>
      </c>
      <c r="I40" s="268" t="s">
        <v>270</v>
      </c>
      <c r="L40" s="74"/>
      <c r="M40" s="258"/>
    </row>
    <row r="41" spans="2:13" ht="13.5" thickBot="1">
      <c r="B41" s="74"/>
      <c r="C41" s="258"/>
      <c r="G41" s="338">
        <v>0.1338</v>
      </c>
      <c r="H41" s="309"/>
      <c r="I41" s="310">
        <v>0</v>
      </c>
      <c r="L41" s="74"/>
      <c r="M41" s="258"/>
    </row>
    <row r="42" spans="2:13" ht="13.5" thickBot="1">
      <c r="B42" s="74"/>
      <c r="C42" s="258"/>
      <c r="G42" s="290">
        <v>-0.05</v>
      </c>
      <c r="H42" s="269">
        <f>+'A. SENCIBILIDAD'!C41</f>
        <v>263990.48880836717</v>
      </c>
      <c r="I42" s="287">
        <f>+'A. SENCIBILIDAD'!H41</f>
        <v>78132.89078830899</v>
      </c>
      <c r="L42" s="74"/>
      <c r="M42" s="258"/>
    </row>
    <row r="43" spans="4:9" ht="12.75">
      <c r="D43" s="225"/>
      <c r="G43" s="284">
        <v>0</v>
      </c>
      <c r="H43" s="269">
        <f>+I42:I43</f>
        <v>124772.97069410505</v>
      </c>
      <c r="I43" s="266">
        <f>+'A. SENCIBILIDAD'!$C$22</f>
        <v>124772.97069410505</v>
      </c>
    </row>
    <row r="44" spans="4:12" ht="12.75">
      <c r="D44" s="225"/>
      <c r="G44" s="285">
        <v>0.05</v>
      </c>
      <c r="H44" s="269">
        <f>+'A. SENCIBILIDAD'!M22</f>
        <v>25216.309910434997</v>
      </c>
      <c r="I44" s="262">
        <f>+'A. SENCIBILIDAD'!M41</f>
        <v>171221.72522561497</v>
      </c>
      <c r="J44" s="225"/>
      <c r="L44" s="288"/>
    </row>
    <row r="45" spans="4:10" ht="13.5" thickBot="1">
      <c r="D45" s="225"/>
      <c r="G45" s="291">
        <v>0.0736</v>
      </c>
      <c r="H45" s="270">
        <v>0</v>
      </c>
      <c r="I45" s="265">
        <f>+M34</f>
        <v>171413.0505999008</v>
      </c>
      <c r="J45" s="225"/>
    </row>
    <row r="46" spans="4:15" ht="13.5" thickBot="1">
      <c r="D46" s="225"/>
      <c r="G46" s="286"/>
      <c r="L46" s="371" t="s">
        <v>246</v>
      </c>
      <c r="M46" s="372"/>
      <c r="N46" s="372"/>
      <c r="O46" s="373"/>
    </row>
    <row r="47" spans="4:9" ht="13.5" thickBot="1">
      <c r="D47" s="225"/>
      <c r="G47" s="134"/>
      <c r="H47" s="267" t="s">
        <v>269</v>
      </c>
      <c r="I47" s="268" t="s">
        <v>270</v>
      </c>
    </row>
    <row r="48" spans="4:15" ht="13.5" thickBot="1">
      <c r="D48" s="225"/>
      <c r="G48" s="271" t="s">
        <v>263</v>
      </c>
      <c r="H48" s="274">
        <f>+M17</f>
        <v>5.971305184453648</v>
      </c>
      <c r="I48" s="275">
        <f>+H35</f>
        <v>5.157336460222611</v>
      </c>
      <c r="L48" s="239" t="s">
        <v>238</v>
      </c>
      <c r="M48" s="240" t="s">
        <v>239</v>
      </c>
      <c r="N48" s="240" t="s">
        <v>240</v>
      </c>
      <c r="O48" s="241" t="s">
        <v>243</v>
      </c>
    </row>
    <row r="49" spans="7:15" ht="12.75">
      <c r="G49" s="272" t="s">
        <v>265</v>
      </c>
      <c r="H49" s="276">
        <f>+C17</f>
        <v>4.061124803981522</v>
      </c>
      <c r="I49" s="277">
        <f>+H49</f>
        <v>4.061124803981522</v>
      </c>
      <c r="L49" s="232">
        <v>0</v>
      </c>
      <c r="M49" s="233">
        <v>-60000</v>
      </c>
      <c r="N49" s="233">
        <f>+M49</f>
        <v>-60000</v>
      </c>
      <c r="O49" s="234">
        <f>+N49</f>
        <v>-60000</v>
      </c>
    </row>
    <row r="50" spans="7:15" ht="13.5" thickBot="1">
      <c r="G50" s="273" t="s">
        <v>264</v>
      </c>
      <c r="H50" s="278">
        <f>+C35</f>
        <v>3.2495927307517536</v>
      </c>
      <c r="I50" s="279">
        <f>+M35</f>
        <v>3.567114046094413</v>
      </c>
      <c r="L50" s="232">
        <v>1</v>
      </c>
      <c r="M50" s="233">
        <v>-62873.2930122597</v>
      </c>
      <c r="N50" s="233">
        <f>+M50/(1+$C$18)</f>
        <v>-54753.368468396504</v>
      </c>
      <c r="O50" s="234">
        <f aca="true" t="shared" si="6" ref="O50:O56">+O49+N50</f>
        <v>-114753.36846839651</v>
      </c>
    </row>
    <row r="51" spans="12:15" ht="13.5" thickBot="1">
      <c r="L51" s="232">
        <v>2</v>
      </c>
      <c r="M51" s="233">
        <v>33724.52923385397</v>
      </c>
      <c r="N51" s="233">
        <f>+M51/(1+$C$18)/(1+$C$18)</f>
        <v>25576.149765113612</v>
      </c>
      <c r="O51" s="234">
        <f t="shared" si="6"/>
        <v>-89177.2187032829</v>
      </c>
    </row>
    <row r="52" spans="4:15" ht="12.75">
      <c r="D52" s="134" t="s">
        <v>124</v>
      </c>
      <c r="E52" s="242">
        <f>+M15</f>
        <v>0.2236760713044314</v>
      </c>
      <c r="G52" s="134" t="s">
        <v>124</v>
      </c>
      <c r="H52" s="242">
        <f>+M33</f>
        <v>0.45719921342181585</v>
      </c>
      <c r="L52" s="232">
        <v>3</v>
      </c>
      <c r="M52" s="233">
        <v>55465.23702655977</v>
      </c>
      <c r="N52" s="233">
        <f>+M52/(1+$C$18)/(1+$C$18)/(1+$C$18)</f>
        <v>36631.50641901226</v>
      </c>
      <c r="O52" s="234">
        <f t="shared" si="6"/>
        <v>-52545.71228427064</v>
      </c>
    </row>
    <row r="53" spans="4:15" ht="12.75">
      <c r="D53" s="119" t="s">
        <v>123</v>
      </c>
      <c r="E53" s="243">
        <f>+M16</f>
        <v>39756.238889635</v>
      </c>
      <c r="G53" s="119" t="s">
        <v>123</v>
      </c>
      <c r="H53" s="243">
        <f>+M34</f>
        <v>171413.0505999008</v>
      </c>
      <c r="L53" s="232">
        <v>4</v>
      </c>
      <c r="M53" s="233">
        <v>85918.39215681556</v>
      </c>
      <c r="N53" s="233">
        <f>+M53/(1+$C$18)/(1+$C$18)/(1+$C$18)/(1+$C$18)</f>
        <v>49415.66929604897</v>
      </c>
      <c r="O53" s="234">
        <f t="shared" si="6"/>
        <v>-3130.0429882216704</v>
      </c>
    </row>
    <row r="54" spans="4:15" ht="12.75">
      <c r="D54" s="119" t="s">
        <v>241</v>
      </c>
      <c r="E54" s="245">
        <f>+M17</f>
        <v>5.971305184453648</v>
      </c>
      <c r="G54" s="119" t="s">
        <v>241</v>
      </c>
      <c r="H54" s="245">
        <f>+M35</f>
        <v>3.567114046094413</v>
      </c>
      <c r="L54" s="232">
        <v>5</v>
      </c>
      <c r="M54" s="233">
        <v>66562.41010877595</v>
      </c>
      <c r="N54" s="233">
        <f>+M54/(1+$C$18)/(1+$C$18)/(1+$C$18)/(1+$C$18)/(1+$C$18)</f>
        <v>33338.97278047449</v>
      </c>
      <c r="O54" s="234">
        <f t="shared" si="6"/>
        <v>30208.92979225282</v>
      </c>
    </row>
    <row r="55" spans="4:15" ht="13.5" thickBot="1">
      <c r="D55" s="72" t="s">
        <v>242</v>
      </c>
      <c r="E55" s="244">
        <f>+M18</f>
        <v>0.1483</v>
      </c>
      <c r="G55" s="72" t="s">
        <v>242</v>
      </c>
      <c r="H55" s="244">
        <f>+M36</f>
        <v>0.1483</v>
      </c>
      <c r="L55" s="232">
        <v>6</v>
      </c>
      <c r="M55" s="233">
        <v>102786.63866844022</v>
      </c>
      <c r="N55" s="233">
        <f>+M55/(1+$C$18)/(1+$C$18)/(1+$C$18)/(1+$C$18)/(1+$C$18)/(1+$C$18)</f>
        <v>44833.68901360428</v>
      </c>
      <c r="O55" s="234">
        <f t="shared" si="6"/>
        <v>75042.6188058571</v>
      </c>
    </row>
    <row r="56" spans="12:15" ht="13.5" thickBot="1">
      <c r="L56" s="235">
        <v>7</v>
      </c>
      <c r="M56" s="237">
        <v>130441.23009790457</v>
      </c>
      <c r="N56" s="237">
        <f>+M56/(1+$C$18)/(1+$C$18)/(1+$C$18)/(1+$C$18)/(1+$C$18)/(1+$C$18)/(1+$C$18)</f>
        <v>49548.137246071085</v>
      </c>
      <c r="O56" s="238">
        <f t="shared" si="6"/>
        <v>124590.75605192818</v>
      </c>
    </row>
    <row r="57" spans="2:8" ht="13.5" thickBot="1">
      <c r="B57" s="134" t="s">
        <v>124</v>
      </c>
      <c r="C57" s="242">
        <f>+C15</f>
        <v>0.3762487670633346</v>
      </c>
      <c r="D57" s="224">
        <f>+C57-E52</f>
        <v>0.1525726957589032</v>
      </c>
      <c r="E57" s="224">
        <f>+E62-C57</f>
        <v>0.1462153578888204</v>
      </c>
      <c r="G57" s="224">
        <f>+H52-C57</f>
        <v>0.08095044635848125</v>
      </c>
      <c r="H57" s="224">
        <f>+C57-H62</f>
        <v>0.08291959800432436</v>
      </c>
    </row>
    <row r="58" spans="2:13" ht="12.75">
      <c r="B58" s="119" t="s">
        <v>123</v>
      </c>
      <c r="C58" s="243">
        <f>+C16</f>
        <v>124772.97069410505</v>
      </c>
      <c r="D58" s="225">
        <f>+C58-E53</f>
        <v>85016.73180447005</v>
      </c>
      <c r="E58" s="225">
        <f>+E63-C58</f>
        <v>84652.30252011682</v>
      </c>
      <c r="G58" s="225">
        <f>+H53-C58</f>
        <v>46640.07990579575</v>
      </c>
      <c r="H58" s="225">
        <f>+C58-H63</f>
        <v>46813.183815864235</v>
      </c>
      <c r="I58" s="264"/>
      <c r="J58" s="224"/>
      <c r="L58" s="134" t="s">
        <v>124</v>
      </c>
      <c r="M58" s="242">
        <f>IRR(M49:M56)</f>
        <v>0.37592982476685727</v>
      </c>
    </row>
    <row r="59" spans="2:13" ht="12.75">
      <c r="B59" s="119" t="s">
        <v>241</v>
      </c>
      <c r="C59" s="245">
        <f>+C17</f>
        <v>4.061124803981522</v>
      </c>
      <c r="D59" s="231">
        <f>+E54-C59</f>
        <v>1.9101803804721262</v>
      </c>
      <c r="E59" s="231">
        <f>+C59-E64</f>
        <v>0.8115320732297682</v>
      </c>
      <c r="G59" s="264">
        <f>+C59-H54</f>
        <v>0.4940107578871089</v>
      </c>
      <c r="H59" s="264">
        <f>+H64-C59</f>
        <v>1.0962116562410893</v>
      </c>
      <c r="L59" s="119" t="s">
        <v>123</v>
      </c>
      <c r="M59" s="243">
        <f>NPV(M61,M50:M56)+M49</f>
        <v>137872.22939143516</v>
      </c>
    </row>
    <row r="60" spans="2:13" ht="13.5" thickBot="1">
      <c r="B60" s="72" t="s">
        <v>242</v>
      </c>
      <c r="C60" s="244">
        <f>+C18</f>
        <v>0.1483</v>
      </c>
      <c r="D60" s="224">
        <f>+D57/5</f>
        <v>0.03051453915178064</v>
      </c>
      <c r="E60" s="224">
        <f>+E57/5</f>
        <v>0.02924307157776408</v>
      </c>
      <c r="F60" s="224"/>
      <c r="G60" s="224">
        <f>+G57/5</f>
        <v>0.01619008927169625</v>
      </c>
      <c r="H60" s="224">
        <f>+H57/5</f>
        <v>0.01658391960086487</v>
      </c>
      <c r="L60" s="119" t="s">
        <v>241</v>
      </c>
      <c r="M60" s="245">
        <f>3+(-O52/N53)</f>
        <v>4.063341102788057</v>
      </c>
    </row>
    <row r="61" spans="12:13" ht="13.5" thickBot="1">
      <c r="L61" s="72" t="s">
        <v>242</v>
      </c>
      <c r="M61" s="244">
        <v>0.1348</v>
      </c>
    </row>
    <row r="62" spans="4:8" ht="12.75">
      <c r="D62" s="134" t="s">
        <v>124</v>
      </c>
      <c r="E62" s="242">
        <f>+C33</f>
        <v>0.522464124952155</v>
      </c>
      <c r="G62" s="134" t="s">
        <v>124</v>
      </c>
      <c r="H62" s="242">
        <f>+H33</f>
        <v>0.29332916905901024</v>
      </c>
    </row>
    <row r="63" spans="4:8" ht="12.75">
      <c r="D63" s="119" t="s">
        <v>123</v>
      </c>
      <c r="E63" s="243">
        <f>+C34</f>
        <v>209425.27321422187</v>
      </c>
      <c r="G63" s="119" t="s">
        <v>123</v>
      </c>
      <c r="H63" s="243">
        <f>+H34</f>
        <v>77959.78687824082</v>
      </c>
    </row>
    <row r="64" spans="4:8" ht="12.75">
      <c r="D64" s="119" t="s">
        <v>241</v>
      </c>
      <c r="E64" s="245">
        <f>+C35</f>
        <v>3.2495927307517536</v>
      </c>
      <c r="G64" s="119" t="s">
        <v>241</v>
      </c>
      <c r="H64" s="245">
        <f>+H35</f>
        <v>5.157336460222611</v>
      </c>
    </row>
    <row r="65" spans="4:8" ht="13.5" thickBot="1">
      <c r="D65" s="72" t="s">
        <v>242</v>
      </c>
      <c r="E65" s="244">
        <f>+C36</f>
        <v>0.1483</v>
      </c>
      <c r="G65" s="72" t="s">
        <v>242</v>
      </c>
      <c r="H65" s="244">
        <f>+H36</f>
        <v>0.1483</v>
      </c>
    </row>
    <row r="70" spans="3:11" ht="12.75">
      <c r="C70" s="5" t="s">
        <v>261</v>
      </c>
      <c r="D70" s="5" t="s">
        <v>123</v>
      </c>
      <c r="G70" s="224"/>
      <c r="H70" s="224"/>
      <c r="J70" s="224"/>
      <c r="K70" s="224"/>
    </row>
    <row r="71" spans="3:11" ht="12.75">
      <c r="C71" s="250">
        <v>0.1</v>
      </c>
      <c r="D71" s="8">
        <v>331549.1082126727</v>
      </c>
      <c r="G71" s="225"/>
      <c r="H71" s="225"/>
      <c r="J71" s="225"/>
      <c r="K71" s="225"/>
    </row>
    <row r="72" spans="3:11" ht="12.75">
      <c r="C72" s="250">
        <v>0.2</v>
      </c>
      <c r="D72" s="8">
        <v>236924.56713682303</v>
      </c>
      <c r="G72" s="231"/>
      <c r="H72" s="231"/>
      <c r="J72" s="231"/>
      <c r="K72" s="231"/>
    </row>
    <row r="73" spans="3:11" ht="12.75">
      <c r="C73" s="250">
        <v>0.3</v>
      </c>
      <c r="D73" s="8">
        <v>167587.7932434135</v>
      </c>
      <c r="G73" s="224"/>
      <c r="H73" s="224"/>
      <c r="J73" s="224"/>
      <c r="K73" s="224"/>
    </row>
    <row r="74" spans="3:4" ht="12.75">
      <c r="C74" s="250">
        <v>0.4</v>
      </c>
      <c r="D74" s="8">
        <v>115953.79112328257</v>
      </c>
    </row>
    <row r="75" spans="3:4" ht="12.75">
      <c r="C75" s="250">
        <v>0.5</v>
      </c>
      <c r="D75" s="259">
        <v>76935.18999401812</v>
      </c>
    </row>
    <row r="76" spans="3:4" ht="12.75">
      <c r="C76" s="250">
        <v>0.3</v>
      </c>
      <c r="D76" s="8">
        <v>47054.49491062609</v>
      </c>
    </row>
    <row r="77" spans="3:4" ht="12.75">
      <c r="C77" s="250">
        <v>0.35</v>
      </c>
      <c r="D77" s="8">
        <v>23892.82339454227</v>
      </c>
    </row>
    <row r="78" spans="3:4" ht="12.75">
      <c r="C78" s="250">
        <v>0.4</v>
      </c>
      <c r="D78" s="8">
        <v>5740.345911593715</v>
      </c>
    </row>
    <row r="79" spans="3:4" ht="12.75">
      <c r="C79" s="250">
        <v>0.45</v>
      </c>
      <c r="D79" s="8">
        <v>-8629.694356182124</v>
      </c>
    </row>
    <row r="80" spans="3:4" ht="12.75">
      <c r="C80" s="250">
        <v>0.5</v>
      </c>
      <c r="D80" s="8">
        <v>-20109.705631098746</v>
      </c>
    </row>
  </sheetData>
  <mergeCells count="7">
    <mergeCell ref="L46:O46"/>
    <mergeCell ref="B3:E3"/>
    <mergeCell ref="G3:J3"/>
    <mergeCell ref="L3:O3"/>
    <mergeCell ref="B21:E21"/>
    <mergeCell ref="G21:J21"/>
    <mergeCell ref="L21:O21"/>
  </mergeCells>
  <printOptions/>
  <pageMargins left="0.28" right="0.24" top="0.22" bottom="0.36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S85"/>
  <sheetViews>
    <sheetView workbookViewId="0" topLeftCell="A1">
      <selection activeCell="C2" sqref="C2"/>
    </sheetView>
  </sheetViews>
  <sheetFormatPr defaultColWidth="11.421875" defaultRowHeight="12.75"/>
  <cols>
    <col min="1" max="1" width="35.421875" style="24" customWidth="1"/>
    <col min="2" max="2" width="10.57421875" style="22" customWidth="1"/>
    <col min="3" max="3" width="11.7109375" style="23" customWidth="1"/>
    <col min="4" max="4" width="10.57421875" style="23" customWidth="1"/>
    <col min="5" max="5" width="11.7109375" style="23" customWidth="1"/>
    <col min="6" max="6" width="11.8515625" style="23" customWidth="1"/>
    <col min="7" max="7" width="11.421875" style="23" customWidth="1"/>
  </cols>
  <sheetData>
    <row r="3" spans="1:7" ht="15">
      <c r="A3" s="382" t="s">
        <v>277</v>
      </c>
      <c r="B3" s="382"/>
      <c r="C3" s="382"/>
      <c r="D3" s="382"/>
      <c r="E3" s="382"/>
      <c r="F3" s="382"/>
      <c r="G3" s="382"/>
    </row>
    <row r="4" spans="1:7" ht="15">
      <c r="A4" s="383" t="s">
        <v>278</v>
      </c>
      <c r="B4" s="383"/>
      <c r="C4" s="383"/>
      <c r="D4" s="383"/>
      <c r="E4" s="383"/>
      <c r="F4" s="383"/>
      <c r="G4" s="383"/>
    </row>
    <row r="5" spans="1:7" ht="15">
      <c r="A5" s="383" t="s">
        <v>279</v>
      </c>
      <c r="B5" s="383"/>
      <c r="C5" s="383"/>
      <c r="D5" s="383"/>
      <c r="E5" s="383"/>
      <c r="F5" s="383"/>
      <c r="G5" s="383"/>
    </row>
    <row r="6" ht="7.5" customHeight="1" thickBot="1">
      <c r="A6" s="21"/>
    </row>
    <row r="7" spans="1:7" s="30" customFormat="1" ht="12" customHeight="1" thickBot="1">
      <c r="A7" s="25"/>
      <c r="B7" s="26">
        <v>0</v>
      </c>
      <c r="C7" s="27">
        <v>1</v>
      </c>
      <c r="D7" s="28">
        <v>2</v>
      </c>
      <c r="E7" s="27">
        <v>3</v>
      </c>
      <c r="F7" s="28">
        <v>4</v>
      </c>
      <c r="G7" s="28">
        <v>5</v>
      </c>
    </row>
    <row r="8" spans="1:7" s="30" customFormat="1" ht="12.75">
      <c r="A8" s="84" t="s">
        <v>11</v>
      </c>
      <c r="B8" s="311"/>
      <c r="C8" s="90">
        <f>+C9</f>
        <v>789739.8109278609</v>
      </c>
      <c r="D8" s="90">
        <f>+D9</f>
        <v>845084.7768776853</v>
      </c>
      <c r="E8" s="90">
        <f>+E9</f>
        <v>904308.3180412735</v>
      </c>
      <c r="F8" s="90">
        <f>+F9</f>
        <v>967682.2449696059</v>
      </c>
      <c r="G8" s="91">
        <f>+G9</f>
        <v>1035497.416697076</v>
      </c>
    </row>
    <row r="9" spans="1:12" s="32" customFormat="1" ht="12.75">
      <c r="A9" s="95" t="s">
        <v>62</v>
      </c>
      <c r="B9" s="98"/>
      <c r="C9" s="96">
        <f>+DATOS!B20</f>
        <v>789739.8109278609</v>
      </c>
      <c r="D9" s="96">
        <f>+DATOS!B21</f>
        <v>845084.7768776853</v>
      </c>
      <c r="E9" s="96">
        <f>+DATOS!B22</f>
        <v>904308.3180412735</v>
      </c>
      <c r="F9" s="96">
        <f>+DATOS!B23</f>
        <v>967682.2449696059</v>
      </c>
      <c r="G9" s="97">
        <f>+DATOS!B24</f>
        <v>1035497.416697076</v>
      </c>
      <c r="H9" s="326"/>
      <c r="I9" s="326"/>
      <c r="J9" s="326"/>
      <c r="K9" s="326"/>
      <c r="L9" s="326"/>
    </row>
    <row r="10" spans="1:12" ht="12.75">
      <c r="A10" s="87"/>
      <c r="B10" s="31"/>
      <c r="C10" s="93"/>
      <c r="D10" s="93"/>
      <c r="E10" s="93"/>
      <c r="F10" s="93"/>
      <c r="G10" s="94"/>
      <c r="H10" s="88"/>
      <c r="I10" s="88"/>
      <c r="J10" s="88"/>
      <c r="K10" s="88"/>
      <c r="L10" s="88"/>
    </row>
    <row r="11" spans="1:12" s="30" customFormat="1" ht="12.75">
      <c r="A11" s="89" t="s">
        <v>15</v>
      </c>
      <c r="B11" s="311"/>
      <c r="C11" s="90">
        <f>+C12+C13</f>
        <v>389445.6167884651</v>
      </c>
      <c r="D11" s="90">
        <f>+D12+D13</f>
        <v>416737.9656130007</v>
      </c>
      <c r="E11" s="90">
        <f>+E12+E13</f>
        <v>445942.9622431597</v>
      </c>
      <c r="F11" s="90">
        <f>+F12+F13</f>
        <v>477194.6450371604</v>
      </c>
      <c r="G11" s="91">
        <f>+G12+G13</f>
        <v>510636.4457613646</v>
      </c>
      <c r="H11" s="86"/>
      <c r="I11" s="86"/>
      <c r="J11" s="86"/>
      <c r="K11" s="86"/>
      <c r="L11" s="86"/>
    </row>
    <row r="12" spans="1:12" s="32" customFormat="1" ht="12.75">
      <c r="A12" s="95" t="s">
        <v>63</v>
      </c>
      <c r="B12" s="98"/>
      <c r="C12" s="96">
        <f>+DATOS!C20</f>
        <v>349958.6262420721</v>
      </c>
      <c r="D12" s="96">
        <f>+DATOS!C21</f>
        <v>374483.7267691164</v>
      </c>
      <c r="E12" s="96">
        <f>+DATOS!C22</f>
        <v>400727.54634109605</v>
      </c>
      <c r="F12" s="96">
        <f>+DATOS!C23</f>
        <v>428810.53278868005</v>
      </c>
      <c r="G12" s="97">
        <f>+DATOS!C24</f>
        <v>458861.5749265108</v>
      </c>
      <c r="H12" s="326"/>
      <c r="I12" s="326"/>
      <c r="J12" s="326"/>
      <c r="K12" s="326"/>
      <c r="L12" s="326"/>
    </row>
    <row r="13" spans="1:12" s="32" customFormat="1" ht="12.75">
      <c r="A13" s="95" t="s">
        <v>64</v>
      </c>
      <c r="B13" s="98"/>
      <c r="C13" s="96">
        <f>+DATOS!D20</f>
        <v>39486.99054639305</v>
      </c>
      <c r="D13" s="96">
        <f>+DATOS!D21</f>
        <v>42254.23884388427</v>
      </c>
      <c r="E13" s="96">
        <f>+DATOS!D22</f>
        <v>45215.41590206368</v>
      </c>
      <c r="F13" s="96">
        <f>+DATOS!D23</f>
        <v>48384.1122484803</v>
      </c>
      <c r="G13" s="97">
        <f>+DATOS!D24</f>
        <v>51774.870834853806</v>
      </c>
      <c r="H13" s="326"/>
      <c r="I13" s="326"/>
      <c r="J13" s="326"/>
      <c r="K13" s="326"/>
      <c r="L13" s="326"/>
    </row>
    <row r="14" spans="1:12" ht="12.75">
      <c r="A14" s="87"/>
      <c r="B14" s="31"/>
      <c r="C14" s="93"/>
      <c r="D14" s="93"/>
      <c r="E14" s="93"/>
      <c r="F14" s="93"/>
      <c r="G14" s="94"/>
      <c r="H14" s="88"/>
      <c r="I14" s="88"/>
      <c r="J14" s="88"/>
      <c r="K14" s="88"/>
      <c r="L14" s="88"/>
    </row>
    <row r="15" spans="1:12" s="30" customFormat="1" ht="12.75">
      <c r="A15" s="89" t="s">
        <v>19</v>
      </c>
      <c r="B15" s="311"/>
      <c r="C15" s="90">
        <f>+C8-C11</f>
        <v>400294.1941393958</v>
      </c>
      <c r="D15" s="90">
        <f>+D8-D11</f>
        <v>428346.81126468466</v>
      </c>
      <c r="E15" s="90">
        <f>+E8-E11</f>
        <v>458365.3557981138</v>
      </c>
      <c r="F15" s="90">
        <f>+F8-F11</f>
        <v>490487.59993244556</v>
      </c>
      <c r="G15" s="91">
        <f>+G8-G11</f>
        <v>524860.9709357114</v>
      </c>
      <c r="H15" s="86"/>
      <c r="I15" s="86"/>
      <c r="J15" s="86"/>
      <c r="K15" s="86"/>
      <c r="L15" s="86"/>
    </row>
    <row r="16" spans="1:12" ht="12.75">
      <c r="A16" s="87"/>
      <c r="B16" s="31"/>
      <c r="C16" s="93"/>
      <c r="D16" s="93"/>
      <c r="E16" s="93"/>
      <c r="F16" s="93"/>
      <c r="G16" s="94"/>
      <c r="H16" s="88"/>
      <c r="I16" s="88"/>
      <c r="J16" s="88"/>
      <c r="K16" s="88"/>
      <c r="L16" s="88"/>
    </row>
    <row r="17" spans="1:12" s="30" customFormat="1" ht="12.75">
      <c r="A17" s="320" t="s">
        <v>20</v>
      </c>
      <c r="B17" s="311"/>
      <c r="C17" s="90"/>
      <c r="D17" s="90"/>
      <c r="E17" s="90"/>
      <c r="F17" s="90"/>
      <c r="G17" s="94"/>
      <c r="H17" s="86"/>
      <c r="I17" s="86"/>
      <c r="J17" s="86"/>
      <c r="K17" s="86"/>
      <c r="L17" s="86"/>
    </row>
    <row r="18" spans="1:12" s="30" customFormat="1" ht="12.75">
      <c r="A18" s="321" t="s">
        <v>21</v>
      </c>
      <c r="B18" s="86"/>
      <c r="C18" s="315">
        <f>+C19+C20+C22+C23+C24+C25+C26</f>
        <v>80069.78</v>
      </c>
      <c r="D18" s="315">
        <f>+D19+D20+D22+D23+D24+D25+D26</f>
        <v>83709.2504</v>
      </c>
      <c r="E18" s="315">
        <f>+E19+E20+E22+E23+E24+E25+E26</f>
        <v>87549.195789632</v>
      </c>
      <c r="F18" s="315">
        <f>+F19+F20+F22+F23+F24+F25+F26</f>
        <v>91601.2093968494</v>
      </c>
      <c r="G18" s="316">
        <f>+G19+G20+G22+G23+G24+G25+G26</f>
        <v>95877.5863803512</v>
      </c>
      <c r="H18" s="86"/>
      <c r="I18" s="86"/>
      <c r="J18" s="86"/>
      <c r="K18" s="86"/>
      <c r="L18" s="86"/>
    </row>
    <row r="19" spans="1:12" s="30" customFormat="1" ht="12.75">
      <c r="A19" s="325" t="s">
        <v>22</v>
      </c>
      <c r="B19" s="311"/>
      <c r="C19" s="96">
        <f>+DATOS!F37</f>
        <v>16320</v>
      </c>
      <c r="D19" s="96">
        <f>+DATOS!F38</f>
        <v>17054.399999999998</v>
      </c>
      <c r="E19" s="96">
        <f>+DATOS!F39</f>
        <v>17821.847999999998</v>
      </c>
      <c r="F19" s="96">
        <f>+DATOS!F40</f>
        <v>18623.831159999998</v>
      </c>
      <c r="G19" s="97">
        <f>+DATOS!F41</f>
        <v>19461.903562199997</v>
      </c>
      <c r="H19" s="31"/>
      <c r="I19" s="31"/>
      <c r="J19" s="86"/>
      <c r="K19" s="86"/>
      <c r="L19" s="86"/>
    </row>
    <row r="20" spans="1:12" s="30" customFormat="1" ht="12.75">
      <c r="A20" s="325" t="s">
        <v>23</v>
      </c>
      <c r="B20" s="311"/>
      <c r="C20" s="96">
        <f>+DATOS!H37</f>
        <v>17640</v>
      </c>
      <c r="D20" s="93">
        <f>+DATOS!H38</f>
        <v>18433.8</v>
      </c>
      <c r="E20" s="93">
        <f>+DATOS!H39</f>
        <v>19263.320999999996</v>
      </c>
      <c r="F20" s="96">
        <f>+DATOS!H40</f>
        <v>20130.170444999996</v>
      </c>
      <c r="G20" s="94">
        <f>+DATOS!H41</f>
        <v>21036.028115024994</v>
      </c>
      <c r="H20" s="31"/>
      <c r="I20" s="31"/>
      <c r="J20" s="86"/>
      <c r="K20" s="86"/>
      <c r="L20" s="86"/>
    </row>
    <row r="21" spans="1:12" s="30" customFormat="1" ht="12.75">
      <c r="A21" s="325" t="s">
        <v>88</v>
      </c>
      <c r="B21" s="311"/>
      <c r="C21" s="96">
        <f>+DATOS!G37</f>
        <v>60600</v>
      </c>
      <c r="D21" s="96">
        <f>+DATOS!G38</f>
        <v>63326.99999999999</v>
      </c>
      <c r="E21" s="96">
        <f>+DATOS!G39</f>
        <v>66176.71499999998</v>
      </c>
      <c r="F21" s="96">
        <f>+DATOS!G40</f>
        <v>69154.66717499998</v>
      </c>
      <c r="G21" s="97">
        <f>+DATOS!G41</f>
        <v>72266.62719787497</v>
      </c>
      <c r="H21" s="31"/>
      <c r="I21" s="31"/>
      <c r="J21" s="86"/>
      <c r="K21" s="86"/>
      <c r="L21" s="86"/>
    </row>
    <row r="22" spans="1:12" s="30" customFormat="1" ht="12.75">
      <c r="A22" s="325" t="s">
        <v>24</v>
      </c>
      <c r="B22" s="311"/>
      <c r="C22" s="96">
        <f>+DATOS!C37</f>
        <v>14400</v>
      </c>
      <c r="D22" s="93">
        <f>+DATOS!C38</f>
        <v>15047.999999999998</v>
      </c>
      <c r="E22" s="96">
        <f>+DATOS!C39</f>
        <v>15725.159999999996</v>
      </c>
      <c r="F22" s="93">
        <f>+DATOS!C40</f>
        <v>16432.792199999996</v>
      </c>
      <c r="G22" s="97">
        <f>+DATOS!C41</f>
        <v>17172.267848999996</v>
      </c>
      <c r="H22" s="31"/>
      <c r="I22" s="31"/>
      <c r="J22" s="86"/>
      <c r="K22" s="86"/>
      <c r="L22" s="86"/>
    </row>
    <row r="23" spans="1:12" s="30" customFormat="1" ht="12.75">
      <c r="A23" s="325" t="s">
        <v>25</v>
      </c>
      <c r="B23" s="311"/>
      <c r="C23" s="96">
        <f>+DATOS!D37</f>
        <v>6540</v>
      </c>
      <c r="D23" s="93">
        <f>+DATOS!D38</f>
        <v>6998.3232</v>
      </c>
      <c r="E23" s="96">
        <f>+DATOS!D39</f>
        <v>7488.765689856</v>
      </c>
      <c r="F23" s="93">
        <f>+DATOS!D40</f>
        <v>8013.578389401108</v>
      </c>
      <c r="G23" s="97">
        <f>+DATOS!D41</f>
        <v>8575.169962930337</v>
      </c>
      <c r="H23" s="31"/>
      <c r="I23" s="31"/>
      <c r="J23" s="86"/>
      <c r="K23" s="86"/>
      <c r="L23" s="86"/>
    </row>
    <row r="24" spans="1:12" s="30" customFormat="1" ht="12.75">
      <c r="A24" s="325" t="s">
        <v>26</v>
      </c>
      <c r="B24" s="311"/>
      <c r="C24" s="96">
        <f>+DATOS!B37</f>
        <v>9540</v>
      </c>
      <c r="D24" s="96">
        <f>+DATOS!B38</f>
        <v>10208.563199999999</v>
      </c>
      <c r="E24" s="96">
        <f>+DATOS!B39</f>
        <v>10923.979309055998</v>
      </c>
      <c r="F24" s="96">
        <f>+DATOS!B40</f>
        <v>11689.531779034642</v>
      </c>
      <c r="G24" s="97">
        <f>+DATOS!B41</f>
        <v>12508.734166109389</v>
      </c>
      <c r="H24" s="31"/>
      <c r="I24" s="31"/>
      <c r="J24" s="86"/>
      <c r="K24" s="86"/>
      <c r="L24" s="86"/>
    </row>
    <row r="25" spans="1:12" s="30" customFormat="1" ht="12.75">
      <c r="A25" s="325" t="s">
        <v>27</v>
      </c>
      <c r="B25" s="311"/>
      <c r="C25" s="96">
        <f>+DATOS!I37</f>
        <v>10829.78</v>
      </c>
      <c r="D25" s="96">
        <f>+DATOS!I38</f>
        <v>10829.78</v>
      </c>
      <c r="E25" s="96">
        <f>+DATOS!I39</f>
        <v>10829.78</v>
      </c>
      <c r="F25" s="96">
        <f>+DATOS!I40</f>
        <v>10829.78</v>
      </c>
      <c r="G25" s="97">
        <f>+DATOS!I41</f>
        <v>10829.78</v>
      </c>
      <c r="H25" s="31"/>
      <c r="I25" s="31"/>
      <c r="J25" s="86"/>
      <c r="K25" s="86"/>
      <c r="L25" s="86"/>
    </row>
    <row r="26" spans="1:12" s="30" customFormat="1" ht="12.75">
      <c r="A26" s="325" t="s">
        <v>83</v>
      </c>
      <c r="B26" s="311"/>
      <c r="C26" s="96">
        <f>+DATOS!E37</f>
        <v>4800</v>
      </c>
      <c r="D26" s="96">
        <f>+DATOS!E38</f>
        <v>5136.384</v>
      </c>
      <c r="E26" s="96">
        <f>+DATOS!E39</f>
        <v>5496.34179072</v>
      </c>
      <c r="F26" s="96">
        <f>+DATOS!E40</f>
        <v>5881.525423413657</v>
      </c>
      <c r="G26" s="97">
        <f>+DATOS!E41</f>
        <v>6293.702725086486</v>
      </c>
      <c r="H26" s="31"/>
      <c r="I26" s="31"/>
      <c r="J26" s="86"/>
      <c r="K26" s="86"/>
      <c r="L26" s="86"/>
    </row>
    <row r="27" spans="1:12" s="30" customFormat="1" ht="12.75">
      <c r="A27" s="322"/>
      <c r="B27" s="311"/>
      <c r="C27" s="90"/>
      <c r="D27" s="93"/>
      <c r="E27" s="93"/>
      <c r="F27" s="93"/>
      <c r="G27" s="94"/>
      <c r="H27" s="86"/>
      <c r="I27" s="86"/>
      <c r="J27" s="86"/>
      <c r="K27" s="86"/>
      <c r="L27" s="86"/>
    </row>
    <row r="28" spans="1:12" s="30" customFormat="1" ht="12.75">
      <c r="A28" s="322" t="s">
        <v>30</v>
      </c>
      <c r="B28" s="311"/>
      <c r="C28" s="90">
        <f>+C15-C18</f>
        <v>320224.4141393958</v>
      </c>
      <c r="D28" s="90">
        <f>+D15-D18</f>
        <v>344637.56086468464</v>
      </c>
      <c r="E28" s="90">
        <f>+E15-E18</f>
        <v>370816.1600084818</v>
      </c>
      <c r="F28" s="90">
        <f>+F15-F18</f>
        <v>398886.3905355962</v>
      </c>
      <c r="G28" s="91">
        <f>+G15-G18</f>
        <v>428983.3845553602</v>
      </c>
      <c r="H28" s="86"/>
      <c r="I28" s="86"/>
      <c r="J28" s="86"/>
      <c r="K28" s="86"/>
      <c r="L28" s="86"/>
    </row>
    <row r="29" spans="1:12" ht="12.75">
      <c r="A29" s="87"/>
      <c r="B29" s="31"/>
      <c r="C29" s="93"/>
      <c r="D29" s="93"/>
      <c r="E29" s="93"/>
      <c r="F29" s="93"/>
      <c r="G29" s="94"/>
      <c r="H29" s="88"/>
      <c r="I29" s="88"/>
      <c r="J29" s="88"/>
      <c r="K29" s="88"/>
      <c r="L29" s="88"/>
    </row>
    <row r="30" spans="1:12" s="30" customFormat="1" ht="12.75">
      <c r="A30" s="89" t="s">
        <v>31</v>
      </c>
      <c r="B30" s="311"/>
      <c r="C30" s="90">
        <f>+C31+C32</f>
        <v>87763.15454845948</v>
      </c>
      <c r="D30" s="90">
        <f>+D31+D32</f>
        <v>93913.59641921552</v>
      </c>
      <c r="E30" s="90">
        <f>+E31+E32</f>
        <v>100495.06125627413</v>
      </c>
      <c r="F30" s="90">
        <f>+F31+F32</f>
        <v>107537.75514911381</v>
      </c>
      <c r="G30" s="91">
        <f>+G31+G32</f>
        <v>169222.90102996372</v>
      </c>
      <c r="H30" s="86"/>
      <c r="I30" s="86"/>
      <c r="J30" s="86"/>
      <c r="K30" s="86"/>
      <c r="L30" s="86"/>
    </row>
    <row r="31" spans="1:12" s="32" customFormat="1" ht="12.75">
      <c r="A31" s="95" t="s">
        <v>91</v>
      </c>
      <c r="B31" s="98"/>
      <c r="C31" s="96">
        <f>+DATOS!J37</f>
        <v>87763.15454845948</v>
      </c>
      <c r="D31" s="96">
        <f>+DATOS!J38</f>
        <v>93913.59641921552</v>
      </c>
      <c r="E31" s="96">
        <f>+DATOS!J39</f>
        <v>100495.06125627413</v>
      </c>
      <c r="F31" s="96">
        <f>+DATOS!J40</f>
        <v>107537.75514911381</v>
      </c>
      <c r="G31" s="97">
        <f>+DATOS!J41</f>
        <v>115074.0010299637</v>
      </c>
      <c r="H31" s="326"/>
      <c r="I31" s="326"/>
      <c r="J31" s="326"/>
      <c r="K31" s="326"/>
      <c r="L31" s="326"/>
    </row>
    <row r="32" spans="1:12" s="32" customFormat="1" ht="12.75">
      <c r="A32" s="95" t="s">
        <v>33</v>
      </c>
      <c r="B32" s="98"/>
      <c r="C32" s="96"/>
      <c r="D32" s="96"/>
      <c r="E32" s="96"/>
      <c r="F32" s="96"/>
      <c r="G32" s="97">
        <f>+DATOS!I37+DATOS!I38+DATOS!I39+DATOS!I40+DATOS!I41</f>
        <v>54148.9</v>
      </c>
      <c r="H32" s="326"/>
      <c r="I32" s="326"/>
      <c r="J32" s="326"/>
      <c r="K32" s="326"/>
      <c r="L32" s="326"/>
    </row>
    <row r="33" spans="1:71" s="30" customFormat="1" ht="12.75">
      <c r="A33" s="89" t="s">
        <v>34</v>
      </c>
      <c r="B33" s="311"/>
      <c r="C33" s="90">
        <f>+C34</f>
        <v>69820.8991562504</v>
      </c>
      <c r="D33" s="90">
        <f>+D34</f>
        <v>74713.94776912041</v>
      </c>
      <c r="E33" s="90">
        <f>+E34</f>
        <v>79949.90122878036</v>
      </c>
      <c r="F33" s="90">
        <f>+F34</f>
        <v>85552.7903068933</v>
      </c>
      <c r="G33" s="91">
        <f>+G34</f>
        <v>91548.32985160037</v>
      </c>
      <c r="H33" s="311"/>
      <c r="I33" s="311"/>
      <c r="J33" s="311"/>
      <c r="K33" s="311"/>
      <c r="L33" s="311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</row>
    <row r="34" spans="1:71" s="32" customFormat="1" ht="12.75">
      <c r="A34" s="95" t="s">
        <v>92</v>
      </c>
      <c r="B34" s="98"/>
      <c r="C34" s="96">
        <f>+DATOS!K37</f>
        <v>69820.8991562504</v>
      </c>
      <c r="D34" s="96">
        <f>+DATOS!K38</f>
        <v>74713.94776912041</v>
      </c>
      <c r="E34" s="96">
        <f>+DATOS!K39</f>
        <v>79949.90122878036</v>
      </c>
      <c r="F34" s="96">
        <f>+DATOS!K40</f>
        <v>85552.7903068933</v>
      </c>
      <c r="G34" s="97">
        <f>+DATOS!K41</f>
        <v>91548.32985160037</v>
      </c>
      <c r="H34" s="98"/>
      <c r="I34" s="98"/>
      <c r="J34" s="98"/>
      <c r="K34" s="98"/>
      <c r="L34" s="98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</row>
    <row r="35" spans="1:12" s="30" customFormat="1" ht="12.75">
      <c r="A35" s="89" t="s">
        <v>37</v>
      </c>
      <c r="B35" s="311"/>
      <c r="C35" s="90">
        <f>+C30-C33</f>
        <v>17942.25539220909</v>
      </c>
      <c r="D35" s="90">
        <f>+D30-D33</f>
        <v>19199.648650095114</v>
      </c>
      <c r="E35" s="90">
        <f>+E30-E33</f>
        <v>20545.160027493766</v>
      </c>
      <c r="F35" s="90">
        <f>+F30-F33</f>
        <v>21984.96484222052</v>
      </c>
      <c r="G35" s="91">
        <f>+G30-G33</f>
        <v>77674.57117836335</v>
      </c>
      <c r="H35" s="86"/>
      <c r="I35" s="86"/>
      <c r="J35" s="86"/>
      <c r="K35" s="86"/>
      <c r="L35" s="86"/>
    </row>
    <row r="36" spans="1:12" ht="12.75">
      <c r="A36" s="87"/>
      <c r="B36" s="31"/>
      <c r="C36" s="93"/>
      <c r="D36" s="93"/>
      <c r="E36" s="93"/>
      <c r="F36" s="93"/>
      <c r="G36" s="94"/>
      <c r="H36" s="88"/>
      <c r="I36" s="88"/>
      <c r="J36" s="88"/>
      <c r="K36" s="88"/>
      <c r="L36" s="88"/>
    </row>
    <row r="37" spans="1:12" s="30" customFormat="1" ht="12.75">
      <c r="A37" s="89" t="s">
        <v>38</v>
      </c>
      <c r="B37" s="311"/>
      <c r="C37" s="90">
        <f>+C28+C35</f>
        <v>338166.6695316049</v>
      </c>
      <c r="D37" s="90">
        <f>+D28+D35</f>
        <v>363837.20951477974</v>
      </c>
      <c r="E37" s="90">
        <f>+E28+E35</f>
        <v>391361.3200359756</v>
      </c>
      <c r="F37" s="90">
        <f>+F28+F35</f>
        <v>420871.3553778167</v>
      </c>
      <c r="G37" s="91">
        <f>+G28+G35</f>
        <v>506657.95573372353</v>
      </c>
      <c r="H37" s="311"/>
      <c r="I37" s="311"/>
      <c r="J37" s="311"/>
      <c r="K37" s="311"/>
      <c r="L37" s="86"/>
    </row>
    <row r="38" spans="1:12" ht="12.75">
      <c r="A38" s="87" t="s">
        <v>39</v>
      </c>
      <c r="B38" s="31"/>
      <c r="C38" s="93">
        <f>IF(C37&lt;0,0,C37*0.15)</f>
        <v>50725.000429740736</v>
      </c>
      <c r="D38" s="93">
        <f>IF(D37&lt;0,0,D37*0.15)</f>
        <v>54575.58142721696</v>
      </c>
      <c r="E38" s="93">
        <f>IF(E37&lt;0,0,E37*0.15)</f>
        <v>58704.19800539634</v>
      </c>
      <c r="F38" s="93">
        <f>IF(F37&lt;0,0,F37*0.15)</f>
        <v>63130.703306672505</v>
      </c>
      <c r="G38" s="94">
        <f>IF(G37&lt;0,0,G37*0.15)</f>
        <v>75998.69336005853</v>
      </c>
      <c r="H38" s="88"/>
      <c r="I38" s="88"/>
      <c r="J38" s="88"/>
      <c r="K38" s="88"/>
      <c r="L38" s="88"/>
    </row>
    <row r="39" spans="1:12" s="30" customFormat="1" ht="12.75">
      <c r="A39" s="89" t="s">
        <v>40</v>
      </c>
      <c r="B39" s="311"/>
      <c r="C39" s="90">
        <f>+C37-C38</f>
        <v>287441.66910186416</v>
      </c>
      <c r="D39" s="90">
        <f>+D37-D38</f>
        <v>309261.6280875628</v>
      </c>
      <c r="E39" s="90">
        <f>+E37-E38</f>
        <v>332657.12203057925</v>
      </c>
      <c r="F39" s="90">
        <f>+F37-F38</f>
        <v>357740.6520711442</v>
      </c>
      <c r="G39" s="91">
        <f>+G37-G38</f>
        <v>430659.262373665</v>
      </c>
      <c r="H39" s="86"/>
      <c r="I39" s="86"/>
      <c r="J39" s="86"/>
      <c r="K39" s="86"/>
      <c r="L39" s="86"/>
    </row>
    <row r="40" spans="1:12" ht="12.75">
      <c r="A40" s="87" t="s">
        <v>41</v>
      </c>
      <c r="B40" s="31"/>
      <c r="C40" s="93">
        <f>IF(C37&lt;0,0,C39*0.25)</f>
        <v>71860.41727546604</v>
      </c>
      <c r="D40" s="93">
        <f>IF(D37&lt;0,0,D39*0.25)</f>
        <v>77315.4070218907</v>
      </c>
      <c r="E40" s="93">
        <f>IF(E37&lt;0,0,E39*0.25)</f>
        <v>83164.28050764481</v>
      </c>
      <c r="F40" s="93">
        <f>IF(F37&lt;0,0,F39*0.25)</f>
        <v>89435.16301778605</v>
      </c>
      <c r="G40" s="94">
        <f>IF(G37&lt;0,0,G39*0.25)</f>
        <v>107664.81559341625</v>
      </c>
      <c r="H40" s="88"/>
      <c r="I40" s="88"/>
      <c r="J40" s="88"/>
      <c r="K40" s="88"/>
      <c r="L40" s="88"/>
    </row>
    <row r="41" spans="1:12" ht="12.75">
      <c r="A41" s="87" t="s">
        <v>42</v>
      </c>
      <c r="B41" s="31"/>
      <c r="C41" s="93">
        <f>IF(C37&lt;0,0,C39*0.1)</f>
        <v>28744.166910186417</v>
      </c>
      <c r="D41" s="93">
        <f>IF(D37&lt;0,0,D39*0.1)</f>
        <v>30926.162808756282</v>
      </c>
      <c r="E41" s="93">
        <f>IF(E37&lt;0,0,E39*0.1)</f>
        <v>33265.71220305793</v>
      </c>
      <c r="F41" s="93">
        <f>IF(F37&lt;0,0,F39*0.1)</f>
        <v>35774.06520711442</v>
      </c>
      <c r="G41" s="94">
        <f>IF(G37&lt;0,0,G39*0.1)</f>
        <v>43065.926237366504</v>
      </c>
      <c r="H41" s="88"/>
      <c r="I41" s="88"/>
      <c r="J41" s="88"/>
      <c r="K41" s="88"/>
      <c r="L41" s="88"/>
    </row>
    <row r="42" spans="1:12" ht="13.5" thickBot="1">
      <c r="A42" s="323" t="s">
        <v>43</v>
      </c>
      <c r="B42" s="101"/>
      <c r="C42" s="317">
        <f>+C39-C40-C41</f>
        <v>186837.08491621172</v>
      </c>
      <c r="D42" s="317">
        <f>+D39-D40-D41</f>
        <v>201020.05825691583</v>
      </c>
      <c r="E42" s="317">
        <f>+E39-E40-E41</f>
        <v>216227.12931987652</v>
      </c>
      <c r="F42" s="317">
        <f>+F39-F40-F41</f>
        <v>232531.42384624374</v>
      </c>
      <c r="G42" s="318">
        <f>+G39-G40-G41</f>
        <v>279928.52054288227</v>
      </c>
      <c r="H42" s="88"/>
      <c r="I42" s="88"/>
      <c r="J42" s="88"/>
      <c r="K42" s="88"/>
      <c r="L42" s="88"/>
    </row>
    <row r="43" spans="1:12" ht="12.75">
      <c r="A43" s="314"/>
      <c r="B43" s="31"/>
      <c r="C43" s="37"/>
      <c r="D43" s="37"/>
      <c r="E43" s="37"/>
      <c r="F43" s="37"/>
      <c r="G43" s="37"/>
      <c r="H43" s="88"/>
      <c r="I43" s="88"/>
      <c r="J43" s="88"/>
      <c r="K43" s="88"/>
      <c r="L43" s="88"/>
    </row>
    <row r="44" spans="1:12" ht="12.75">
      <c r="A44" s="314"/>
      <c r="B44" s="31"/>
      <c r="C44" s="37"/>
      <c r="D44" s="37"/>
      <c r="E44" s="37"/>
      <c r="F44" s="37"/>
      <c r="G44" s="37"/>
      <c r="H44" s="88"/>
      <c r="I44" s="88"/>
      <c r="J44" s="88"/>
      <c r="K44" s="88"/>
      <c r="L44" s="88"/>
    </row>
    <row r="45" spans="1:12" ht="12.75">
      <c r="A45" s="314"/>
      <c r="B45" s="31"/>
      <c r="C45" s="37"/>
      <c r="D45" s="37"/>
      <c r="E45" s="37"/>
      <c r="F45" s="37"/>
      <c r="G45" s="37"/>
      <c r="H45" s="88"/>
      <c r="I45" s="88"/>
      <c r="J45" s="88"/>
      <c r="K45" s="88"/>
      <c r="L45" s="88"/>
    </row>
    <row r="46" spans="1:12" ht="12.75">
      <c r="A46" s="314"/>
      <c r="B46" s="31"/>
      <c r="C46" s="37"/>
      <c r="D46" s="37"/>
      <c r="E46" s="37"/>
      <c r="F46" s="37"/>
      <c r="G46" s="37"/>
      <c r="H46" s="88"/>
      <c r="I46" s="88"/>
      <c r="J46" s="88"/>
      <c r="K46" s="88"/>
      <c r="L46" s="88"/>
    </row>
    <row r="47" spans="1:12" ht="12.75">
      <c r="A47" s="314"/>
      <c r="B47" s="31"/>
      <c r="C47" s="37"/>
      <c r="D47" s="37"/>
      <c r="E47" s="37"/>
      <c r="F47" s="37"/>
      <c r="G47" s="37"/>
      <c r="H47" s="88"/>
      <c r="I47" s="88"/>
      <c r="J47" s="88"/>
      <c r="K47" s="88"/>
      <c r="L47" s="88"/>
    </row>
    <row r="48" spans="1:12" ht="12.75">
      <c r="A48" s="314"/>
      <c r="B48" s="31"/>
      <c r="C48" s="37"/>
      <c r="D48" s="37"/>
      <c r="E48" s="37"/>
      <c r="F48" s="37"/>
      <c r="G48" s="37"/>
      <c r="H48" s="88"/>
      <c r="I48" s="88"/>
      <c r="J48" s="88"/>
      <c r="K48" s="88"/>
      <c r="L48" s="88"/>
    </row>
    <row r="49" spans="1:12" s="30" customFormat="1" ht="12.75">
      <c r="A49" s="313"/>
      <c r="B49" s="86"/>
      <c r="C49" s="86"/>
      <c r="D49" s="86"/>
      <c r="E49" s="86"/>
      <c r="F49" s="327"/>
      <c r="G49" s="327"/>
      <c r="H49" s="86"/>
      <c r="I49" s="86"/>
      <c r="J49" s="86"/>
      <c r="K49" s="86"/>
      <c r="L49" s="86"/>
    </row>
    <row r="50" spans="1:12" ht="12.75">
      <c r="A50" s="314"/>
      <c r="B50" s="31"/>
      <c r="C50" s="37"/>
      <c r="D50" s="37"/>
      <c r="E50" s="37"/>
      <c r="F50" s="37"/>
      <c r="G50" s="37"/>
      <c r="H50" s="88"/>
      <c r="I50" s="88"/>
      <c r="J50" s="88"/>
      <c r="K50" s="88"/>
      <c r="L50" s="88"/>
    </row>
    <row r="51" spans="1:12" ht="12.75">
      <c r="A51" s="314"/>
      <c r="B51" s="31"/>
      <c r="C51" s="37"/>
      <c r="D51" s="37"/>
      <c r="E51" s="37"/>
      <c r="F51" s="37"/>
      <c r="G51" s="37"/>
      <c r="H51" s="88"/>
      <c r="I51" s="88"/>
      <c r="J51" s="88"/>
      <c r="K51" s="88"/>
      <c r="L51" s="88"/>
    </row>
    <row r="52" spans="1:12" ht="12.75">
      <c r="A52" s="314"/>
      <c r="B52" s="31"/>
      <c r="C52" s="37"/>
      <c r="D52" s="37"/>
      <c r="E52" s="37"/>
      <c r="F52" s="37"/>
      <c r="G52" s="37"/>
      <c r="H52" s="88"/>
      <c r="I52" s="88"/>
      <c r="J52" s="88"/>
      <c r="K52" s="88"/>
      <c r="L52" s="88"/>
    </row>
    <row r="53" spans="1:12" ht="12.75">
      <c r="A53" s="314"/>
      <c r="B53" s="31"/>
      <c r="C53" s="37"/>
      <c r="D53" s="37"/>
      <c r="E53" s="37"/>
      <c r="F53" s="37"/>
      <c r="G53" s="37"/>
      <c r="H53" s="88"/>
      <c r="I53" s="88"/>
      <c r="J53" s="88"/>
      <c r="K53" s="88"/>
      <c r="L53" s="88"/>
    </row>
    <row r="54" spans="1:12" ht="12.75">
      <c r="A54" s="314"/>
      <c r="B54" s="31"/>
      <c r="C54" s="37"/>
      <c r="D54" s="37"/>
      <c r="E54" s="37"/>
      <c r="F54" s="37"/>
      <c r="G54" s="37"/>
      <c r="H54" s="88"/>
      <c r="I54" s="88"/>
      <c r="J54" s="88"/>
      <c r="K54" s="88"/>
      <c r="L54" s="88"/>
    </row>
    <row r="55" spans="1:12" ht="12.75">
      <c r="A55" s="314"/>
      <c r="B55" s="31"/>
      <c r="C55" s="37"/>
      <c r="D55" s="37"/>
      <c r="E55" s="37"/>
      <c r="F55" s="37"/>
      <c r="G55" s="37"/>
      <c r="H55" s="88"/>
      <c r="I55" s="88"/>
      <c r="J55" s="88"/>
      <c r="K55" s="88"/>
      <c r="L55" s="88"/>
    </row>
    <row r="56" spans="1:12" ht="12.75">
      <c r="A56" s="314"/>
      <c r="B56" s="31"/>
      <c r="C56" s="37"/>
      <c r="D56" s="37"/>
      <c r="E56" s="37"/>
      <c r="F56" s="37"/>
      <c r="G56" s="37"/>
      <c r="H56" s="88"/>
      <c r="I56" s="88"/>
      <c r="J56" s="88"/>
      <c r="K56" s="88"/>
      <c r="L56" s="88"/>
    </row>
    <row r="57" spans="1:12" ht="12.75">
      <c r="A57" s="314"/>
      <c r="B57" s="31"/>
      <c r="C57" s="37"/>
      <c r="D57" s="37"/>
      <c r="E57" s="37"/>
      <c r="F57" s="37"/>
      <c r="G57" s="37"/>
      <c r="H57" s="88"/>
      <c r="I57" s="88"/>
      <c r="J57" s="88"/>
      <c r="K57" s="88"/>
      <c r="L57" s="88"/>
    </row>
    <row r="58" spans="1:12" ht="12.75">
      <c r="A58" s="314"/>
      <c r="B58" s="31"/>
      <c r="C58" s="37"/>
      <c r="D58" s="37"/>
      <c r="E58" s="37"/>
      <c r="F58" s="37"/>
      <c r="G58" s="37"/>
      <c r="H58" s="88"/>
      <c r="I58" s="88"/>
      <c r="J58" s="88"/>
      <c r="K58" s="88"/>
      <c r="L58" s="88"/>
    </row>
    <row r="59" spans="1:12" ht="12.75">
      <c r="A59" s="314"/>
      <c r="B59" s="31"/>
      <c r="C59" s="37"/>
      <c r="D59" s="37"/>
      <c r="E59" s="37"/>
      <c r="F59" s="37"/>
      <c r="G59" s="37"/>
      <c r="H59" s="88"/>
      <c r="I59" s="88"/>
      <c r="J59" s="88"/>
      <c r="K59" s="88"/>
      <c r="L59" s="88"/>
    </row>
    <row r="60" spans="1:12" ht="12.75">
      <c r="A60" s="314"/>
      <c r="B60" s="31"/>
      <c r="C60" s="37"/>
      <c r="D60" s="37"/>
      <c r="E60" s="37"/>
      <c r="F60" s="37"/>
      <c r="G60" s="37"/>
      <c r="H60" s="88"/>
      <c r="I60" s="88"/>
      <c r="J60" s="88"/>
      <c r="K60" s="88"/>
      <c r="L60" s="88"/>
    </row>
    <row r="61" spans="1:12" ht="12.75">
      <c r="A61" s="314"/>
      <c r="B61" s="31"/>
      <c r="C61" s="37"/>
      <c r="D61" s="37"/>
      <c r="E61" s="37"/>
      <c r="F61" s="37"/>
      <c r="G61" s="37"/>
      <c r="H61" s="88"/>
      <c r="I61" s="88"/>
      <c r="J61" s="88"/>
      <c r="K61" s="88"/>
      <c r="L61" s="88"/>
    </row>
    <row r="62" spans="1:12" ht="12.75">
      <c r="A62" s="314"/>
      <c r="B62" s="31"/>
      <c r="C62" s="37"/>
      <c r="D62" s="37"/>
      <c r="E62" s="37"/>
      <c r="F62" s="37"/>
      <c r="G62" s="37"/>
      <c r="H62" s="88"/>
      <c r="I62" s="88"/>
      <c r="J62" s="88"/>
      <c r="K62" s="88"/>
      <c r="L62" s="88"/>
    </row>
    <row r="63" spans="1:12" ht="12.75">
      <c r="A63" s="314"/>
      <c r="B63" s="31"/>
      <c r="C63" s="37"/>
      <c r="D63" s="37"/>
      <c r="E63" s="37"/>
      <c r="F63" s="37"/>
      <c r="G63" s="37"/>
      <c r="H63" s="88"/>
      <c r="I63" s="88"/>
      <c r="J63" s="88"/>
      <c r="K63" s="88"/>
      <c r="L63" s="88"/>
    </row>
    <row r="64" spans="1:12" ht="12.75">
      <c r="A64" s="314"/>
      <c r="B64" s="31"/>
      <c r="C64" s="37"/>
      <c r="D64" s="37"/>
      <c r="E64" s="37"/>
      <c r="F64" s="37"/>
      <c r="G64" s="37"/>
      <c r="H64" s="88"/>
      <c r="I64" s="88"/>
      <c r="J64" s="88"/>
      <c r="K64" s="88"/>
      <c r="L64" s="88"/>
    </row>
    <row r="65" spans="1:12" ht="12.75">
      <c r="A65" s="314"/>
      <c r="B65" s="31"/>
      <c r="C65" s="37"/>
      <c r="D65" s="37"/>
      <c r="E65" s="37"/>
      <c r="F65" s="37"/>
      <c r="G65" s="37"/>
      <c r="H65" s="88"/>
      <c r="I65" s="88"/>
      <c r="J65" s="88"/>
      <c r="K65" s="88"/>
      <c r="L65" s="88"/>
    </row>
    <row r="66" spans="1:12" ht="12.75">
      <c r="A66" s="314"/>
      <c r="B66" s="31"/>
      <c r="C66" s="37"/>
      <c r="D66" s="37"/>
      <c r="E66" s="37"/>
      <c r="F66" s="37"/>
      <c r="G66" s="37"/>
      <c r="H66" s="88"/>
      <c r="I66" s="88"/>
      <c r="J66" s="88"/>
      <c r="K66" s="88"/>
      <c r="L66" s="88"/>
    </row>
    <row r="67" spans="1:12" ht="12.75">
      <c r="A67" s="314"/>
      <c r="B67" s="31"/>
      <c r="C67" s="37"/>
      <c r="D67" s="37"/>
      <c r="E67" s="37"/>
      <c r="F67" s="37"/>
      <c r="G67" s="37"/>
      <c r="H67" s="88"/>
      <c r="I67" s="88"/>
      <c r="J67" s="88"/>
      <c r="K67" s="88"/>
      <c r="L67" s="88"/>
    </row>
    <row r="68" spans="1:12" ht="12.75">
      <c r="A68" s="314"/>
      <c r="B68" s="31"/>
      <c r="C68" s="37"/>
      <c r="D68" s="37"/>
      <c r="E68" s="37"/>
      <c r="F68" s="37"/>
      <c r="G68" s="37"/>
      <c r="H68" s="88"/>
      <c r="I68" s="88"/>
      <c r="J68" s="88"/>
      <c r="K68" s="88"/>
      <c r="L68" s="88"/>
    </row>
    <row r="69" spans="1:12" ht="12.75">
      <c r="A69" s="314"/>
      <c r="B69" s="31"/>
      <c r="C69" s="37"/>
      <c r="D69" s="37"/>
      <c r="E69" s="37"/>
      <c r="F69" s="37"/>
      <c r="G69" s="37"/>
      <c r="H69" s="88"/>
      <c r="I69" s="88"/>
      <c r="J69" s="88"/>
      <c r="K69" s="88"/>
      <c r="L69" s="88"/>
    </row>
    <row r="70" spans="1:12" ht="12.75">
      <c r="A70" s="314"/>
      <c r="B70" s="31"/>
      <c r="C70" s="37"/>
      <c r="D70" s="37"/>
      <c r="E70" s="37"/>
      <c r="F70" s="37"/>
      <c r="G70" s="37"/>
      <c r="H70" s="88"/>
      <c r="I70" s="88"/>
      <c r="J70" s="88"/>
      <c r="K70" s="88"/>
      <c r="L70" s="88"/>
    </row>
    <row r="71" spans="1:12" ht="12.75">
      <c r="A71" s="314"/>
      <c r="B71" s="31"/>
      <c r="C71" s="37"/>
      <c r="D71" s="37"/>
      <c r="E71" s="37"/>
      <c r="F71" s="37"/>
      <c r="G71" s="37"/>
      <c r="H71" s="88"/>
      <c r="I71" s="88"/>
      <c r="J71" s="88"/>
      <c r="K71" s="88"/>
      <c r="L71" s="88"/>
    </row>
    <row r="72" spans="1:12" ht="12.75">
      <c r="A72" s="314"/>
      <c r="B72" s="31"/>
      <c r="C72" s="37"/>
      <c r="D72" s="37"/>
      <c r="E72" s="37"/>
      <c r="F72" s="37"/>
      <c r="G72" s="37"/>
      <c r="H72" s="88"/>
      <c r="I72" s="88"/>
      <c r="J72" s="88"/>
      <c r="K72" s="88"/>
      <c r="L72" s="88"/>
    </row>
    <row r="73" spans="1:12" ht="12.75">
      <c r="A73" s="314"/>
      <c r="B73" s="31"/>
      <c r="C73" s="37"/>
      <c r="D73" s="37"/>
      <c r="E73" s="37"/>
      <c r="F73" s="37"/>
      <c r="G73" s="37"/>
      <c r="H73" s="88"/>
      <c r="I73" s="88"/>
      <c r="J73" s="88"/>
      <c r="K73" s="88"/>
      <c r="L73" s="88"/>
    </row>
    <row r="74" spans="1:12" ht="12.75">
      <c r="A74" s="314"/>
      <c r="B74" s="31"/>
      <c r="C74" s="37"/>
      <c r="D74" s="37"/>
      <c r="E74" s="37"/>
      <c r="F74" s="37"/>
      <c r="G74" s="37"/>
      <c r="H74" s="88"/>
      <c r="I74" s="88"/>
      <c r="J74" s="88"/>
      <c r="K74" s="88"/>
      <c r="L74" s="88"/>
    </row>
    <row r="75" spans="1:12" ht="12.75">
      <c r="A75" s="314"/>
      <c r="B75" s="31"/>
      <c r="C75" s="37"/>
      <c r="D75" s="37"/>
      <c r="E75" s="37"/>
      <c r="F75" s="37"/>
      <c r="G75" s="37"/>
      <c r="H75" s="88"/>
      <c r="I75" s="88"/>
      <c r="J75" s="88"/>
      <c r="K75" s="88"/>
      <c r="L75" s="88"/>
    </row>
    <row r="76" spans="1:12" ht="12.75">
      <c r="A76" s="314"/>
      <c r="B76" s="31"/>
      <c r="C76" s="37"/>
      <c r="D76" s="37"/>
      <c r="E76" s="37"/>
      <c r="F76" s="37"/>
      <c r="G76" s="37"/>
      <c r="H76" s="88"/>
      <c r="I76" s="88"/>
      <c r="J76" s="88"/>
      <c r="K76" s="88"/>
      <c r="L76" s="88"/>
    </row>
    <row r="77" spans="1:12" ht="12.75">
      <c r="A77" s="314"/>
      <c r="B77" s="31"/>
      <c r="C77" s="37"/>
      <c r="D77" s="37"/>
      <c r="E77" s="37"/>
      <c r="F77" s="37"/>
      <c r="G77" s="37"/>
      <c r="H77" s="88"/>
      <c r="I77" s="88"/>
      <c r="J77" s="88"/>
      <c r="K77" s="88"/>
      <c r="L77" s="88"/>
    </row>
    <row r="78" spans="1:12" ht="12.75">
      <c r="A78" s="314"/>
      <c r="B78" s="31"/>
      <c r="C78" s="37"/>
      <c r="D78" s="37"/>
      <c r="E78" s="37"/>
      <c r="F78" s="37"/>
      <c r="G78" s="37"/>
      <c r="H78" s="88"/>
      <c r="I78" s="88"/>
      <c r="J78" s="88"/>
      <c r="K78" s="88"/>
      <c r="L78" s="88"/>
    </row>
    <row r="79" spans="1:12" ht="12.75">
      <c r="A79" s="314"/>
      <c r="B79" s="31"/>
      <c r="C79" s="37"/>
      <c r="D79" s="37"/>
      <c r="E79" s="37"/>
      <c r="F79" s="37"/>
      <c r="G79" s="37"/>
      <c r="H79" s="88"/>
      <c r="I79" s="88"/>
      <c r="J79" s="88"/>
      <c r="K79" s="88"/>
      <c r="L79" s="88"/>
    </row>
    <row r="80" spans="1:12" ht="12.75">
      <c r="A80" s="314"/>
      <c r="B80" s="31"/>
      <c r="C80" s="37"/>
      <c r="D80" s="37"/>
      <c r="E80" s="37"/>
      <c r="F80" s="37"/>
      <c r="G80" s="37"/>
      <c r="H80" s="88"/>
      <c r="I80" s="88"/>
      <c r="J80" s="88"/>
      <c r="K80" s="88"/>
      <c r="L80" s="88"/>
    </row>
    <row r="81" spans="1:12" ht="12.75">
      <c r="A81" s="314"/>
      <c r="B81" s="31"/>
      <c r="C81" s="37"/>
      <c r="D81" s="37"/>
      <c r="E81" s="37"/>
      <c r="F81" s="37"/>
      <c r="G81" s="37"/>
      <c r="H81" s="88"/>
      <c r="I81" s="88"/>
      <c r="J81" s="88"/>
      <c r="K81" s="88"/>
      <c r="L81" s="88"/>
    </row>
    <row r="82" spans="1:12" ht="12.75">
      <c r="A82" s="314"/>
      <c r="B82" s="31"/>
      <c r="C82" s="37"/>
      <c r="D82" s="37"/>
      <c r="E82" s="37"/>
      <c r="F82" s="37"/>
      <c r="G82" s="37"/>
      <c r="H82" s="88"/>
      <c r="I82" s="88"/>
      <c r="J82" s="88"/>
      <c r="K82" s="88"/>
      <c r="L82" s="88"/>
    </row>
    <row r="83" spans="1:12" ht="12.75">
      <c r="A83" s="314"/>
      <c r="B83" s="31"/>
      <c r="C83" s="37"/>
      <c r="D83" s="37"/>
      <c r="E83" s="37"/>
      <c r="F83" s="37"/>
      <c r="G83" s="37"/>
      <c r="H83" s="88"/>
      <c r="I83" s="88"/>
      <c r="J83" s="88"/>
      <c r="K83" s="88"/>
      <c r="L83" s="88"/>
    </row>
    <row r="84" spans="1:12" ht="12.75">
      <c r="A84" s="314"/>
      <c r="B84" s="31"/>
      <c r="C84" s="37"/>
      <c r="D84" s="37"/>
      <c r="E84" s="37"/>
      <c r="F84" s="37"/>
      <c r="G84" s="37"/>
      <c r="H84" s="88"/>
      <c r="I84" s="88"/>
      <c r="J84" s="88"/>
      <c r="K84" s="88"/>
      <c r="L84" s="88"/>
    </row>
    <row r="85" spans="1:12" ht="12.75">
      <c r="A85" s="314"/>
      <c r="B85" s="31"/>
      <c r="C85" s="37"/>
      <c r="D85" s="37"/>
      <c r="E85" s="37"/>
      <c r="F85" s="37"/>
      <c r="G85" s="37"/>
      <c r="H85" s="88"/>
      <c r="I85" s="88"/>
      <c r="J85" s="88"/>
      <c r="K85" s="88"/>
      <c r="L85" s="88"/>
    </row>
  </sheetData>
  <mergeCells count="3">
    <mergeCell ref="A3:G3"/>
    <mergeCell ref="A4:G4"/>
    <mergeCell ref="A5:G5"/>
  </mergeCells>
  <printOptions horizontalCentered="1" verticalCentered="1"/>
  <pageMargins left="0.7874015748031497" right="0.7874015748031497" top="0.18" bottom="0.12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I51"/>
  <sheetViews>
    <sheetView workbookViewId="0" topLeftCell="A1">
      <selection activeCell="M9" sqref="M9"/>
    </sheetView>
  </sheetViews>
  <sheetFormatPr defaultColWidth="11.421875" defaultRowHeight="12.75"/>
  <cols>
    <col min="2" max="2" width="3.57421875" style="0" customWidth="1"/>
    <col min="3" max="3" width="35.140625" style="24" bestFit="1" customWidth="1"/>
    <col min="4" max="4" width="14.57421875" style="22" bestFit="1" customWidth="1"/>
    <col min="5" max="5" width="13.28125" style="23" customWidth="1"/>
    <col min="6" max="6" width="11.57421875" style="23" customWidth="1"/>
    <col min="7" max="7" width="11.7109375" style="23" customWidth="1"/>
    <col min="8" max="8" width="11.57421875" style="23" customWidth="1"/>
    <col min="9" max="9" width="11.7109375" style="23" customWidth="1"/>
  </cols>
  <sheetData>
    <row r="2" spans="3:9" ht="15">
      <c r="C2" s="382" t="s">
        <v>280</v>
      </c>
      <c r="D2" s="382"/>
      <c r="E2" s="382"/>
      <c r="F2" s="382"/>
      <c r="G2" s="382"/>
      <c r="H2" s="382"/>
      <c r="I2" s="382"/>
    </row>
    <row r="3" spans="3:9" ht="15">
      <c r="C3" s="383" t="s">
        <v>281</v>
      </c>
      <c r="D3" s="383"/>
      <c r="E3" s="383"/>
      <c r="F3" s="383"/>
      <c r="G3" s="383"/>
      <c r="H3" s="383"/>
      <c r="I3" s="383"/>
    </row>
    <row r="4" spans="3:9" ht="15">
      <c r="C4" s="383" t="s">
        <v>279</v>
      </c>
      <c r="D4" s="383"/>
      <c r="E4" s="383"/>
      <c r="F4" s="383"/>
      <c r="G4" s="383"/>
      <c r="H4" s="383"/>
      <c r="I4" s="383"/>
    </row>
    <row r="5" ht="8.25" customHeight="1" thickBot="1">
      <c r="C5" s="83"/>
    </row>
    <row r="6" spans="3:9" s="30" customFormat="1" ht="12" customHeight="1" thickBot="1">
      <c r="C6" s="84"/>
      <c r="D6" s="85" t="s">
        <v>98</v>
      </c>
      <c r="E6" s="28">
        <v>2004</v>
      </c>
      <c r="F6" s="27">
        <v>2005</v>
      </c>
      <c r="G6" s="28">
        <v>2006</v>
      </c>
      <c r="H6" s="27">
        <v>2007</v>
      </c>
      <c r="I6" s="28">
        <v>2008</v>
      </c>
    </row>
    <row r="7" spans="3:9" ht="12.75">
      <c r="C7" s="87"/>
      <c r="D7" s="31"/>
      <c r="E7" s="392"/>
      <c r="F7" s="37"/>
      <c r="G7" s="392"/>
      <c r="H7" s="37"/>
      <c r="I7" s="392"/>
    </row>
    <row r="8" spans="3:9" s="30" customFormat="1" ht="12.75">
      <c r="C8" s="89" t="s">
        <v>99</v>
      </c>
      <c r="D8" s="90"/>
      <c r="E8" s="393">
        <f>+E9</f>
        <v>789739.8109278609</v>
      </c>
      <c r="F8" s="90">
        <f>+F9</f>
        <v>845084.7768776853</v>
      </c>
      <c r="G8" s="393">
        <f>+G9</f>
        <v>904308.3180412735</v>
      </c>
      <c r="H8" s="90">
        <f>+H9</f>
        <v>967682.2449696059</v>
      </c>
      <c r="I8" s="393">
        <f>+I9</f>
        <v>1035497.416697076</v>
      </c>
    </row>
    <row r="9" spans="3:9" ht="12.75">
      <c r="C9" s="92" t="s">
        <v>100</v>
      </c>
      <c r="D9" s="93"/>
      <c r="E9" s="361">
        <f>+'P&amp;G CONSECION'!C8</f>
        <v>789739.8109278609</v>
      </c>
      <c r="F9" s="93">
        <f>+'P&amp;G CONSECION'!D8</f>
        <v>845084.7768776853</v>
      </c>
      <c r="G9" s="361">
        <f>+'P&amp;G CONSECION'!E8</f>
        <v>904308.3180412735</v>
      </c>
      <c r="H9" s="93">
        <f>+'P&amp;G CONSECION'!F8</f>
        <v>967682.2449696059</v>
      </c>
      <c r="I9" s="361">
        <f>+'P&amp;G CONSECION'!G8</f>
        <v>1035497.416697076</v>
      </c>
    </row>
    <row r="10" spans="3:9" ht="12.75">
      <c r="C10" s="87"/>
      <c r="D10" s="93"/>
      <c r="E10" s="361"/>
      <c r="F10" s="93"/>
      <c r="G10" s="361"/>
      <c r="H10" s="93"/>
      <c r="I10" s="361"/>
    </row>
    <row r="11" spans="3:9" s="30" customFormat="1" ht="12.75">
      <c r="C11" s="89" t="s">
        <v>101</v>
      </c>
      <c r="D11" s="90"/>
      <c r="E11" s="393">
        <f>+E12</f>
        <v>389445.6167884651</v>
      </c>
      <c r="F11" s="90">
        <f>+F12</f>
        <v>416737.9656130007</v>
      </c>
      <c r="G11" s="393">
        <f>+G12</f>
        <v>445942.9622431597</v>
      </c>
      <c r="H11" s="90">
        <f>+H12</f>
        <v>477194.6450371604</v>
      </c>
      <c r="I11" s="393">
        <f>+I12</f>
        <v>510636.4457613646</v>
      </c>
    </row>
    <row r="12" spans="3:9" ht="12.75">
      <c r="C12" s="92" t="s">
        <v>102</v>
      </c>
      <c r="D12" s="93"/>
      <c r="E12" s="361">
        <f>+'P&amp;G CONSECION'!C11</f>
        <v>389445.6167884651</v>
      </c>
      <c r="F12" s="93">
        <f>+'P&amp;G CONSECION'!D11</f>
        <v>416737.9656130007</v>
      </c>
      <c r="G12" s="361">
        <f>+'P&amp;G CONSECION'!E11</f>
        <v>445942.9622431597</v>
      </c>
      <c r="H12" s="93">
        <f>+'P&amp;G CONSECION'!F11</f>
        <v>477194.6450371604</v>
      </c>
      <c r="I12" s="361">
        <f>+'P&amp;G CONSECION'!G11</f>
        <v>510636.4457613646</v>
      </c>
    </row>
    <row r="13" spans="3:9" ht="12.75">
      <c r="C13" s="87"/>
      <c r="D13" s="93"/>
      <c r="E13" s="361"/>
      <c r="F13" s="93"/>
      <c r="G13" s="361"/>
      <c r="H13" s="93"/>
      <c r="I13" s="361"/>
    </row>
    <row r="14" spans="3:9" s="30" customFormat="1" ht="12.75">
      <c r="C14" s="89" t="s">
        <v>103</v>
      </c>
      <c r="D14" s="90"/>
      <c r="E14" s="393">
        <f>+E8-E11</f>
        <v>400294.1941393958</v>
      </c>
      <c r="F14" s="90">
        <f>+F8-F11</f>
        <v>428346.81126468466</v>
      </c>
      <c r="G14" s="393">
        <f>+G8-G11</f>
        <v>458365.3557981138</v>
      </c>
      <c r="H14" s="90">
        <f>+H8-H11</f>
        <v>490487.59993244556</v>
      </c>
      <c r="I14" s="393">
        <f>+I8-I11</f>
        <v>524860.9709357114</v>
      </c>
    </row>
    <row r="15" spans="3:9" ht="12.75">
      <c r="C15" s="87"/>
      <c r="D15" s="93"/>
      <c r="E15" s="361"/>
      <c r="F15" s="93"/>
      <c r="G15" s="361"/>
      <c r="H15" s="93"/>
      <c r="I15" s="361"/>
    </row>
    <row r="16" spans="3:9" s="30" customFormat="1" ht="12.75">
      <c r="C16" s="89" t="s">
        <v>104</v>
      </c>
      <c r="D16" s="90">
        <f>+D17+D18+D19</f>
        <v>180000</v>
      </c>
      <c r="E16" s="393">
        <f>+E17+E18+E19+E20</f>
        <v>87763.15454845948</v>
      </c>
      <c r="F16" s="90">
        <f>+F17+F18+F19+F20</f>
        <v>93913.59641921552</v>
      </c>
      <c r="G16" s="393">
        <f>+G17+G18+G19+G20</f>
        <v>100495.06125627413</v>
      </c>
      <c r="H16" s="90">
        <f>+H17+H18+H19+H20</f>
        <v>107537.75514911381</v>
      </c>
      <c r="I16" s="393">
        <f>+I17+I18+I19+I20</f>
        <v>169222.90102996372</v>
      </c>
    </row>
    <row r="17" spans="3:9" s="32" customFormat="1" ht="12.75">
      <c r="C17" s="95" t="s">
        <v>105</v>
      </c>
      <c r="D17" s="96">
        <v>0</v>
      </c>
      <c r="E17" s="362"/>
      <c r="F17" s="96"/>
      <c r="G17" s="362"/>
      <c r="H17" s="96"/>
      <c r="I17" s="362"/>
    </row>
    <row r="18" spans="3:9" s="32" customFormat="1" ht="12.75">
      <c r="C18" s="95" t="s">
        <v>106</v>
      </c>
      <c r="D18" s="96">
        <v>180000</v>
      </c>
      <c r="E18" s="362"/>
      <c r="F18" s="96"/>
      <c r="G18" s="362"/>
      <c r="H18" s="96"/>
      <c r="I18" s="362"/>
    </row>
    <row r="19" spans="3:9" s="32" customFormat="1" ht="12.75">
      <c r="C19" s="95" t="s">
        <v>91</v>
      </c>
      <c r="D19" s="96">
        <v>0</v>
      </c>
      <c r="E19" s="362">
        <f>+'P&amp;G CONSECION'!C31</f>
        <v>87763.15454845948</v>
      </c>
      <c r="F19" s="96">
        <f>+'P&amp;G CONSECION'!D31</f>
        <v>93913.59641921552</v>
      </c>
      <c r="G19" s="362">
        <f>+'P&amp;G CONSECION'!E31</f>
        <v>100495.06125627413</v>
      </c>
      <c r="H19" s="96">
        <f>+'P&amp;G CONSECION'!F31</f>
        <v>107537.75514911381</v>
      </c>
      <c r="I19" s="362">
        <f>+'P&amp;G CONSECION'!G31</f>
        <v>115074.0010299637</v>
      </c>
    </row>
    <row r="20" spans="3:9" s="32" customFormat="1" ht="12.75">
      <c r="C20" s="95" t="s">
        <v>108</v>
      </c>
      <c r="D20" s="96"/>
      <c r="E20" s="362">
        <f>+'[1]P y G  FRANQUICIA'!C31</f>
        <v>0</v>
      </c>
      <c r="F20" s="96">
        <f>+'[1]P y G  FRANQUICIA'!D31</f>
        <v>0</v>
      </c>
      <c r="G20" s="362">
        <v>0</v>
      </c>
      <c r="H20" s="96">
        <f>+'[1]P y G  FRANQUICIA'!F31</f>
        <v>0</v>
      </c>
      <c r="I20" s="362">
        <f>+'P&amp;G CONSECION'!G32</f>
        <v>54148.9</v>
      </c>
    </row>
    <row r="21" spans="3:9" s="30" customFormat="1" ht="12.75">
      <c r="C21" s="89"/>
      <c r="D21" s="90"/>
      <c r="E21" s="393"/>
      <c r="F21" s="90"/>
      <c r="G21" s="393"/>
      <c r="H21" s="90"/>
      <c r="I21" s="393"/>
    </row>
    <row r="22" spans="3:9" s="30" customFormat="1" ht="12.75">
      <c r="C22" s="89" t="s">
        <v>109</v>
      </c>
      <c r="D22" s="90">
        <f>+D23+D25+D26+D27+D29+D30+D31+D32+D24+D28+D33</f>
        <v>128697.8</v>
      </c>
      <c r="E22" s="393">
        <f>+E23+E25+E26+E27+E28+E29+E30+E31+E32+E24</f>
        <v>290390.48377164354</v>
      </c>
      <c r="F22" s="90">
        <f>+F23+F25+F26+F27+F28+F29+F30+F31+F32+F24</f>
        <v>310410.56942698435</v>
      </c>
      <c r="G22" s="393">
        <f>+G23+G25+G26+G27+G28+G29+G30+G31+G32+G24</f>
        <v>331803.50773451146</v>
      </c>
      <c r="H22" s="90">
        <f>+H23+H25+H26+H27+H28+H29+H30+H31+H32+H24</f>
        <v>354664.1512353157</v>
      </c>
      <c r="I22" s="393">
        <f>+I23+I25+I26+I27+I28+I29+I30+I31+I32+I24</f>
        <v>403325.57142279285</v>
      </c>
    </row>
    <row r="23" spans="3:9" ht="12.75">
      <c r="C23" s="92" t="s">
        <v>110</v>
      </c>
      <c r="D23" s="93"/>
      <c r="E23" s="361">
        <f>+'P&amp;G CONSECION'!C18-'P&amp;G CONSECION'!C25</f>
        <v>69240</v>
      </c>
      <c r="F23" s="93">
        <f>+'P&amp;G CONSECION'!D18-'P&amp;G CONSECION'!D25</f>
        <v>72879.4704</v>
      </c>
      <c r="G23" s="361">
        <f>+'P&amp;G CONSECION'!E18-'P&amp;G CONSECION'!E25</f>
        <v>76719.415789632</v>
      </c>
      <c r="H23" s="93">
        <f>+'P&amp;G CONSECION'!F18-'P&amp;G CONSECION'!F25</f>
        <v>80771.4293968494</v>
      </c>
      <c r="I23" s="361">
        <f>+'P&amp;G CONSECION'!G18-'P&amp;G CONSECION'!G25</f>
        <v>85047.8063803512</v>
      </c>
    </row>
    <row r="24" spans="3:9" ht="12.75">
      <c r="C24" s="92" t="s">
        <v>92</v>
      </c>
      <c r="D24" s="93"/>
      <c r="E24" s="361">
        <f>+'P&amp;G CONSECION'!C33</f>
        <v>69820.8991562504</v>
      </c>
      <c r="F24" s="93">
        <f>+'P&amp;G CONSECION'!D33</f>
        <v>74713.94776912041</v>
      </c>
      <c r="G24" s="361">
        <f>+'P&amp;G CONSECION'!E33</f>
        <v>79949.90122878036</v>
      </c>
      <c r="H24" s="93">
        <f>+'P&amp;G CONSECION'!F33</f>
        <v>85552.7903068933</v>
      </c>
      <c r="I24" s="361">
        <f>+'P&amp;G CONSECION'!G33</f>
        <v>91548.32985160037</v>
      </c>
    </row>
    <row r="25" spans="3:9" ht="12.75">
      <c r="C25" s="92" t="s">
        <v>111</v>
      </c>
      <c r="D25" s="93"/>
      <c r="E25" s="361">
        <v>0</v>
      </c>
      <c r="F25" s="93">
        <v>0</v>
      </c>
      <c r="G25" s="361">
        <v>0</v>
      </c>
      <c r="H25" s="93">
        <v>0</v>
      </c>
      <c r="I25" s="361">
        <v>0</v>
      </c>
    </row>
    <row r="26" spans="3:9" ht="12.75">
      <c r="C26" s="92" t="s">
        <v>112</v>
      </c>
      <c r="D26" s="93"/>
      <c r="E26" s="361">
        <f>+'P&amp;G CONSECION'!C40</f>
        <v>71860.41727546604</v>
      </c>
      <c r="F26" s="93">
        <f>+'P&amp;G CONSECION'!D40</f>
        <v>77315.4070218907</v>
      </c>
      <c r="G26" s="361">
        <f>+'P&amp;G CONSECION'!E40</f>
        <v>83164.28050764481</v>
      </c>
      <c r="H26" s="93">
        <f>+'P&amp;G CONSECION'!F40</f>
        <v>89435.16301778605</v>
      </c>
      <c r="I26" s="361">
        <f>+'P&amp;G CONSECION'!G40</f>
        <v>107664.81559341625</v>
      </c>
    </row>
    <row r="27" spans="3:9" ht="12.75">
      <c r="C27" s="92" t="s">
        <v>113</v>
      </c>
      <c r="D27" s="93"/>
      <c r="E27" s="361">
        <f>+'P&amp;G CONSECION'!C38</f>
        <v>50725.000429740736</v>
      </c>
      <c r="F27" s="93">
        <f>+'P&amp;G CONSECION'!D38</f>
        <v>54575.58142721696</v>
      </c>
      <c r="G27" s="361">
        <f>+'P&amp;G CONSECION'!E38</f>
        <v>58704.19800539634</v>
      </c>
      <c r="H27" s="93">
        <f>+'P&amp;G CONSECION'!F38</f>
        <v>63130.703306672505</v>
      </c>
      <c r="I27" s="361">
        <f>+'P&amp;G CONSECION'!G38</f>
        <v>75998.69336005853</v>
      </c>
    </row>
    <row r="28" spans="3:9" ht="12.75">
      <c r="C28" s="92" t="s">
        <v>114</v>
      </c>
      <c r="D28" s="93"/>
      <c r="E28" s="361">
        <f>+'P&amp;G CONSECION'!C41</f>
        <v>28744.166910186417</v>
      </c>
      <c r="F28" s="93">
        <f>+'P&amp;G CONSECION'!D41</f>
        <v>30926.162808756282</v>
      </c>
      <c r="G28" s="361">
        <f>+'P&amp;G CONSECION'!E41</f>
        <v>33265.71220305793</v>
      </c>
      <c r="H28" s="93">
        <f>+'P&amp;G CONSECION'!F41</f>
        <v>35774.06520711442</v>
      </c>
      <c r="I28" s="361">
        <f>+'P&amp;G CONSECION'!G41</f>
        <v>43065.926237366504</v>
      </c>
    </row>
    <row r="29" spans="3:9" ht="12.75">
      <c r="C29" s="92" t="s">
        <v>115</v>
      </c>
      <c r="D29" s="93"/>
      <c r="E29" s="361">
        <v>0</v>
      </c>
      <c r="F29" s="93">
        <v>0</v>
      </c>
      <c r="G29" s="361">
        <v>0</v>
      </c>
      <c r="H29" s="93">
        <v>0</v>
      </c>
      <c r="I29" s="361">
        <v>0</v>
      </c>
    </row>
    <row r="30" spans="3:9" ht="12.75">
      <c r="C30" s="92" t="s">
        <v>116</v>
      </c>
      <c r="D30" s="93">
        <v>101784.8</v>
      </c>
      <c r="E30" s="361"/>
      <c r="F30" s="93"/>
      <c r="G30" s="361"/>
      <c r="H30" s="93"/>
      <c r="I30" s="361"/>
    </row>
    <row r="31" spans="3:9" ht="12.75">
      <c r="C31" s="92" t="s">
        <v>117</v>
      </c>
      <c r="D31" s="93">
        <v>6513</v>
      </c>
      <c r="E31" s="361"/>
      <c r="F31" s="93"/>
      <c r="G31" s="361"/>
      <c r="H31" s="93"/>
      <c r="I31" s="361"/>
    </row>
    <row r="32" spans="3:9" ht="12.75">
      <c r="C32" s="92" t="s">
        <v>118</v>
      </c>
      <c r="D32" s="93">
        <v>2400</v>
      </c>
      <c r="E32" s="361"/>
      <c r="F32" s="93"/>
      <c r="G32" s="361"/>
      <c r="H32" s="93"/>
      <c r="I32" s="361"/>
    </row>
    <row r="33" spans="3:9" ht="12.75">
      <c r="C33" s="92" t="s">
        <v>107</v>
      </c>
      <c r="D33" s="93">
        <v>18000</v>
      </c>
      <c r="E33" s="361"/>
      <c r="F33" s="93"/>
      <c r="G33" s="361"/>
      <c r="H33" s="93"/>
      <c r="I33" s="361"/>
    </row>
    <row r="34" spans="3:9" ht="12.75">
      <c r="C34" s="87"/>
      <c r="D34" s="93"/>
      <c r="E34" s="361"/>
      <c r="F34" s="93"/>
      <c r="G34" s="361"/>
      <c r="H34" s="93"/>
      <c r="I34" s="361"/>
    </row>
    <row r="35" spans="3:9" s="30" customFormat="1" ht="12.75">
      <c r="C35" s="89" t="s">
        <v>119</v>
      </c>
      <c r="D35" s="90">
        <f aca="true" t="shared" si="0" ref="D35:I35">+D16-D22</f>
        <v>51302.2</v>
      </c>
      <c r="E35" s="393">
        <f t="shared" si="0"/>
        <v>-202627.32922318406</v>
      </c>
      <c r="F35" s="90">
        <f t="shared" si="0"/>
        <v>-216496.97300776883</v>
      </c>
      <c r="G35" s="393">
        <f t="shared" si="0"/>
        <v>-231308.44647823734</v>
      </c>
      <c r="H35" s="90">
        <f t="shared" si="0"/>
        <v>-247126.3960862019</v>
      </c>
      <c r="I35" s="393">
        <f t="shared" si="0"/>
        <v>-234102.67039282914</v>
      </c>
    </row>
    <row r="36" spans="3:9" ht="13.5" thickBot="1">
      <c r="C36" s="87"/>
      <c r="D36" s="93"/>
      <c r="E36" s="361"/>
      <c r="F36" s="93"/>
      <c r="G36" s="361"/>
      <c r="H36" s="93"/>
      <c r="I36" s="361"/>
    </row>
    <row r="37" spans="3:9" s="30" customFormat="1" ht="13.5" thickBot="1">
      <c r="C37" s="390" t="s">
        <v>120</v>
      </c>
      <c r="D37" s="391">
        <f aca="true" t="shared" si="1" ref="D37:I37">+D14+D35</f>
        <v>51302.2</v>
      </c>
      <c r="E37" s="339">
        <f t="shared" si="1"/>
        <v>197666.86491621172</v>
      </c>
      <c r="F37" s="391">
        <f t="shared" si="1"/>
        <v>211849.83825691583</v>
      </c>
      <c r="G37" s="339">
        <f t="shared" si="1"/>
        <v>227056.90931987646</v>
      </c>
      <c r="H37" s="391">
        <f t="shared" si="1"/>
        <v>243361.20384624368</v>
      </c>
      <c r="I37" s="339">
        <f t="shared" si="1"/>
        <v>290758.3005428823</v>
      </c>
    </row>
    <row r="38" spans="3:9" ht="12.75">
      <c r="C38" s="92" t="s">
        <v>121</v>
      </c>
      <c r="D38" s="99">
        <v>0</v>
      </c>
      <c r="E38" s="340">
        <f>D39</f>
        <v>51302.2</v>
      </c>
      <c r="F38" s="31">
        <f>+E39</f>
        <v>248969.0649162117</v>
      </c>
      <c r="G38" s="340">
        <f>+F39</f>
        <v>460818.90317312756</v>
      </c>
      <c r="H38" s="31">
        <f>+G39</f>
        <v>687875.812493004</v>
      </c>
      <c r="I38" s="340">
        <f>+H39</f>
        <v>931237.0163392477</v>
      </c>
    </row>
    <row r="39" spans="3:9" ht="13.5" thickBot="1">
      <c r="C39" s="100" t="s">
        <v>122</v>
      </c>
      <c r="D39" s="101">
        <f>+D37</f>
        <v>51302.2</v>
      </c>
      <c r="E39" s="341">
        <f>+D39+E37</f>
        <v>248969.0649162117</v>
      </c>
      <c r="F39" s="101">
        <f>+E39+F37</f>
        <v>460818.90317312756</v>
      </c>
      <c r="G39" s="341">
        <f>+F39+G37</f>
        <v>687875.812493004</v>
      </c>
      <c r="H39" s="101">
        <f>+G39+H37</f>
        <v>931237.0163392477</v>
      </c>
      <c r="I39" s="341">
        <f>+H39+I37</f>
        <v>1221995.31688213</v>
      </c>
    </row>
    <row r="40" ht="12.75">
      <c r="G40" s="102"/>
    </row>
    <row r="41" ht="12.75">
      <c r="G41" s="103"/>
    </row>
    <row r="42" spans="3:7" ht="12.75">
      <c r="C42" s="108"/>
      <c r="E42" s="246"/>
      <c r="F42" s="246"/>
      <c r="G42" s="248"/>
    </row>
    <row r="43" spans="3:9" ht="12.75">
      <c r="C43" s="108"/>
      <c r="E43" s="246"/>
      <c r="F43" s="22"/>
      <c r="G43" s="246"/>
      <c r="H43" s="104"/>
      <c r="I43" s="104"/>
    </row>
    <row r="44" spans="3:9" ht="12.75">
      <c r="C44" s="108"/>
      <c r="D44" s="105"/>
      <c r="E44" s="246"/>
      <c r="F44" s="22"/>
      <c r="G44" s="246"/>
      <c r="H44" s="104"/>
      <c r="I44" s="104"/>
    </row>
    <row r="45" spans="5:9" ht="12.75">
      <c r="E45" s="246"/>
      <c r="F45" s="22"/>
      <c r="G45" s="246"/>
      <c r="H45" s="104"/>
      <c r="I45" s="104"/>
    </row>
    <row r="46" spans="4:7" ht="12.75">
      <c r="D46" s="105"/>
      <c r="E46" s="246"/>
      <c r="F46" s="22"/>
      <c r="G46" s="246"/>
    </row>
    <row r="47" spans="5:7" ht="12.75">
      <c r="E47" s="246"/>
      <c r="F47" s="22"/>
      <c r="G47" s="246"/>
    </row>
    <row r="48" spans="5:8" ht="12.75">
      <c r="E48" s="246"/>
      <c r="F48" s="246"/>
      <c r="G48" s="106"/>
      <c r="H48" s="22"/>
    </row>
    <row r="49" spans="5:7" ht="12.75">
      <c r="E49" s="247"/>
      <c r="G49" s="106"/>
    </row>
    <row r="50" spans="5:7" ht="12.75">
      <c r="E50" s="236"/>
      <c r="G50" s="107"/>
    </row>
    <row r="51" ht="12.75">
      <c r="E51" s="249"/>
    </row>
  </sheetData>
  <mergeCells count="3">
    <mergeCell ref="C2:I2"/>
    <mergeCell ref="C3:I3"/>
    <mergeCell ref="C4:I4"/>
  </mergeCells>
  <printOptions/>
  <pageMargins left="0.75" right="0.75" top="0.7" bottom="0.12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BV159"/>
  <sheetViews>
    <sheetView workbookViewId="0" topLeftCell="A1">
      <selection activeCell="B3" sqref="B3"/>
    </sheetView>
  </sheetViews>
  <sheetFormatPr defaultColWidth="11.421875" defaultRowHeight="12.75"/>
  <cols>
    <col min="1" max="1" width="4.28125" style="0" customWidth="1"/>
    <col min="2" max="2" width="35.140625" style="24" bestFit="1" customWidth="1"/>
    <col min="3" max="3" width="8.7109375" style="22" customWidth="1"/>
    <col min="4" max="4" width="11.7109375" style="23" customWidth="1"/>
    <col min="5" max="5" width="11.421875" style="23" customWidth="1"/>
    <col min="6" max="6" width="11.7109375" style="23" customWidth="1"/>
    <col min="7" max="7" width="11.8515625" style="23" customWidth="1"/>
    <col min="8" max="8" width="11.421875" style="23" customWidth="1"/>
    <col min="9" max="9" width="11.421875" style="24" customWidth="1"/>
  </cols>
  <sheetData>
    <row r="4" spans="2:10" ht="12.75">
      <c r="B4" s="386" t="s">
        <v>283</v>
      </c>
      <c r="C4" s="386"/>
      <c r="D4" s="386"/>
      <c r="E4" s="386"/>
      <c r="F4" s="386"/>
      <c r="G4" s="386"/>
      <c r="H4" s="386"/>
      <c r="I4" s="386"/>
      <c r="J4" s="386"/>
    </row>
    <row r="5" spans="2:10" ht="12.75">
      <c r="B5" s="342" t="s">
        <v>282</v>
      </c>
      <c r="C5" s="342"/>
      <c r="D5" s="342"/>
      <c r="E5" s="342"/>
      <c r="F5" s="342"/>
      <c r="G5" s="342"/>
      <c r="H5" s="342"/>
      <c r="I5" s="342"/>
      <c r="J5" s="342"/>
    </row>
    <row r="6" spans="2:10" ht="12.75">
      <c r="B6" s="342" t="s">
        <v>279</v>
      </c>
      <c r="C6" s="342"/>
      <c r="D6" s="342"/>
      <c r="E6" s="342"/>
      <c r="F6" s="342"/>
      <c r="G6" s="342"/>
      <c r="H6" s="342"/>
      <c r="I6" s="342"/>
      <c r="J6" s="342"/>
    </row>
    <row r="7" ht="6.75" customHeight="1" thickBot="1">
      <c r="B7" s="21"/>
    </row>
    <row r="8" spans="2:10" s="30" customFormat="1" ht="12" customHeight="1" thickBot="1">
      <c r="B8" s="84"/>
      <c r="C8" s="319">
        <v>0</v>
      </c>
      <c r="D8" s="27">
        <v>1</v>
      </c>
      <c r="E8" s="28">
        <v>2</v>
      </c>
      <c r="F8" s="27">
        <v>3</v>
      </c>
      <c r="G8" s="28">
        <v>4</v>
      </c>
      <c r="H8" s="27">
        <v>5</v>
      </c>
      <c r="I8" s="28">
        <v>6</v>
      </c>
      <c r="J8" s="29">
        <v>7</v>
      </c>
    </row>
    <row r="9" spans="2:10" s="30" customFormat="1" ht="12.75">
      <c r="B9" s="89" t="s">
        <v>11</v>
      </c>
      <c r="C9" s="311"/>
      <c r="D9" s="90">
        <f>+D10+D11+D12</f>
        <v>352378.5819292175</v>
      </c>
      <c r="E9" s="90">
        <f aca="true" t="shared" si="0" ref="E9:J9">+E10+E11+E12</f>
        <v>942683.1823770427</v>
      </c>
      <c r="F9" s="90">
        <f t="shared" si="0"/>
        <v>1210495.703757631</v>
      </c>
      <c r="G9" s="90">
        <f t="shared" si="0"/>
        <v>1295327.2426769657</v>
      </c>
      <c r="H9" s="90">
        <f t="shared" si="0"/>
        <v>1386103.7758437674</v>
      </c>
      <c r="I9" s="90">
        <f t="shared" si="0"/>
        <v>1483241.9284548988</v>
      </c>
      <c r="J9" s="91">
        <f t="shared" si="0"/>
        <v>1587187.5228010179</v>
      </c>
    </row>
    <row r="10" spans="2:10" ht="12.75">
      <c r="B10" s="95" t="s">
        <v>12</v>
      </c>
      <c r="C10" s="31"/>
      <c r="D10" s="93">
        <f>+DATOS!L11</f>
        <v>78973.9810927861</v>
      </c>
      <c r="E10" s="93">
        <f>+DATOS!L12</f>
        <v>211271.19421942136</v>
      </c>
      <c r="F10" s="93">
        <f>+DATOS!L13</f>
        <v>271292.49541238206</v>
      </c>
      <c r="G10" s="93">
        <f>+DATOS!L14</f>
        <v>290304.6734908818</v>
      </c>
      <c r="H10" s="93">
        <f>+DATOS!L15</f>
        <v>310649.22500912286</v>
      </c>
      <c r="I10" s="93">
        <f>+DATOS!L16</f>
        <v>332419.5226977621</v>
      </c>
      <c r="J10" s="94">
        <f>+DATOS!L17</f>
        <v>355715.4828484213</v>
      </c>
    </row>
    <row r="11" spans="2:10" ht="12.75">
      <c r="B11" s="95" t="s">
        <v>13</v>
      </c>
      <c r="C11" s="99"/>
      <c r="D11" s="93">
        <f>+DATOS!M11</f>
        <v>120404.6685029896</v>
      </c>
      <c r="E11" s="93">
        <f>+DATOS!M12</f>
        <v>322106.56917919783</v>
      </c>
      <c r="F11" s="93">
        <f>+DATOS!M13</f>
        <v>413615.75705673115</v>
      </c>
      <c r="G11" s="93">
        <f>+DATOS!M14</f>
        <v>442601.9493112669</v>
      </c>
      <c r="H11" s="93">
        <f>+DATOS!M15</f>
        <v>473619.4939190005</v>
      </c>
      <c r="I11" s="93">
        <f>+DATOS!M16</f>
        <v>506810.74805284396</v>
      </c>
      <c r="J11" s="94">
        <f>+DATOS!M17</f>
        <v>542328.0452763872</v>
      </c>
    </row>
    <row r="12" spans="2:10" ht="12.75">
      <c r="B12" s="95" t="s">
        <v>14</v>
      </c>
      <c r="C12" s="31"/>
      <c r="D12" s="93">
        <f>+DATOS!N11</f>
        <v>152999.9323334418</v>
      </c>
      <c r="E12" s="93">
        <f>+DATOS!N12</f>
        <v>409305.4189784236</v>
      </c>
      <c r="F12" s="93">
        <f>+DATOS!N13</f>
        <v>525587.4512885177</v>
      </c>
      <c r="G12" s="93">
        <f>+DATOS!N14</f>
        <v>562420.619874817</v>
      </c>
      <c r="H12" s="93">
        <f>+DATOS!N15</f>
        <v>601835.0569156442</v>
      </c>
      <c r="I12" s="93">
        <f>+DATOS!N16</f>
        <v>644011.6577042926</v>
      </c>
      <c r="J12" s="94">
        <f>+DATOS!N17</f>
        <v>689143.9946762093</v>
      </c>
    </row>
    <row r="13" spans="2:10" ht="6.75" customHeight="1">
      <c r="B13" s="324"/>
      <c r="C13" s="31"/>
      <c r="D13" s="93"/>
      <c r="E13" s="93"/>
      <c r="F13" s="93"/>
      <c r="G13" s="93"/>
      <c r="H13" s="93"/>
      <c r="I13" s="93"/>
      <c r="J13" s="94"/>
    </row>
    <row r="14" spans="2:10" s="30" customFormat="1" ht="12.75">
      <c r="B14" s="89" t="s">
        <v>15</v>
      </c>
      <c r="C14" s="311"/>
      <c r="D14" s="90">
        <f>+D15+D16+D17</f>
        <v>275434.8196013819</v>
      </c>
      <c r="E14" s="90">
        <f aca="true" t="shared" si="1" ref="E14:J14">+E15+E16+E17</f>
        <v>733833.629397617</v>
      </c>
      <c r="F14" s="90">
        <f t="shared" si="1"/>
        <v>912330.1897749624</v>
      </c>
      <c r="G14" s="90">
        <f t="shared" si="1"/>
        <v>972979.7310343916</v>
      </c>
      <c r="H14" s="90">
        <f t="shared" si="1"/>
        <v>1037731.6970154818</v>
      </c>
      <c r="I14" s="90">
        <f t="shared" si="1"/>
        <v>1106866.9303618856</v>
      </c>
      <c r="J14" s="91">
        <f t="shared" si="1"/>
        <v>1180685.6556820858</v>
      </c>
    </row>
    <row r="15" spans="2:10" ht="12.75">
      <c r="B15" s="95" t="s">
        <v>16</v>
      </c>
      <c r="C15" s="31"/>
      <c r="D15" s="93">
        <f>+DATOS!L21</f>
        <v>48000</v>
      </c>
      <c r="E15" s="93">
        <f>+DATOS!L22</f>
        <v>125400</v>
      </c>
      <c r="F15" s="93">
        <f>+DATOS!L23</f>
        <v>131042.99999999999</v>
      </c>
      <c r="G15" s="93">
        <f>+DATOS!L24</f>
        <v>136939.93499999997</v>
      </c>
      <c r="H15" s="93">
        <f>+DATOS!L25</f>
        <v>143102.23207499995</v>
      </c>
      <c r="I15" s="93">
        <f>+DATOS!L26</f>
        <v>149541.83251837493</v>
      </c>
      <c r="J15" s="94">
        <f>+DATOS!L27</f>
        <v>156271.21498170178</v>
      </c>
    </row>
    <row r="16" spans="2:10" ht="12.75">
      <c r="B16" s="95" t="s">
        <v>17</v>
      </c>
      <c r="C16" s="31"/>
      <c r="D16" s="93">
        <f>+DATOS!M21</f>
        <v>96292.02045843181</v>
      </c>
      <c r="E16" s="93">
        <f>+DATOS!M22</f>
        <v>257600.41313039674</v>
      </c>
      <c r="F16" s="93">
        <f>+DATOS!M23</f>
        <v>330783.6600990899</v>
      </c>
      <c r="G16" s="93">
        <f>+DATOS!M24</f>
        <v>353964.97899883415</v>
      </c>
      <c r="H16" s="93">
        <f>+DATOS!M25</f>
        <v>378770.84472707246</v>
      </c>
      <c r="I16" s="93">
        <f>+DATOS!M26</f>
        <v>405315.10552554566</v>
      </c>
      <c r="J16" s="94">
        <f>+DATOS!M27</f>
        <v>433719.5881207759</v>
      </c>
    </row>
    <row r="17" spans="2:10" ht="12.75">
      <c r="B17" s="95" t="s">
        <v>18</v>
      </c>
      <c r="C17" s="31"/>
      <c r="D17" s="93">
        <f>+DATOS!N21</f>
        <v>131142.79914295013</v>
      </c>
      <c r="E17" s="93">
        <f>+DATOS!N22</f>
        <v>350833.2162672202</v>
      </c>
      <c r="F17" s="93">
        <f>+DATOS!N23</f>
        <v>450503.5296758724</v>
      </c>
      <c r="G17" s="93">
        <f>+DATOS!N24</f>
        <v>482074.8170355575</v>
      </c>
      <c r="H17" s="93">
        <f>+DATOS!N25</f>
        <v>515858.6202134094</v>
      </c>
      <c r="I17" s="93">
        <f>+DATOS!N26</f>
        <v>552009.9923179651</v>
      </c>
      <c r="J17" s="94">
        <f>+DATOS!N27</f>
        <v>590694.8525796081</v>
      </c>
    </row>
    <row r="18" spans="2:10" ht="6" customHeight="1">
      <c r="B18" s="324"/>
      <c r="C18" s="31"/>
      <c r="D18" s="93"/>
      <c r="E18" s="93"/>
      <c r="F18" s="93"/>
      <c r="G18" s="93"/>
      <c r="H18" s="93"/>
      <c r="I18" s="93"/>
      <c r="J18" s="94"/>
    </row>
    <row r="19" spans="2:10" s="30" customFormat="1" ht="12.75">
      <c r="B19" s="89" t="s">
        <v>19</v>
      </c>
      <c r="C19" s="311"/>
      <c r="D19" s="90">
        <f aca="true" t="shared" si="2" ref="D19:J19">+D9-D14</f>
        <v>76943.7623278356</v>
      </c>
      <c r="E19" s="90">
        <f t="shared" si="2"/>
        <v>208849.55297942576</v>
      </c>
      <c r="F19" s="90">
        <f t="shared" si="2"/>
        <v>298165.5139826685</v>
      </c>
      <c r="G19" s="90">
        <f t="shared" si="2"/>
        <v>322347.5116425741</v>
      </c>
      <c r="H19" s="90">
        <f t="shared" si="2"/>
        <v>348372.0788282857</v>
      </c>
      <c r="I19" s="90">
        <f t="shared" si="2"/>
        <v>376374.9980930132</v>
      </c>
      <c r="J19" s="91">
        <f t="shared" si="2"/>
        <v>406501.8671189321</v>
      </c>
    </row>
    <row r="20" spans="2:10" ht="6" customHeight="1">
      <c r="B20" s="324"/>
      <c r="C20" s="31"/>
      <c r="D20" s="93"/>
      <c r="E20" s="93"/>
      <c r="F20" s="93"/>
      <c r="G20" s="93"/>
      <c r="H20" s="93"/>
      <c r="I20" s="93"/>
      <c r="J20" s="94"/>
    </row>
    <row r="21" spans="2:10" s="30" customFormat="1" ht="12.75">
      <c r="B21" s="320" t="s">
        <v>20</v>
      </c>
      <c r="C21" s="311"/>
      <c r="D21" s="90"/>
      <c r="E21" s="90"/>
      <c r="F21" s="90"/>
      <c r="G21" s="90"/>
      <c r="H21" s="93"/>
      <c r="I21" s="93"/>
      <c r="J21" s="94"/>
    </row>
    <row r="22" spans="2:10" s="30" customFormat="1" ht="12.75">
      <c r="B22" s="321" t="s">
        <v>21</v>
      </c>
      <c r="C22" s="86"/>
      <c r="D22" s="315">
        <f>+D23+D24+D25+D26+D27+D28+D29+D30</f>
        <v>159893.3333333333</v>
      </c>
      <c r="E22" s="315">
        <f aca="true" t="shared" si="3" ref="E22:J22">+E23+E24+E26+E27+E28+E29+E30</f>
        <v>162562.20533333335</v>
      </c>
      <c r="F22" s="315">
        <f t="shared" si="3"/>
        <v>170432.82065909336</v>
      </c>
      <c r="G22" s="315">
        <f t="shared" si="3"/>
        <v>178866.7824589759</v>
      </c>
      <c r="H22" s="315">
        <f>+H23+H24+H26+H27+H28+H29+H30</f>
        <v>187610.61070578353</v>
      </c>
      <c r="I22" s="315">
        <f>+I23+I24+I26+I27+I28+I29+I30</f>
        <v>198182.81248125716</v>
      </c>
      <c r="J22" s="316">
        <f t="shared" si="3"/>
        <v>208060.70434793105</v>
      </c>
    </row>
    <row r="23" spans="2:12" s="30" customFormat="1" ht="12.75">
      <c r="B23" s="325" t="s">
        <v>22</v>
      </c>
      <c r="C23" s="311"/>
      <c r="D23" s="96">
        <f>+DATOS!F45</f>
        <v>90600</v>
      </c>
      <c r="E23" s="96">
        <f>+DATOS!F46</f>
        <v>94677</v>
      </c>
      <c r="F23" s="96">
        <f>+DATOS!F47</f>
        <v>98937.465</v>
      </c>
      <c r="G23" s="96">
        <f>+DATOS!F48</f>
        <v>103389.650925</v>
      </c>
      <c r="H23" s="96">
        <f>+DATOS!F49</f>
        <v>108042.18521662499</v>
      </c>
      <c r="I23" s="96">
        <f>+DATOS!F50</f>
        <v>112904.0835513731</v>
      </c>
      <c r="J23" s="97">
        <f>+DATOS!F51</f>
        <v>117984.76731118489</v>
      </c>
      <c r="K23" s="22"/>
      <c r="L23" s="22"/>
    </row>
    <row r="24" spans="2:12" s="30" customFormat="1" ht="12.75">
      <c r="B24" s="325" t="s">
        <v>23</v>
      </c>
      <c r="C24" s="311"/>
      <c r="D24" s="96">
        <f>+DATOS!H45</f>
        <v>5280</v>
      </c>
      <c r="E24" s="96">
        <f>+DATOS!H46</f>
        <v>5332.8</v>
      </c>
      <c r="F24" s="96">
        <f>+DATOS!H47</f>
        <v>5386.128000000001</v>
      </c>
      <c r="G24" s="96">
        <f>+DATOS!H48</f>
        <v>5439.989280000001</v>
      </c>
      <c r="H24" s="96">
        <f>+DATOS!H49</f>
        <v>5494.389172800001</v>
      </c>
      <c r="I24" s="96">
        <f>+DATOS!H50</f>
        <v>5549.333064528001</v>
      </c>
      <c r="J24" s="97">
        <f>+DATOS!H51</f>
        <v>5604.8263951732815</v>
      </c>
      <c r="K24" s="22"/>
      <c r="L24" s="22"/>
    </row>
    <row r="25" spans="2:12" s="30" customFormat="1" ht="12.75">
      <c r="B25" s="325" t="s">
        <v>160</v>
      </c>
      <c r="C25" s="311"/>
      <c r="D25" s="96">
        <f>+DATOS!G45</f>
        <v>4800</v>
      </c>
      <c r="E25" s="96">
        <f>+DATOS!G46</f>
        <v>5016</v>
      </c>
      <c r="F25" s="96">
        <f>+DATOS!G47</f>
        <v>5241.719999999999</v>
      </c>
      <c r="G25" s="96">
        <f>+DATOS!G48</f>
        <v>5477.597399999999</v>
      </c>
      <c r="H25" s="96">
        <f>+DATOS!G49</f>
        <v>5724.089282999998</v>
      </c>
      <c r="I25" s="96">
        <f>+DATOS!G50</f>
        <v>5981.673300734998</v>
      </c>
      <c r="J25" s="97">
        <f>+DATOS!G51</f>
        <v>6250.848599268072</v>
      </c>
      <c r="K25" s="22"/>
      <c r="L25" s="22"/>
    </row>
    <row r="26" spans="2:12" s="30" customFormat="1" ht="12.75">
      <c r="B26" s="325" t="s">
        <v>24</v>
      </c>
      <c r="C26" s="311"/>
      <c r="D26" s="96">
        <f>+DATOS!C45</f>
        <v>14400</v>
      </c>
      <c r="E26" s="96">
        <f>+DATOS!C46</f>
        <v>15047.999999999998</v>
      </c>
      <c r="F26" s="96">
        <f>+DATOS!C47</f>
        <v>15725.159999999996</v>
      </c>
      <c r="G26" s="96">
        <f>+DATOS!C48</f>
        <v>16432.792199999996</v>
      </c>
      <c r="H26" s="96">
        <f>+DATOS!C49</f>
        <v>17172.267848999996</v>
      </c>
      <c r="I26" s="96">
        <f>+DATOS!C50</f>
        <v>17945.019902204996</v>
      </c>
      <c r="J26" s="97">
        <f>+DATOS!C51</f>
        <v>18752.54579780422</v>
      </c>
      <c r="K26" s="31"/>
      <c r="L26" s="31"/>
    </row>
    <row r="27" spans="2:12" s="30" customFormat="1" ht="12.75">
      <c r="B27" s="325" t="s">
        <v>25</v>
      </c>
      <c r="C27" s="311"/>
      <c r="D27" s="96">
        <f>+DATOS!D45</f>
        <v>3600</v>
      </c>
      <c r="E27" s="96">
        <f>+DATOS!D46</f>
        <v>3852.2879999999996</v>
      </c>
      <c r="F27" s="96">
        <f>+DATOS!D47</f>
        <v>4122.25634304</v>
      </c>
      <c r="G27" s="96">
        <f>+DATOS!D48</f>
        <v>4411.144067560243</v>
      </c>
      <c r="H27" s="96">
        <f>+DATOS!D49</f>
        <v>4720.277043814865</v>
      </c>
      <c r="I27" s="96">
        <f>+DATOS!D50</f>
        <v>5051.07405904541</v>
      </c>
      <c r="J27" s="97">
        <f>+DATOS!D51</f>
        <v>5405.053329103312</v>
      </c>
      <c r="K27" s="22"/>
      <c r="L27" s="22"/>
    </row>
    <row r="28" spans="2:12" s="30" customFormat="1" ht="12.75">
      <c r="B28" s="325" t="s">
        <v>26</v>
      </c>
      <c r="C28" s="311"/>
      <c r="D28" s="96">
        <f>+DATOS!B45</f>
        <v>4800</v>
      </c>
      <c r="E28" s="96">
        <f>+DATOS!B46</f>
        <v>5136.384</v>
      </c>
      <c r="F28" s="96">
        <f>+DATOS!B47</f>
        <v>5496.34179072</v>
      </c>
      <c r="G28" s="96">
        <f>+DATOS!B48</f>
        <v>5881.525423413657</v>
      </c>
      <c r="H28" s="96">
        <f>+DATOS!B49</f>
        <v>6293.702725086486</v>
      </c>
      <c r="I28" s="96">
        <f>+DATOS!B50</f>
        <v>6734.765412060547</v>
      </c>
      <c r="J28" s="97">
        <f>+DATOS!B51</f>
        <v>7206.737772137749</v>
      </c>
      <c r="K28" s="22"/>
      <c r="L28" s="22"/>
    </row>
    <row r="29" spans="2:12" s="30" customFormat="1" ht="12.75">
      <c r="B29" s="325" t="s">
        <v>27</v>
      </c>
      <c r="C29" s="311"/>
      <c r="D29" s="96">
        <f>+DATOS!I45</f>
        <v>6413.333333333334</v>
      </c>
      <c r="E29" s="96">
        <f>+DATOS!I46</f>
        <v>6413.333333333334</v>
      </c>
      <c r="F29" s="96">
        <f>+DATOS!I47</f>
        <v>6413.333333333334</v>
      </c>
      <c r="G29" s="96">
        <f>+DATOS!I48</f>
        <v>6552.1466666666665</v>
      </c>
      <c r="H29" s="96">
        <f>+DATOS!I49</f>
        <v>6552.1466666666665</v>
      </c>
      <c r="I29" s="96">
        <f>+DATOS!I50</f>
        <v>7906.252666666666</v>
      </c>
      <c r="J29" s="97">
        <f>+DATOS!I51</f>
        <v>8064.662666666666</v>
      </c>
      <c r="K29" s="22"/>
      <c r="L29" s="22"/>
    </row>
    <row r="30" spans="2:12" s="30" customFormat="1" ht="12.75">
      <c r="B30" s="325" t="s">
        <v>28</v>
      </c>
      <c r="C30" s="311"/>
      <c r="D30" s="96">
        <f>+DATOS!E45</f>
        <v>30000</v>
      </c>
      <c r="E30" s="96">
        <f>+DATOS!E46</f>
        <v>32102.399999999998</v>
      </c>
      <c r="F30" s="96">
        <f>+DATOS!E47</f>
        <v>34352.136192</v>
      </c>
      <c r="G30" s="96">
        <f>+DATOS!E48</f>
        <v>36759.53389633536</v>
      </c>
      <c r="H30" s="96">
        <f>+DATOS!E49</f>
        <v>39335.64203179054</v>
      </c>
      <c r="I30" s="96">
        <f>+DATOS!E50</f>
        <v>42092.28382537842</v>
      </c>
      <c r="J30" s="97">
        <f>+DATOS!E51</f>
        <v>45042.11107586094</v>
      </c>
      <c r="K30" s="22"/>
      <c r="L30" s="22"/>
    </row>
    <row r="31" spans="2:12" s="30" customFormat="1" ht="12.75">
      <c r="B31" s="325" t="s">
        <v>29</v>
      </c>
      <c r="C31" s="311"/>
      <c r="D31" s="96">
        <f>+DATOS!J45</f>
        <v>6000</v>
      </c>
      <c r="E31" s="96">
        <f>+DATOS!J46</f>
        <v>6270</v>
      </c>
      <c r="F31" s="96">
        <f>+DATOS!J47</f>
        <v>3135</v>
      </c>
      <c r="G31" s="96">
        <f>+DATOS!J48</f>
        <v>3276.075</v>
      </c>
      <c r="H31" s="96">
        <f>+DATOS!J49</f>
        <v>3423.4983749999997</v>
      </c>
      <c r="I31" s="96">
        <f>+DATOS!J50</f>
        <v>1711.7491874999998</v>
      </c>
      <c r="J31" s="97">
        <f>+DATOS!J51</f>
        <v>1788.7779009374997</v>
      </c>
      <c r="K31" s="22"/>
      <c r="L31" s="22"/>
    </row>
    <row r="32" spans="2:10" s="30" customFormat="1" ht="7.5" customHeight="1">
      <c r="B32" s="322"/>
      <c r="C32" s="311"/>
      <c r="D32" s="90"/>
      <c r="E32" s="93"/>
      <c r="F32" s="93"/>
      <c r="G32" s="93"/>
      <c r="H32" s="93"/>
      <c r="I32" s="93"/>
      <c r="J32" s="94"/>
    </row>
    <row r="33" spans="2:10" s="30" customFormat="1" ht="12.75">
      <c r="B33" s="322" t="s">
        <v>30</v>
      </c>
      <c r="C33" s="311"/>
      <c r="D33" s="90">
        <f aca="true" t="shared" si="4" ref="D33:J33">+D19-D22</f>
        <v>-82949.57100549771</v>
      </c>
      <c r="E33" s="90">
        <f t="shared" si="4"/>
        <v>46287.347646092414</v>
      </c>
      <c r="F33" s="90">
        <f t="shared" si="4"/>
        <v>127732.69332357516</v>
      </c>
      <c r="G33" s="90">
        <f t="shared" si="4"/>
        <v>143480.7291835982</v>
      </c>
      <c r="H33" s="90">
        <f t="shared" si="4"/>
        <v>160761.46812250215</v>
      </c>
      <c r="I33" s="90">
        <f t="shared" si="4"/>
        <v>178192.18561175602</v>
      </c>
      <c r="J33" s="91">
        <f t="shared" si="4"/>
        <v>198441.16277100102</v>
      </c>
    </row>
    <row r="34" spans="2:10" ht="6.75" customHeight="1">
      <c r="B34" s="324"/>
      <c r="C34" s="31"/>
      <c r="D34" s="93"/>
      <c r="E34" s="93"/>
      <c r="F34" s="93"/>
      <c r="G34" s="93"/>
      <c r="H34" s="93"/>
      <c r="I34" s="93"/>
      <c r="J34" s="94"/>
    </row>
    <row r="35" spans="2:10" s="32" customFormat="1" ht="12.75">
      <c r="B35" s="89" t="s">
        <v>31</v>
      </c>
      <c r="C35" s="98"/>
      <c r="D35" s="96">
        <f>+D36+D37</f>
        <v>54000</v>
      </c>
      <c r="E35" s="96">
        <f aca="true" t="shared" si="5" ref="E35:J35">+E36+E37</f>
        <v>56429.99999999999</v>
      </c>
      <c r="F35" s="96">
        <f t="shared" si="5"/>
        <v>138.81333333333345</v>
      </c>
      <c r="G35" s="96">
        <f t="shared" si="5"/>
        <v>0</v>
      </c>
      <c r="H35" s="96">
        <f t="shared" si="5"/>
        <v>4062.3179999999993</v>
      </c>
      <c r="I35" s="96">
        <f t="shared" si="5"/>
        <v>297.22333333333336</v>
      </c>
      <c r="J35" s="97">
        <f t="shared" si="5"/>
        <v>22848.318</v>
      </c>
    </row>
    <row r="36" spans="2:10" s="32" customFormat="1" ht="12.75">
      <c r="B36" s="95" t="s">
        <v>32</v>
      </c>
      <c r="C36" s="98"/>
      <c r="D36" s="96">
        <f>+DATOS!K45</f>
        <v>54000</v>
      </c>
      <c r="E36" s="96">
        <f>+DATOS!K46</f>
        <v>56429.99999999999</v>
      </c>
      <c r="F36" s="96"/>
      <c r="G36" s="96"/>
      <c r="H36" s="96"/>
      <c r="I36" s="96"/>
      <c r="J36" s="97"/>
    </row>
    <row r="37" spans="2:10" s="32" customFormat="1" ht="12.75">
      <c r="B37" s="95" t="s">
        <v>33</v>
      </c>
      <c r="C37" s="98"/>
      <c r="D37" s="96"/>
      <c r="E37" s="96"/>
      <c r="F37" s="96">
        <f>+DATOS!E151</f>
        <v>138.81333333333345</v>
      </c>
      <c r="G37" s="96"/>
      <c r="H37" s="96">
        <f>+DATOS!G151</f>
        <v>4062.3179999999993</v>
      </c>
      <c r="I37" s="96">
        <f>+DATOS!H151</f>
        <v>297.22333333333336</v>
      </c>
      <c r="J37" s="97">
        <f>+DATOS!I151</f>
        <v>22848.318</v>
      </c>
    </row>
    <row r="38" spans="2:74" s="32" customFormat="1" ht="12.75">
      <c r="B38" s="89" t="s">
        <v>34</v>
      </c>
      <c r="C38" s="98"/>
      <c r="D38" s="96">
        <f>+D40+D39</f>
        <v>27300</v>
      </c>
      <c r="E38" s="96">
        <f aca="true" t="shared" si="6" ref="E38:J38">+E40+E39</f>
        <v>26413.391673450402</v>
      </c>
      <c r="F38" s="96">
        <f t="shared" si="6"/>
        <v>2380.358181183861</v>
      </c>
      <c r="G38" s="96">
        <f t="shared" si="6"/>
        <v>0</v>
      </c>
      <c r="H38" s="96">
        <f t="shared" si="6"/>
        <v>0</v>
      </c>
      <c r="I38" s="96">
        <f t="shared" si="6"/>
        <v>0</v>
      </c>
      <c r="J38" s="97">
        <f t="shared" si="6"/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2:74" s="32" customFormat="1" ht="12.75">
      <c r="B39" s="95" t="s">
        <v>35</v>
      </c>
      <c r="C39" s="98"/>
      <c r="D39" s="96">
        <f>+DATOS!L45</f>
        <v>21000</v>
      </c>
      <c r="E39" s="96">
        <f>+DATOS!L46</f>
        <v>21945</v>
      </c>
      <c r="F39" s="96"/>
      <c r="G39" s="96"/>
      <c r="H39" s="96"/>
      <c r="I39" s="96"/>
      <c r="J39" s="97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2:74" s="32" customFormat="1" ht="12.75">
      <c r="B40" s="95" t="s">
        <v>36</v>
      </c>
      <c r="C40" s="98"/>
      <c r="D40" s="96">
        <f>+DATOS!D129</f>
        <v>6300.000000000001</v>
      </c>
      <c r="E40" s="96">
        <f>+DATOS!D130</f>
        <v>4468.391673450403</v>
      </c>
      <c r="F40" s="96">
        <f>+DATOS!D131</f>
        <v>2380.358181183861</v>
      </c>
      <c r="G40" s="96"/>
      <c r="H40" s="96"/>
      <c r="I40" s="96"/>
      <c r="J40" s="97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2:10" s="30" customFormat="1" ht="12.75">
      <c r="B41" s="89" t="s">
        <v>37</v>
      </c>
      <c r="C41" s="311"/>
      <c r="D41" s="90">
        <f aca="true" t="shared" si="7" ref="D41:J41">+D35-D38</f>
        <v>26700</v>
      </c>
      <c r="E41" s="90">
        <f t="shared" si="7"/>
        <v>30016.60832654959</v>
      </c>
      <c r="F41" s="90">
        <f t="shared" si="7"/>
        <v>-2241.5448478505273</v>
      </c>
      <c r="G41" s="90">
        <f t="shared" si="7"/>
        <v>0</v>
      </c>
      <c r="H41" s="90">
        <f t="shared" si="7"/>
        <v>4062.3179999999993</v>
      </c>
      <c r="I41" s="90">
        <f t="shared" si="7"/>
        <v>297.22333333333336</v>
      </c>
      <c r="J41" s="91">
        <f t="shared" si="7"/>
        <v>22848.318</v>
      </c>
    </row>
    <row r="42" spans="2:10" ht="7.5" customHeight="1">
      <c r="B42" s="324"/>
      <c r="C42" s="31"/>
      <c r="D42" s="93"/>
      <c r="E42" s="93"/>
      <c r="F42" s="93"/>
      <c r="G42" s="93"/>
      <c r="H42" s="93"/>
      <c r="I42" s="93"/>
      <c r="J42" s="94"/>
    </row>
    <row r="43" spans="2:14" s="30" customFormat="1" ht="12.75">
      <c r="B43" s="89" t="s">
        <v>38</v>
      </c>
      <c r="C43" s="311"/>
      <c r="D43" s="90">
        <f aca="true" t="shared" si="8" ref="D43:J43">+D33+D41</f>
        <v>-56249.57100549771</v>
      </c>
      <c r="E43" s="90">
        <f t="shared" si="8"/>
        <v>76303.955972642</v>
      </c>
      <c r="F43" s="90">
        <f t="shared" si="8"/>
        <v>125491.14847572464</v>
      </c>
      <c r="G43" s="90">
        <f t="shared" si="8"/>
        <v>143480.7291835982</v>
      </c>
      <c r="H43" s="90">
        <f t="shared" si="8"/>
        <v>164823.78612250215</v>
      </c>
      <c r="I43" s="90">
        <f t="shared" si="8"/>
        <v>178489.40894508935</v>
      </c>
      <c r="J43" s="91">
        <f t="shared" si="8"/>
        <v>221289.48077100102</v>
      </c>
      <c r="K43" s="34"/>
      <c r="L43" s="34"/>
      <c r="M43" s="34"/>
      <c r="N43" s="34"/>
    </row>
    <row r="44" spans="2:10" ht="12.75">
      <c r="B44" s="324" t="s">
        <v>39</v>
      </c>
      <c r="C44" s="31"/>
      <c r="D44" s="93">
        <f>IF(D43&lt;0,0,D43*0.15)</f>
        <v>0</v>
      </c>
      <c r="E44" s="93">
        <f aca="true" t="shared" si="9" ref="E44:J44">IF(E43&lt;0,0,E43*0.15)</f>
        <v>11445.5933958963</v>
      </c>
      <c r="F44" s="93">
        <f t="shared" si="9"/>
        <v>18823.672271358693</v>
      </c>
      <c r="G44" s="93">
        <f t="shared" si="9"/>
        <v>21522.109377539728</v>
      </c>
      <c r="H44" s="93">
        <f t="shared" si="9"/>
        <v>24723.56791837532</v>
      </c>
      <c r="I44" s="93">
        <f t="shared" si="9"/>
        <v>26773.411341763403</v>
      </c>
      <c r="J44" s="94">
        <f t="shared" si="9"/>
        <v>33193.42211565015</v>
      </c>
    </row>
    <row r="45" spans="2:10" s="30" customFormat="1" ht="12.75">
      <c r="B45" s="89" t="s">
        <v>40</v>
      </c>
      <c r="C45" s="311"/>
      <c r="D45" s="90">
        <f aca="true" t="shared" si="10" ref="D45:J45">+D43-D44</f>
        <v>-56249.57100549771</v>
      </c>
      <c r="E45" s="90">
        <f t="shared" si="10"/>
        <v>64858.3625767457</v>
      </c>
      <c r="F45" s="90">
        <f t="shared" si="10"/>
        <v>106667.47620436594</v>
      </c>
      <c r="G45" s="90">
        <f t="shared" si="10"/>
        <v>121958.61980605846</v>
      </c>
      <c r="H45" s="90">
        <f t="shared" si="10"/>
        <v>140100.21820412684</v>
      </c>
      <c r="I45" s="90">
        <f t="shared" si="10"/>
        <v>151715.99760332596</v>
      </c>
      <c r="J45" s="91">
        <f t="shared" si="10"/>
        <v>188096.05865535088</v>
      </c>
    </row>
    <row r="46" spans="2:10" ht="12.75">
      <c r="B46" s="324" t="s">
        <v>41</v>
      </c>
      <c r="C46" s="31"/>
      <c r="D46" s="93">
        <f aca="true" t="shared" si="11" ref="D46:J46">IF(D45&lt;0,0,D45*0.25)</f>
        <v>0</v>
      </c>
      <c r="E46" s="93">
        <f t="shared" si="11"/>
        <v>16214.590644186424</v>
      </c>
      <c r="F46" s="93">
        <f t="shared" si="11"/>
        <v>26666.869051091486</v>
      </c>
      <c r="G46" s="93">
        <f t="shared" si="11"/>
        <v>30489.654951514614</v>
      </c>
      <c r="H46" s="93">
        <f t="shared" si="11"/>
        <v>35025.05455103171</v>
      </c>
      <c r="I46" s="93">
        <f t="shared" si="11"/>
        <v>37928.99940083149</v>
      </c>
      <c r="J46" s="94">
        <f t="shared" si="11"/>
        <v>47024.01466383772</v>
      </c>
    </row>
    <row r="47" spans="2:10" ht="12.75">
      <c r="B47" s="324" t="s">
        <v>42</v>
      </c>
      <c r="C47" s="31"/>
      <c r="D47" s="93">
        <f aca="true" t="shared" si="12" ref="D47:J47">IF(D45&lt;0,0,D45*0.1)</f>
        <v>0</v>
      </c>
      <c r="E47" s="93">
        <f t="shared" si="12"/>
        <v>6485.83625767457</v>
      </c>
      <c r="F47" s="93">
        <f t="shared" si="12"/>
        <v>10666.747620436596</v>
      </c>
      <c r="G47" s="93">
        <f t="shared" si="12"/>
        <v>12195.861980605847</v>
      </c>
      <c r="H47" s="93">
        <f t="shared" si="12"/>
        <v>14010.021820412685</v>
      </c>
      <c r="I47" s="93">
        <f t="shared" si="12"/>
        <v>15171.599760332596</v>
      </c>
      <c r="J47" s="94">
        <f t="shared" si="12"/>
        <v>18809.60586553509</v>
      </c>
    </row>
    <row r="48" spans="2:10" ht="13.5" thickBot="1">
      <c r="B48" s="323" t="s">
        <v>43</v>
      </c>
      <c r="C48" s="101"/>
      <c r="D48" s="317">
        <f>+D45-D46-D47</f>
        <v>-56249.57100549771</v>
      </c>
      <c r="E48" s="317">
        <f aca="true" t="shared" si="13" ref="E48:J48">+E45-E46-E47</f>
        <v>42157.935674884706</v>
      </c>
      <c r="F48" s="317">
        <f t="shared" si="13"/>
        <v>69333.85953283786</v>
      </c>
      <c r="G48" s="317">
        <f t="shared" si="13"/>
        <v>79273.102873938</v>
      </c>
      <c r="H48" s="317">
        <f t="shared" si="13"/>
        <v>91065.14183268245</v>
      </c>
      <c r="I48" s="317">
        <f t="shared" si="13"/>
        <v>98615.39844216187</v>
      </c>
      <c r="J48" s="318">
        <f t="shared" si="13"/>
        <v>122262.43812597805</v>
      </c>
    </row>
    <row r="52" ht="12.75">
      <c r="D52" s="336"/>
    </row>
    <row r="53" ht="12.75">
      <c r="D53" s="336"/>
    </row>
    <row r="54" spans="3:6" ht="12.75">
      <c r="C54" s="117"/>
      <c r="D54" s="337"/>
      <c r="E54" s="117"/>
      <c r="F54" s="117"/>
    </row>
    <row r="55" spans="2:9" s="30" customFormat="1" ht="12.75">
      <c r="B55" s="35"/>
      <c r="C55" s="107"/>
      <c r="D55" s="337"/>
      <c r="E55" s="109"/>
      <c r="F55" s="109"/>
      <c r="G55" s="36"/>
      <c r="H55" s="36"/>
      <c r="I55" s="35"/>
    </row>
    <row r="56" spans="3:6" ht="12.75">
      <c r="C56" s="110"/>
      <c r="D56" s="337"/>
      <c r="E56" s="112"/>
      <c r="F56" s="112"/>
    </row>
    <row r="57" spans="3:6" ht="12.75">
      <c r="C57" s="110"/>
      <c r="D57" s="337"/>
      <c r="E57" s="112"/>
      <c r="F57" s="112"/>
    </row>
    <row r="58" spans="3:6" ht="12.75">
      <c r="C58" s="110"/>
      <c r="D58" s="337"/>
      <c r="E58" s="112"/>
      <c r="F58" s="112"/>
    </row>
    <row r="59" spans="3:6" ht="12.75">
      <c r="C59" s="110"/>
      <c r="D59" s="111"/>
      <c r="E59" s="112"/>
      <c r="F59" s="112"/>
    </row>
    <row r="60" spans="3:6" ht="12.75">
      <c r="C60" s="110"/>
      <c r="D60" s="111"/>
      <c r="E60" s="112"/>
      <c r="F60" s="112"/>
    </row>
    <row r="61" spans="3:6" ht="12.75">
      <c r="C61" s="113"/>
      <c r="D61" s="111"/>
      <c r="E61" s="112"/>
      <c r="F61" s="112"/>
    </row>
    <row r="62" spans="3:6" ht="12.75">
      <c r="C62" s="113"/>
      <c r="D62" s="111"/>
      <c r="E62" s="112"/>
      <c r="F62" s="112"/>
    </row>
    <row r="63" spans="3:6" ht="12.75">
      <c r="C63" s="113"/>
      <c r="D63" s="111"/>
      <c r="E63" s="112"/>
      <c r="F63" s="112"/>
    </row>
    <row r="64" spans="3:6" ht="12.75">
      <c r="C64" s="113"/>
      <c r="D64" s="111"/>
      <c r="E64" s="112"/>
      <c r="F64" s="112"/>
    </row>
    <row r="65" spans="3:6" ht="12.75">
      <c r="C65" s="113"/>
      <c r="D65" s="111"/>
      <c r="E65" s="112"/>
      <c r="F65" s="112"/>
    </row>
    <row r="66" spans="3:6" ht="12.75">
      <c r="C66" s="113"/>
      <c r="D66" s="111"/>
      <c r="E66" s="112"/>
      <c r="F66" s="112"/>
    </row>
    <row r="67" spans="3:6" ht="12.75">
      <c r="C67" s="113"/>
      <c r="D67" s="111"/>
      <c r="E67" s="112"/>
      <c r="F67" s="112"/>
    </row>
    <row r="68" spans="3:6" ht="12.75">
      <c r="C68" s="113"/>
      <c r="D68" s="111"/>
      <c r="E68" s="112"/>
      <c r="F68" s="112"/>
    </row>
    <row r="69" spans="3:6" ht="12.75">
      <c r="C69" s="114"/>
      <c r="D69" s="111"/>
      <c r="E69" s="115"/>
      <c r="F69" s="116"/>
    </row>
    <row r="70" spans="3:6" ht="12.75">
      <c r="C70" s="106"/>
      <c r="D70" s="111"/>
      <c r="E70" s="111"/>
      <c r="F70" s="111"/>
    </row>
    <row r="71" spans="3:6" ht="12.75">
      <c r="C71" s="106"/>
      <c r="D71" s="111"/>
      <c r="E71" s="111"/>
      <c r="F71" s="111"/>
    </row>
    <row r="72" spans="3:6" ht="12.75">
      <c r="C72" s="106"/>
      <c r="D72" s="111"/>
      <c r="E72" s="111"/>
      <c r="F72" s="111"/>
    </row>
    <row r="73" spans="3:6" ht="12.75">
      <c r="C73" s="106"/>
      <c r="D73" s="111"/>
      <c r="E73" s="111"/>
      <c r="F73" s="111"/>
    </row>
    <row r="74" spans="3:6" ht="12.75">
      <c r="C74" s="106"/>
      <c r="D74" s="111"/>
      <c r="E74" s="111"/>
      <c r="F74" s="111"/>
    </row>
    <row r="75" spans="3:6" ht="12.75">
      <c r="C75" s="106"/>
      <c r="D75" s="111"/>
      <c r="E75" s="111"/>
      <c r="F75" s="111"/>
    </row>
    <row r="76" spans="3:6" ht="12.75">
      <c r="C76" s="106"/>
      <c r="D76" s="111"/>
      <c r="E76" s="111"/>
      <c r="F76" s="111"/>
    </row>
    <row r="77" spans="3:6" ht="12.75">
      <c r="C77" s="106"/>
      <c r="D77" s="111"/>
      <c r="E77" s="111"/>
      <c r="F77" s="111"/>
    </row>
    <row r="78" spans="3:6" ht="12.75">
      <c r="C78" s="106"/>
      <c r="D78" s="111"/>
      <c r="E78" s="111"/>
      <c r="F78" s="111"/>
    </row>
    <row r="79" spans="3:6" ht="12.75">
      <c r="C79" s="106"/>
      <c r="D79" s="111"/>
      <c r="E79" s="111"/>
      <c r="F79" s="111"/>
    </row>
    <row r="80" spans="3:6" ht="12.75">
      <c r="C80" s="106"/>
      <c r="D80" s="111"/>
      <c r="E80" s="111"/>
      <c r="F80" s="111"/>
    </row>
    <row r="81" spans="3:6" ht="12.75">
      <c r="C81" s="106"/>
      <c r="D81" s="111"/>
      <c r="E81" s="111"/>
      <c r="F81" s="111"/>
    </row>
    <row r="82" spans="3:6" ht="12.75">
      <c r="C82" s="106"/>
      <c r="D82" s="111"/>
      <c r="E82" s="111"/>
      <c r="F82" s="111"/>
    </row>
    <row r="83" spans="3:6" ht="12.75">
      <c r="C83" s="106"/>
      <c r="D83" s="111"/>
      <c r="E83" s="111"/>
      <c r="F83" s="111"/>
    </row>
    <row r="84" spans="3:6" ht="12.75">
      <c r="C84" s="106"/>
      <c r="D84" s="111"/>
      <c r="E84" s="111"/>
      <c r="F84" s="111"/>
    </row>
    <row r="85" spans="3:6" ht="12.75">
      <c r="C85" s="106"/>
      <c r="D85" s="111"/>
      <c r="E85" s="111"/>
      <c r="F85" s="111"/>
    </row>
    <row r="86" spans="3:6" ht="12.75">
      <c r="C86" s="106"/>
      <c r="D86" s="111"/>
      <c r="E86" s="111"/>
      <c r="F86" s="111"/>
    </row>
    <row r="87" spans="3:6" ht="12.75">
      <c r="C87" s="106"/>
      <c r="D87" s="111"/>
      <c r="E87" s="111"/>
      <c r="F87" s="111"/>
    </row>
    <row r="88" spans="3:6" ht="12.75">
      <c r="C88" s="106"/>
      <c r="D88" s="111"/>
      <c r="E88" s="111"/>
      <c r="F88" s="111"/>
    </row>
    <row r="89" spans="3:6" ht="12.75">
      <c r="C89" s="106"/>
      <c r="D89" s="111"/>
      <c r="E89" s="111"/>
      <c r="F89" s="111"/>
    </row>
    <row r="90" spans="3:6" ht="12.75">
      <c r="C90" s="106"/>
      <c r="D90" s="111"/>
      <c r="E90" s="111"/>
      <c r="F90" s="111"/>
    </row>
    <row r="91" spans="3:6" ht="12.75">
      <c r="C91" s="106"/>
      <c r="D91" s="111"/>
      <c r="E91" s="111"/>
      <c r="F91" s="111"/>
    </row>
    <row r="92" spans="3:6" ht="12.75">
      <c r="C92" s="106"/>
      <c r="D92" s="111"/>
      <c r="E92" s="111"/>
      <c r="F92" s="111"/>
    </row>
    <row r="93" spans="3:6" ht="12.75">
      <c r="C93" s="106"/>
      <c r="D93" s="111"/>
      <c r="E93" s="111"/>
      <c r="F93" s="111"/>
    </row>
    <row r="94" spans="3:6" ht="12.75">
      <c r="C94" s="106"/>
      <c r="D94" s="111"/>
      <c r="E94" s="111"/>
      <c r="F94" s="111"/>
    </row>
    <row r="95" spans="3:6" ht="12.75">
      <c r="C95" s="106"/>
      <c r="D95" s="111"/>
      <c r="E95" s="111"/>
      <c r="F95" s="111"/>
    </row>
    <row r="96" spans="3:6" ht="12.75">
      <c r="C96" s="106"/>
      <c r="D96" s="111"/>
      <c r="E96" s="111"/>
      <c r="F96" s="111"/>
    </row>
    <row r="97" spans="3:6" ht="12.75">
      <c r="C97" s="106"/>
      <c r="D97" s="111"/>
      <c r="E97" s="111"/>
      <c r="F97" s="111"/>
    </row>
    <row r="98" spans="3:6" ht="12.75">
      <c r="C98" s="106"/>
      <c r="D98" s="111"/>
      <c r="E98" s="111"/>
      <c r="F98" s="111"/>
    </row>
    <row r="99" spans="3:6" ht="12.75">
      <c r="C99" s="106"/>
      <c r="D99" s="111"/>
      <c r="E99" s="111"/>
      <c r="F99" s="111"/>
    </row>
    <row r="100" spans="3:6" ht="12.75">
      <c r="C100" s="106"/>
      <c r="D100" s="111"/>
      <c r="E100" s="111"/>
      <c r="F100" s="111"/>
    </row>
    <row r="101" spans="3:6" ht="12.75">
      <c r="C101" s="106"/>
      <c r="D101" s="111"/>
      <c r="E101" s="111"/>
      <c r="F101" s="111"/>
    </row>
    <row r="102" spans="3:6" ht="12.75">
      <c r="C102" s="106"/>
      <c r="D102" s="111"/>
      <c r="E102" s="111"/>
      <c r="F102" s="111"/>
    </row>
    <row r="103" spans="3:6" ht="12.75">
      <c r="C103" s="106"/>
      <c r="D103" s="111"/>
      <c r="E103" s="111"/>
      <c r="F103" s="111"/>
    </row>
    <row r="104" spans="3:6" ht="12.75">
      <c r="C104" s="106"/>
      <c r="D104" s="111"/>
      <c r="E104" s="111"/>
      <c r="F104" s="111"/>
    </row>
    <row r="105" spans="3:6" ht="12.75">
      <c r="C105" s="106"/>
      <c r="D105" s="111"/>
      <c r="E105" s="111"/>
      <c r="F105" s="111"/>
    </row>
    <row r="106" spans="3:6" ht="12.75">
      <c r="C106" s="106"/>
      <c r="D106" s="111"/>
      <c r="E106" s="111"/>
      <c r="F106" s="111"/>
    </row>
    <row r="107" spans="3:6" ht="12.75">
      <c r="C107" s="106"/>
      <c r="D107" s="111"/>
      <c r="E107" s="111"/>
      <c r="F107" s="111"/>
    </row>
    <row r="108" spans="3:6" ht="12.75">
      <c r="C108" s="106"/>
      <c r="D108" s="111"/>
      <c r="E108" s="111"/>
      <c r="F108" s="111"/>
    </row>
    <row r="109" spans="3:6" ht="12.75">
      <c r="C109" s="106"/>
      <c r="D109" s="111"/>
      <c r="E109" s="111"/>
      <c r="F109" s="111"/>
    </row>
    <row r="110" spans="3:6" ht="12.75">
      <c r="C110" s="106"/>
      <c r="D110" s="111"/>
      <c r="E110" s="111"/>
      <c r="F110" s="111"/>
    </row>
    <row r="111" spans="3:6" ht="12.75">
      <c r="C111" s="106"/>
      <c r="D111" s="111"/>
      <c r="E111" s="111"/>
      <c r="F111" s="111"/>
    </row>
    <row r="112" spans="3:6" ht="12.75">
      <c r="C112" s="106"/>
      <c r="D112" s="111"/>
      <c r="E112" s="111"/>
      <c r="F112" s="111"/>
    </row>
    <row r="113" spans="3:6" ht="12.75">
      <c r="C113" s="106"/>
      <c r="D113" s="111"/>
      <c r="E113" s="111"/>
      <c r="F113" s="111"/>
    </row>
    <row r="114" spans="3:6" ht="12.75">
      <c r="C114" s="106"/>
      <c r="D114" s="111"/>
      <c r="E114" s="111"/>
      <c r="F114" s="111"/>
    </row>
    <row r="115" spans="3:6" ht="12.75">
      <c r="C115" s="106"/>
      <c r="D115" s="111"/>
      <c r="E115" s="111"/>
      <c r="F115" s="111"/>
    </row>
    <row r="116" spans="3:6" ht="12.75">
      <c r="C116" s="106"/>
      <c r="D116" s="111"/>
      <c r="E116" s="111"/>
      <c r="F116" s="111"/>
    </row>
    <row r="117" spans="3:6" ht="12.75">
      <c r="C117" s="106"/>
      <c r="D117" s="111"/>
      <c r="E117" s="111"/>
      <c r="F117" s="111"/>
    </row>
    <row r="118" spans="3:6" ht="12.75">
      <c r="C118" s="106"/>
      <c r="D118" s="111"/>
      <c r="E118" s="111"/>
      <c r="F118" s="111"/>
    </row>
    <row r="119" spans="3:6" ht="12.75">
      <c r="C119" s="106"/>
      <c r="D119" s="111"/>
      <c r="E119" s="111"/>
      <c r="F119" s="111"/>
    </row>
    <row r="120" spans="3:6" ht="12.75">
      <c r="C120" s="106"/>
      <c r="D120" s="111"/>
      <c r="E120" s="111"/>
      <c r="F120" s="111"/>
    </row>
    <row r="121" spans="3:6" ht="12.75">
      <c r="C121" s="106"/>
      <c r="D121" s="111"/>
      <c r="E121" s="111"/>
      <c r="F121" s="111"/>
    </row>
    <row r="122" spans="3:6" ht="12.75">
      <c r="C122" s="106"/>
      <c r="D122" s="111"/>
      <c r="E122" s="111"/>
      <c r="F122" s="111"/>
    </row>
    <row r="123" spans="3:6" ht="12.75">
      <c r="C123" s="106"/>
      <c r="D123" s="111"/>
      <c r="E123" s="111"/>
      <c r="F123" s="111"/>
    </row>
    <row r="124" spans="3:6" ht="12.75">
      <c r="C124" s="106"/>
      <c r="D124" s="111"/>
      <c r="E124" s="111"/>
      <c r="F124" s="111"/>
    </row>
    <row r="125" spans="3:6" ht="12.75">
      <c r="C125" s="106"/>
      <c r="D125" s="111"/>
      <c r="E125" s="111"/>
      <c r="F125" s="111"/>
    </row>
    <row r="126" spans="3:6" ht="12.75">
      <c r="C126" s="106"/>
      <c r="D126" s="111"/>
      <c r="E126" s="111"/>
      <c r="F126" s="111"/>
    </row>
    <row r="127" spans="3:6" ht="12.75">
      <c r="C127" s="106"/>
      <c r="D127" s="111"/>
      <c r="E127" s="111"/>
      <c r="F127" s="111"/>
    </row>
    <row r="128" spans="3:6" ht="12.75">
      <c r="C128" s="106"/>
      <c r="D128" s="111"/>
      <c r="E128" s="111"/>
      <c r="F128" s="111"/>
    </row>
    <row r="129" spans="3:6" ht="12.75">
      <c r="C129" s="106"/>
      <c r="D129" s="111"/>
      <c r="E129" s="111"/>
      <c r="F129" s="111"/>
    </row>
    <row r="130" spans="3:6" ht="12.75">
      <c r="C130" s="106"/>
      <c r="D130" s="111"/>
      <c r="E130" s="111"/>
      <c r="F130" s="111"/>
    </row>
    <row r="131" spans="3:6" ht="12.75">
      <c r="C131" s="106"/>
      <c r="D131" s="111"/>
      <c r="E131" s="111"/>
      <c r="F131" s="111"/>
    </row>
    <row r="132" spans="3:6" ht="12.75">
      <c r="C132" s="106"/>
      <c r="D132" s="111"/>
      <c r="E132" s="111"/>
      <c r="F132" s="111"/>
    </row>
    <row r="133" spans="3:6" ht="12.75">
      <c r="C133" s="106"/>
      <c r="D133" s="111"/>
      <c r="E133" s="111"/>
      <c r="F133" s="111"/>
    </row>
    <row r="134" spans="3:6" ht="12.75">
      <c r="C134" s="106"/>
      <c r="D134" s="111"/>
      <c r="E134" s="111"/>
      <c r="F134" s="111"/>
    </row>
    <row r="135" spans="3:6" ht="12.75">
      <c r="C135" s="106"/>
      <c r="D135" s="111"/>
      <c r="E135" s="111"/>
      <c r="F135" s="111"/>
    </row>
    <row r="136" spans="3:6" ht="12.75">
      <c r="C136" s="106"/>
      <c r="D136" s="111"/>
      <c r="E136" s="111"/>
      <c r="F136" s="111"/>
    </row>
    <row r="137" spans="3:6" ht="12.75">
      <c r="C137" s="106"/>
      <c r="D137" s="111"/>
      <c r="E137" s="111"/>
      <c r="F137" s="111"/>
    </row>
    <row r="138" spans="3:6" ht="12.75">
      <c r="C138" s="106"/>
      <c r="D138" s="111"/>
      <c r="E138" s="111"/>
      <c r="F138" s="111"/>
    </row>
    <row r="139" spans="3:6" ht="12.75">
      <c r="C139" s="106"/>
      <c r="D139" s="111"/>
      <c r="E139" s="111"/>
      <c r="F139" s="111"/>
    </row>
    <row r="140" spans="3:6" ht="12.75">
      <c r="C140" s="106"/>
      <c r="D140" s="111"/>
      <c r="E140" s="111"/>
      <c r="F140" s="111"/>
    </row>
    <row r="141" spans="3:6" ht="12.75">
      <c r="C141" s="106"/>
      <c r="D141" s="111"/>
      <c r="E141" s="111"/>
      <c r="F141" s="111"/>
    </row>
    <row r="142" spans="3:6" ht="12.75">
      <c r="C142" s="106"/>
      <c r="D142" s="111"/>
      <c r="E142" s="111"/>
      <c r="F142" s="111"/>
    </row>
    <row r="143" spans="3:6" ht="12.75">
      <c r="C143" s="106"/>
      <c r="D143" s="111"/>
      <c r="E143" s="111"/>
      <c r="F143" s="111"/>
    </row>
    <row r="144" spans="3:6" ht="12.75">
      <c r="C144" s="106"/>
      <c r="D144" s="111"/>
      <c r="E144" s="111"/>
      <c r="F144" s="111"/>
    </row>
    <row r="145" spans="3:6" ht="12.75">
      <c r="C145" s="106"/>
      <c r="D145" s="111"/>
      <c r="E145" s="111"/>
      <c r="F145" s="111"/>
    </row>
    <row r="146" spans="3:6" ht="12.75">
      <c r="C146" s="106"/>
      <c r="D146" s="111"/>
      <c r="E146" s="111"/>
      <c r="F146" s="111"/>
    </row>
    <row r="147" spans="3:6" ht="12.75">
      <c r="C147" s="106"/>
      <c r="D147" s="111"/>
      <c r="E147" s="111"/>
      <c r="F147" s="111"/>
    </row>
    <row r="148" spans="3:6" ht="12.75">
      <c r="C148" s="106"/>
      <c r="D148" s="111"/>
      <c r="E148" s="111"/>
      <c r="F148" s="111"/>
    </row>
    <row r="149" spans="3:6" ht="12.75">
      <c r="C149" s="106"/>
      <c r="D149" s="111"/>
      <c r="E149" s="111"/>
      <c r="F149" s="111"/>
    </row>
    <row r="150" spans="3:6" ht="12.75">
      <c r="C150" s="106"/>
      <c r="D150" s="111"/>
      <c r="E150" s="111"/>
      <c r="F150" s="111"/>
    </row>
    <row r="151" spans="3:6" ht="12.75">
      <c r="C151" s="106"/>
      <c r="D151" s="111"/>
      <c r="E151" s="111"/>
      <c r="F151" s="111"/>
    </row>
    <row r="152" spans="3:6" ht="12.75">
      <c r="C152" s="106"/>
      <c r="D152" s="111"/>
      <c r="E152" s="111"/>
      <c r="F152" s="111"/>
    </row>
    <row r="153" spans="3:6" ht="12.75">
      <c r="C153" s="106"/>
      <c r="D153" s="111"/>
      <c r="E153" s="111"/>
      <c r="F153" s="111"/>
    </row>
    <row r="154" spans="3:6" ht="12.75">
      <c r="C154" s="106"/>
      <c r="D154" s="111"/>
      <c r="E154" s="111"/>
      <c r="F154" s="111"/>
    </row>
    <row r="155" spans="3:6" ht="12.75">
      <c r="C155" s="106"/>
      <c r="D155" s="111"/>
      <c r="E155" s="111"/>
      <c r="F155" s="111"/>
    </row>
    <row r="156" spans="3:6" ht="12.75">
      <c r="C156" s="106"/>
      <c r="D156" s="111"/>
      <c r="E156" s="111"/>
      <c r="F156" s="111"/>
    </row>
    <row r="157" spans="3:6" ht="12.75">
      <c r="C157" s="106"/>
      <c r="D157" s="111"/>
      <c r="E157" s="111"/>
      <c r="F157" s="111"/>
    </row>
    <row r="158" spans="3:6" ht="12.75">
      <c r="C158" s="106"/>
      <c r="D158" s="111"/>
      <c r="E158" s="111"/>
      <c r="F158" s="111"/>
    </row>
    <row r="159" spans="3:6" ht="12.75">
      <c r="C159" s="106"/>
      <c r="D159" s="111"/>
      <c r="E159" s="111"/>
      <c r="F159" s="111"/>
    </row>
  </sheetData>
  <mergeCells count="3">
    <mergeCell ref="B4:J4"/>
    <mergeCell ref="B5:J5"/>
    <mergeCell ref="B6:J6"/>
  </mergeCells>
  <printOptions/>
  <pageMargins left="0.75" right="0.42" top="0.15" bottom="0.12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33"/>
  <sheetViews>
    <sheetView workbookViewId="0" topLeftCell="D28">
      <selection activeCell="H13" sqref="H13"/>
    </sheetView>
  </sheetViews>
  <sheetFormatPr defaultColWidth="11.421875" defaultRowHeight="12.75"/>
  <cols>
    <col min="2" max="2" width="17.00390625" style="0" customWidth="1"/>
    <col min="3" max="3" width="38.00390625" style="0" customWidth="1"/>
    <col min="4" max="4" width="19.421875" style="0" customWidth="1"/>
    <col min="6" max="6" width="12.7109375" style="0" bestFit="1" customWidth="1"/>
    <col min="7" max="7" width="13.00390625" style="0" customWidth="1"/>
    <col min="8" max="8" width="14.00390625" style="0" customWidth="1"/>
  </cols>
  <sheetData>
    <row r="3" spans="2:3" ht="12.75">
      <c r="B3" s="386" t="s">
        <v>258</v>
      </c>
      <c r="C3" s="386"/>
    </row>
    <row r="4" spans="2:9" ht="12.75">
      <c r="B4" s="387" t="s">
        <v>257</v>
      </c>
      <c r="C4" s="387"/>
      <c r="E4" s="386" t="s">
        <v>255</v>
      </c>
      <c r="F4" s="386"/>
      <c r="G4" s="386"/>
      <c r="H4" s="386"/>
      <c r="I4" s="260"/>
    </row>
    <row r="5" spans="2:8" ht="12.75">
      <c r="B5" s="386" t="s">
        <v>252</v>
      </c>
      <c r="C5" s="386"/>
      <c r="D5" s="260"/>
      <c r="E5" s="387" t="s">
        <v>276</v>
      </c>
      <c r="F5" s="387"/>
      <c r="G5" s="387"/>
      <c r="H5" s="387"/>
    </row>
    <row r="6" ht="13.5" thickBot="1"/>
    <row r="7" spans="2:8" ht="19.5" customHeight="1" thickBot="1">
      <c r="B7" s="292" t="s">
        <v>253</v>
      </c>
      <c r="C7" s="293" t="s">
        <v>254</v>
      </c>
      <c r="D7" s="252"/>
      <c r="E7" s="302" t="s">
        <v>271</v>
      </c>
      <c r="F7" s="306" t="s">
        <v>273</v>
      </c>
      <c r="G7" s="303" t="s">
        <v>272</v>
      </c>
      <c r="H7" s="306" t="s">
        <v>274</v>
      </c>
    </row>
    <row r="8" spans="2:8" ht="12.75">
      <c r="B8" s="253">
        <v>2004</v>
      </c>
      <c r="C8" s="254">
        <f>+'P&amp;G FRANQUICIA'!D48</f>
        <v>-56249.57100549771</v>
      </c>
      <c r="E8" s="304"/>
      <c r="F8" s="88"/>
      <c r="G8" s="88"/>
      <c r="H8" s="305"/>
    </row>
    <row r="9" spans="2:8" ht="12.75">
      <c r="B9" s="253">
        <v>2005</v>
      </c>
      <c r="C9" s="254">
        <f>+'P&amp;G FRANQUICIA'!E48</f>
        <v>42157.935674884706</v>
      </c>
      <c r="E9" s="294">
        <v>0.14</v>
      </c>
      <c r="F9" s="295">
        <v>45000</v>
      </c>
      <c r="G9" s="296">
        <f>+F9/F12</f>
        <v>0.42857142857142855</v>
      </c>
      <c r="H9" s="297">
        <f>+E9*G9</f>
        <v>0.060000000000000005</v>
      </c>
    </row>
    <row r="10" spans="2:8" ht="12.75">
      <c r="B10" s="253">
        <v>2006</v>
      </c>
      <c r="C10" s="254">
        <f>+'P&amp;G FRANQUICIA'!F48</f>
        <v>69333.85953283786</v>
      </c>
      <c r="E10" s="294">
        <v>0.1545</v>
      </c>
      <c r="F10" s="295">
        <v>60000</v>
      </c>
      <c r="G10" s="296">
        <f>+F10/F12</f>
        <v>0.5714285714285714</v>
      </c>
      <c r="H10" s="297">
        <f>+G10*E10</f>
        <v>0.08828571428571429</v>
      </c>
    </row>
    <row r="11" spans="2:8" ht="12.75">
      <c r="B11" s="253">
        <v>2007</v>
      </c>
      <c r="C11" s="254">
        <f>+'P&amp;G FRANQUICIA'!G48</f>
        <v>79273.102873938</v>
      </c>
      <c r="E11" s="304"/>
      <c r="F11" s="88"/>
      <c r="G11" s="88"/>
      <c r="H11" s="305"/>
    </row>
    <row r="12" spans="2:8" ht="13.5" thickBot="1">
      <c r="B12" s="253">
        <v>2008</v>
      </c>
      <c r="C12" s="254">
        <f>+'P&amp;G FRANQUICIA'!H48</f>
        <v>91065.14183268245</v>
      </c>
      <c r="E12" s="298" t="s">
        <v>8</v>
      </c>
      <c r="F12" s="299">
        <f>+F10+F9</f>
        <v>105000</v>
      </c>
      <c r="G12" s="300"/>
      <c r="H12" s="301">
        <v>0.1483</v>
      </c>
    </row>
    <row r="13" spans="2:3" ht="7.5" customHeight="1">
      <c r="B13" s="253">
        <v>2009</v>
      </c>
      <c r="C13" s="254">
        <f>+'P&amp;G FRANQUICIA'!I48</f>
        <v>98615.39844216187</v>
      </c>
    </row>
    <row r="14" spans="2:5" ht="13.5" thickBot="1">
      <c r="B14" s="255">
        <v>2010</v>
      </c>
      <c r="C14" s="256">
        <f>+'P&amp;G FRANQUICIA'!J48</f>
        <v>122262.43812597805</v>
      </c>
      <c r="E14" s="32" t="s">
        <v>256</v>
      </c>
    </row>
    <row r="15" ht="7.5" customHeight="1">
      <c r="C15" s="257"/>
    </row>
    <row r="16" ht="12.75">
      <c r="B16" s="32" t="s">
        <v>256</v>
      </c>
    </row>
    <row r="19" spans="2:3" ht="12.75">
      <c r="B19" s="386" t="s">
        <v>275</v>
      </c>
      <c r="C19" s="386"/>
    </row>
    <row r="20" spans="2:3" ht="12.75">
      <c r="B20" s="387" t="s">
        <v>259</v>
      </c>
      <c r="C20" s="387"/>
    </row>
    <row r="21" spans="2:4" ht="12.75">
      <c r="B21" s="386" t="s">
        <v>252</v>
      </c>
      <c r="C21" s="386"/>
      <c r="D21" s="260"/>
    </row>
    <row r="22" ht="13.5" thickBot="1"/>
    <row r="23" spans="2:4" ht="12.75">
      <c r="B23" s="388" t="s">
        <v>253</v>
      </c>
      <c r="C23" s="384" t="s">
        <v>260</v>
      </c>
      <c r="D23" s="252"/>
    </row>
    <row r="24" spans="2:4" ht="13.5" thickBot="1">
      <c r="B24" s="389"/>
      <c r="C24" s="385"/>
      <c r="D24" s="252"/>
    </row>
    <row r="25" spans="2:3" ht="12.75">
      <c r="B25" s="253">
        <v>2004</v>
      </c>
      <c r="C25" s="254">
        <f>+'FLUJO FRANQUICIA'!C44</f>
        <v>0</v>
      </c>
    </row>
    <row r="26" spans="2:3" ht="12.75">
      <c r="B26" s="253">
        <v>2005</v>
      </c>
      <c r="C26" s="254">
        <f>+'FLUJO FRANQUICIA'!C45</f>
        <v>0</v>
      </c>
    </row>
    <row r="27" spans="2:3" ht="12.75">
      <c r="B27" s="253">
        <v>2006</v>
      </c>
      <c r="C27" s="254">
        <f>+'FLUJO FRANQUICIA'!C46</f>
        <v>0</v>
      </c>
    </row>
    <row r="28" spans="2:3" ht="12.75">
      <c r="B28" s="253">
        <v>2007</v>
      </c>
      <c r="C28" s="254">
        <f>+'FLUJO FRANQUICIA'!C47</f>
        <v>0</v>
      </c>
    </row>
    <row r="29" spans="2:3" ht="12.75">
      <c r="B29" s="253">
        <v>2008</v>
      </c>
      <c r="C29" s="254">
        <f>+'FLUJO FRANQUICIA'!C48</f>
        <v>0</v>
      </c>
    </row>
    <row r="30" spans="2:3" ht="12.75">
      <c r="B30" s="253">
        <v>2009</v>
      </c>
      <c r="C30" s="254">
        <f>+'FLUJO FRANQUICIA'!C49</f>
        <v>0</v>
      </c>
    </row>
    <row r="31" spans="2:3" ht="13.5" thickBot="1">
      <c r="B31" s="255">
        <v>2010</v>
      </c>
      <c r="C31" s="256">
        <f>+'FLUJO FRANQUICIA'!C50</f>
        <v>0</v>
      </c>
    </row>
    <row r="32" ht="12.75">
      <c r="C32" s="257"/>
    </row>
    <row r="33" ht="12.75">
      <c r="B33" s="32" t="s">
        <v>256</v>
      </c>
    </row>
  </sheetData>
  <mergeCells count="10">
    <mergeCell ref="B3:C3"/>
    <mergeCell ref="B4:C4"/>
    <mergeCell ref="B5:C5"/>
    <mergeCell ref="E4:H4"/>
    <mergeCell ref="E5:H5"/>
    <mergeCell ref="C23:C24"/>
    <mergeCell ref="B19:C19"/>
    <mergeCell ref="B20:C20"/>
    <mergeCell ref="B23:B24"/>
    <mergeCell ref="B21:C21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2"/>
  <sheetViews>
    <sheetView workbookViewId="0" topLeftCell="A1">
      <selection activeCell="C10" sqref="C10"/>
    </sheetView>
  </sheetViews>
  <sheetFormatPr defaultColWidth="11.421875" defaultRowHeight="12.75"/>
  <cols>
    <col min="1" max="1" width="11.421875" style="1" customWidth="1"/>
    <col min="2" max="2" width="32.28125" style="2" bestFit="1" customWidth="1"/>
    <col min="3" max="3" width="12.57421875" style="7" bestFit="1" customWidth="1"/>
    <col min="4" max="8" width="10.421875" style="5" customWidth="1"/>
    <col min="9" max="9" width="10.421875" style="2" customWidth="1"/>
    <col min="10" max="10" width="10.421875" style="1" customWidth="1"/>
    <col min="11" max="16384" width="11.421875" style="1" customWidth="1"/>
  </cols>
  <sheetData>
    <row r="2" spans="2:10" ht="15">
      <c r="B2" s="382" t="s">
        <v>284</v>
      </c>
      <c r="C2" s="382"/>
      <c r="D2" s="382"/>
      <c r="E2" s="382"/>
      <c r="F2" s="382"/>
      <c r="G2" s="382"/>
      <c r="H2" s="382"/>
      <c r="I2" s="382"/>
      <c r="J2" s="382"/>
    </row>
    <row r="3" spans="2:10" ht="15">
      <c r="B3" s="383" t="s">
        <v>281</v>
      </c>
      <c r="C3" s="383"/>
      <c r="D3" s="383"/>
      <c r="E3" s="383"/>
      <c r="F3" s="383"/>
      <c r="G3" s="383"/>
      <c r="H3" s="383"/>
      <c r="I3" s="383"/>
      <c r="J3" s="383"/>
    </row>
    <row r="4" spans="2:10" ht="15">
      <c r="B4" s="383" t="s">
        <v>279</v>
      </c>
      <c r="C4" s="383"/>
      <c r="D4" s="383"/>
      <c r="E4" s="383"/>
      <c r="F4" s="383"/>
      <c r="G4" s="383"/>
      <c r="H4" s="383"/>
      <c r="I4" s="383"/>
      <c r="J4" s="383"/>
    </row>
    <row r="5" ht="14.25" thickBot="1">
      <c r="B5" s="165"/>
    </row>
    <row r="6" spans="2:10" s="167" customFormat="1" ht="12" customHeight="1" thickBot="1">
      <c r="B6" s="343"/>
      <c r="C6" s="360" t="s">
        <v>98</v>
      </c>
      <c r="D6" s="344">
        <v>2004</v>
      </c>
      <c r="E6" s="344">
        <v>2005</v>
      </c>
      <c r="F6" s="344">
        <v>2006</v>
      </c>
      <c r="G6" s="344">
        <v>2007</v>
      </c>
      <c r="H6" s="344">
        <v>2008</v>
      </c>
      <c r="I6" s="344">
        <v>2009</v>
      </c>
      <c r="J6" s="345">
        <v>2010</v>
      </c>
    </row>
    <row r="7" spans="2:10" s="167" customFormat="1" ht="12.75">
      <c r="B7" s="347" t="s">
        <v>99</v>
      </c>
      <c r="C7" s="348"/>
      <c r="D7" s="348">
        <f aca="true" t="shared" si="0" ref="D7:J7">+D8</f>
        <v>352378.5819292175</v>
      </c>
      <c r="E7" s="348">
        <f t="shared" si="0"/>
        <v>942683.1823770427</v>
      </c>
      <c r="F7" s="348">
        <f t="shared" si="0"/>
        <v>1210495.703757631</v>
      </c>
      <c r="G7" s="348">
        <f t="shared" si="0"/>
        <v>1295327.2426769657</v>
      </c>
      <c r="H7" s="348">
        <f t="shared" si="0"/>
        <v>1386103.7758437674</v>
      </c>
      <c r="I7" s="348">
        <f t="shared" si="0"/>
        <v>1483241.9284548988</v>
      </c>
      <c r="J7" s="349">
        <f t="shared" si="0"/>
        <v>1587187.5228010179</v>
      </c>
    </row>
    <row r="8" spans="2:10" ht="12.75">
      <c r="B8" s="350" t="s">
        <v>100</v>
      </c>
      <c r="C8" s="351"/>
      <c r="D8" s="351">
        <f>+'P&amp;G FRANQUICIA'!D9</f>
        <v>352378.5819292175</v>
      </c>
      <c r="E8" s="351">
        <f>+'P&amp;G FRANQUICIA'!E9</f>
        <v>942683.1823770427</v>
      </c>
      <c r="F8" s="351">
        <f>+'P&amp;G FRANQUICIA'!F9</f>
        <v>1210495.703757631</v>
      </c>
      <c r="G8" s="351">
        <f>+'P&amp;G FRANQUICIA'!G9</f>
        <v>1295327.2426769657</v>
      </c>
      <c r="H8" s="351">
        <f>+'P&amp;G FRANQUICIA'!H9</f>
        <v>1386103.7758437674</v>
      </c>
      <c r="I8" s="351">
        <f>+'P&amp;G FRANQUICIA'!I9</f>
        <v>1483241.9284548988</v>
      </c>
      <c r="J8" s="352">
        <f>+'P&amp;G FRANQUICIA'!J9</f>
        <v>1587187.5228010179</v>
      </c>
    </row>
    <row r="9" spans="2:10" ht="8.25" customHeight="1">
      <c r="B9" s="346"/>
      <c r="C9" s="351"/>
      <c r="D9" s="351"/>
      <c r="E9" s="351"/>
      <c r="F9" s="351"/>
      <c r="G9" s="351"/>
      <c r="H9" s="351"/>
      <c r="I9" s="351"/>
      <c r="J9" s="352"/>
    </row>
    <row r="10" spans="2:10" s="167" customFormat="1" ht="12.75">
      <c r="B10" s="347" t="s">
        <v>101</v>
      </c>
      <c r="C10" s="348"/>
      <c r="D10" s="348">
        <f>+D11</f>
        <v>275434.8196013819</v>
      </c>
      <c r="E10" s="348">
        <f aca="true" t="shared" si="1" ref="E10:J10">+E11</f>
        <v>733833.629397617</v>
      </c>
      <c r="F10" s="348">
        <f t="shared" si="1"/>
        <v>912330.1897749624</v>
      </c>
      <c r="G10" s="348">
        <f t="shared" si="1"/>
        <v>972979.7310343916</v>
      </c>
      <c r="H10" s="348">
        <f t="shared" si="1"/>
        <v>1037731.6970154818</v>
      </c>
      <c r="I10" s="348">
        <f t="shared" si="1"/>
        <v>1106866.9303618856</v>
      </c>
      <c r="J10" s="349">
        <f t="shared" si="1"/>
        <v>1180685.6556820858</v>
      </c>
    </row>
    <row r="11" spans="2:10" ht="12.75">
      <c r="B11" s="350" t="s">
        <v>102</v>
      </c>
      <c r="C11" s="351"/>
      <c r="D11" s="351">
        <f>+'P&amp;G FRANQUICIA'!D14</f>
        <v>275434.8196013819</v>
      </c>
      <c r="E11" s="351">
        <f>+'P&amp;G FRANQUICIA'!E14</f>
        <v>733833.629397617</v>
      </c>
      <c r="F11" s="351">
        <f>+'P&amp;G FRANQUICIA'!F14</f>
        <v>912330.1897749624</v>
      </c>
      <c r="G11" s="351">
        <f>+'P&amp;G FRANQUICIA'!G14</f>
        <v>972979.7310343916</v>
      </c>
      <c r="H11" s="351">
        <f>+'P&amp;G FRANQUICIA'!H14</f>
        <v>1037731.6970154818</v>
      </c>
      <c r="I11" s="351">
        <f>+'P&amp;G FRANQUICIA'!I14</f>
        <v>1106866.9303618856</v>
      </c>
      <c r="J11" s="352">
        <f>+'P&amp;G FRANQUICIA'!J14</f>
        <v>1180685.6556820858</v>
      </c>
    </row>
    <row r="12" spans="2:10" ht="7.5" customHeight="1">
      <c r="B12" s="346"/>
      <c r="C12" s="351"/>
      <c r="D12" s="351"/>
      <c r="E12" s="351"/>
      <c r="F12" s="351"/>
      <c r="G12" s="351"/>
      <c r="H12" s="351"/>
      <c r="I12" s="351"/>
      <c r="J12" s="352"/>
    </row>
    <row r="13" spans="2:10" s="167" customFormat="1" ht="12.75">
      <c r="B13" s="347" t="s">
        <v>103</v>
      </c>
      <c r="C13" s="348"/>
      <c r="D13" s="348">
        <f aca="true" t="shared" si="2" ref="D13:J13">+D7-D10</f>
        <v>76943.7623278356</v>
      </c>
      <c r="E13" s="348">
        <f t="shared" si="2"/>
        <v>208849.55297942576</v>
      </c>
      <c r="F13" s="348">
        <f t="shared" si="2"/>
        <v>298165.5139826685</v>
      </c>
      <c r="G13" s="348">
        <f t="shared" si="2"/>
        <v>322347.5116425741</v>
      </c>
      <c r="H13" s="348">
        <f t="shared" si="2"/>
        <v>348372.0788282857</v>
      </c>
      <c r="I13" s="348">
        <f t="shared" si="2"/>
        <v>376374.9980930132</v>
      </c>
      <c r="J13" s="349">
        <f t="shared" si="2"/>
        <v>406501.8671189321</v>
      </c>
    </row>
    <row r="14" spans="2:10" ht="6.75" customHeight="1">
      <c r="B14" s="346"/>
      <c r="C14" s="351"/>
      <c r="D14" s="351"/>
      <c r="E14" s="351"/>
      <c r="F14" s="351"/>
      <c r="G14" s="351"/>
      <c r="H14" s="351"/>
      <c r="I14" s="351"/>
      <c r="J14" s="352"/>
    </row>
    <row r="15" spans="2:10" s="167" customFormat="1" ht="12.75">
      <c r="B15" s="347" t="s">
        <v>104</v>
      </c>
      <c r="C15" s="348">
        <f>+C16+C17+C18</f>
        <v>105000</v>
      </c>
      <c r="D15" s="348">
        <f>+D16+D17+D18+D19</f>
        <v>54000</v>
      </c>
      <c r="E15" s="348">
        <f aca="true" t="shared" si="3" ref="E15:J15">+E16+E17+E18+E19</f>
        <v>56429.99999999999</v>
      </c>
      <c r="F15" s="348">
        <f t="shared" si="3"/>
        <v>138.81333333333345</v>
      </c>
      <c r="G15" s="348">
        <f t="shared" si="3"/>
        <v>0</v>
      </c>
      <c r="H15" s="348">
        <f t="shared" si="3"/>
        <v>4062.3179999999993</v>
      </c>
      <c r="I15" s="348">
        <f t="shared" si="3"/>
        <v>297.22333333333336</v>
      </c>
      <c r="J15" s="349">
        <f t="shared" si="3"/>
        <v>22848.318</v>
      </c>
    </row>
    <row r="16" spans="2:10" ht="12.75">
      <c r="B16" s="350" t="s">
        <v>105</v>
      </c>
      <c r="C16" s="351">
        <f>+DATOS!A122</f>
        <v>45000</v>
      </c>
      <c r="D16" s="351"/>
      <c r="E16" s="351"/>
      <c r="F16" s="351"/>
      <c r="G16" s="351"/>
      <c r="H16" s="351"/>
      <c r="I16" s="351"/>
      <c r="J16" s="352"/>
    </row>
    <row r="17" spans="2:10" ht="12.75">
      <c r="B17" s="350" t="s">
        <v>106</v>
      </c>
      <c r="C17" s="351">
        <f>+DATOS!B122</f>
        <v>60000</v>
      </c>
      <c r="D17" s="351"/>
      <c r="E17" s="351"/>
      <c r="F17" s="351"/>
      <c r="G17" s="351"/>
      <c r="H17" s="351"/>
      <c r="I17" s="351"/>
      <c r="J17" s="352"/>
    </row>
    <row r="18" spans="2:10" ht="12.75">
      <c r="B18" s="350" t="s">
        <v>107</v>
      </c>
      <c r="C18" s="351"/>
      <c r="D18" s="351">
        <f>+'P&amp;G FRANQUICIA'!D36</f>
        <v>54000</v>
      </c>
      <c r="E18" s="351">
        <f>+'P&amp;G FRANQUICIA'!E36</f>
        <v>56429.99999999999</v>
      </c>
      <c r="F18" s="351">
        <f>+'P&amp;G FRANQUICIA'!F36</f>
        <v>0</v>
      </c>
      <c r="G18" s="351">
        <f>+'P&amp;G FRANQUICIA'!G36</f>
        <v>0</v>
      </c>
      <c r="H18" s="351">
        <f>+'P&amp;G FRANQUICIA'!H36</f>
        <v>0</v>
      </c>
      <c r="I18" s="351">
        <f>+'P&amp;G FRANQUICIA'!I36</f>
        <v>0</v>
      </c>
      <c r="J18" s="352">
        <f>+'P&amp;G FRANQUICIA'!J36</f>
        <v>0</v>
      </c>
    </row>
    <row r="19" spans="2:10" ht="12.75">
      <c r="B19" s="350" t="s">
        <v>108</v>
      </c>
      <c r="C19" s="351"/>
      <c r="D19" s="351">
        <f>+'P&amp;G FRANQUICIA'!D37</f>
        <v>0</v>
      </c>
      <c r="E19" s="351">
        <f>+'P&amp;G FRANQUICIA'!E37</f>
        <v>0</v>
      </c>
      <c r="F19" s="351">
        <f>+'P&amp;G FRANQUICIA'!F37</f>
        <v>138.81333333333345</v>
      </c>
      <c r="G19" s="351">
        <f>+'P&amp;G FRANQUICIA'!G37</f>
        <v>0</v>
      </c>
      <c r="H19" s="351">
        <f>+'P&amp;G FRANQUICIA'!H37</f>
        <v>4062.3179999999993</v>
      </c>
      <c r="I19" s="351">
        <f>+'P&amp;G FRANQUICIA'!I37</f>
        <v>297.22333333333336</v>
      </c>
      <c r="J19" s="352">
        <f>+'P&amp;G FRANQUICIA'!J37</f>
        <v>22848.318</v>
      </c>
    </row>
    <row r="20" spans="2:10" s="167" customFormat="1" ht="9" customHeight="1">
      <c r="B20" s="347"/>
      <c r="C20" s="348"/>
      <c r="D20" s="348"/>
      <c r="E20" s="348"/>
      <c r="F20" s="348"/>
      <c r="G20" s="348"/>
      <c r="H20" s="348"/>
      <c r="I20" s="348"/>
      <c r="J20" s="349"/>
    </row>
    <row r="21" spans="2:10" s="167" customFormat="1" ht="12.75">
      <c r="B21" s="347" t="s">
        <v>109</v>
      </c>
      <c r="C21" s="348">
        <f>+C22+C24+C25+C26+C28+C29+C30+C31+C23</f>
        <v>39350</v>
      </c>
      <c r="D21" s="348">
        <f aca="true" t="shared" si="4" ref="D21:J21">+D22+D24+D25+D26+D27+D28+D29+D30+D31+D23</f>
        <v>193862.91661821137</v>
      </c>
      <c r="E21" s="348">
        <f t="shared" si="4"/>
        <v>231622.8089159687</v>
      </c>
      <c r="F21" s="348">
        <f t="shared" si="4"/>
        <v>242926.13295560822</v>
      </c>
      <c r="G21" s="348">
        <f t="shared" si="4"/>
        <v>236522.26210196942</v>
      </c>
      <c r="H21" s="348">
        <f t="shared" si="4"/>
        <v>285971.6567702647</v>
      </c>
      <c r="I21" s="348">
        <f t="shared" si="4"/>
        <v>273992.2376858181</v>
      </c>
      <c r="J21" s="349">
        <f t="shared" si="4"/>
        <v>299023.0843262873</v>
      </c>
    </row>
    <row r="22" spans="2:10" ht="12.75">
      <c r="B22" s="350" t="s">
        <v>110</v>
      </c>
      <c r="C22" s="351"/>
      <c r="D22" s="351">
        <f>+'P&amp;G FRANQUICIA'!D22-'P&amp;G FRANQUICIA'!D29</f>
        <v>153479.99999999997</v>
      </c>
      <c r="E22" s="351">
        <f>+'P&amp;G FRANQUICIA'!E22-'P&amp;G FRANQUICIA'!E29</f>
        <v>156148.872</v>
      </c>
      <c r="F22" s="351">
        <f>+'P&amp;G FRANQUICIA'!F22-'P&amp;G FRANQUICIA'!F29</f>
        <v>164019.48732576</v>
      </c>
      <c r="G22" s="351">
        <f>+'P&amp;G FRANQUICIA'!G22-'P&amp;G FRANQUICIA'!G29</f>
        <v>172314.63579230924</v>
      </c>
      <c r="H22" s="351">
        <f>+'P&amp;G FRANQUICIA'!H22-'P&amp;G FRANQUICIA'!H29</f>
        <v>181058.46403911687</v>
      </c>
      <c r="I22" s="351">
        <f>+'P&amp;G FRANQUICIA'!I22-'P&amp;G FRANQUICIA'!I29</f>
        <v>190276.5598145905</v>
      </c>
      <c r="J22" s="352">
        <f>+'P&amp;G FRANQUICIA'!J22-'P&amp;G FRANQUICIA'!J29</f>
        <v>199996.04168126438</v>
      </c>
    </row>
    <row r="23" spans="2:10" ht="12.75">
      <c r="B23" s="350" t="s">
        <v>35</v>
      </c>
      <c r="C23" s="351"/>
      <c r="D23" s="351">
        <f>+'P&amp;G FRANQUICIA'!D39</f>
        <v>21000</v>
      </c>
      <c r="E23" s="351">
        <f>+'P&amp;G FRANQUICIA'!E39</f>
        <v>21945</v>
      </c>
      <c r="F23" s="351">
        <f>+'P&amp;G FRANQUICIA'!F39</f>
        <v>0</v>
      </c>
      <c r="G23" s="351">
        <f>+'P&amp;G FRANQUICIA'!G39</f>
        <v>0</v>
      </c>
      <c r="H23" s="351">
        <f>+'P&amp;G FRANQUICIA'!H39</f>
        <v>0</v>
      </c>
      <c r="I23" s="351">
        <f>+'P&amp;G FRANQUICIA'!I39</f>
        <v>0</v>
      </c>
      <c r="J23" s="352">
        <f>+'P&amp;G FRANQUICIA'!J39</f>
        <v>0</v>
      </c>
    </row>
    <row r="24" spans="2:10" ht="12.75">
      <c r="B24" s="350" t="s">
        <v>111</v>
      </c>
      <c r="C24" s="351"/>
      <c r="D24" s="351">
        <f>+'P&amp;G FRANQUICIA'!D40</f>
        <v>6300.000000000001</v>
      </c>
      <c r="E24" s="351">
        <f>+'P&amp;G FRANQUICIA'!E40</f>
        <v>4468.391673450403</v>
      </c>
      <c r="F24" s="351">
        <f>+'P&amp;G FRANQUICIA'!F40</f>
        <v>2380.358181183861</v>
      </c>
      <c r="G24" s="351">
        <f>+'P&amp;G FRANQUICIA'!G40</f>
        <v>0</v>
      </c>
      <c r="H24" s="351">
        <f>+'P&amp;G FRANQUICIA'!H40</f>
        <v>0</v>
      </c>
      <c r="I24" s="351">
        <f>+'P&amp;G FRANQUICIA'!I40</f>
        <v>0</v>
      </c>
      <c r="J24" s="352">
        <f>+'P&amp;G FRANQUICIA'!J40</f>
        <v>0</v>
      </c>
    </row>
    <row r="25" spans="2:10" ht="12.75">
      <c r="B25" s="350" t="s">
        <v>112</v>
      </c>
      <c r="C25" s="351"/>
      <c r="D25" s="351">
        <f>+'P&amp;G FRANQUICIA'!D46</f>
        <v>0</v>
      </c>
      <c r="E25" s="351">
        <f>+'P&amp;G FRANQUICIA'!E46</f>
        <v>16214.590644186424</v>
      </c>
      <c r="F25" s="351">
        <f>+'P&amp;G FRANQUICIA'!F46</f>
        <v>26666.869051091486</v>
      </c>
      <c r="G25" s="351">
        <f>+'P&amp;G FRANQUICIA'!G46</f>
        <v>30489.654951514614</v>
      </c>
      <c r="H25" s="351">
        <f>+'P&amp;G FRANQUICIA'!H46</f>
        <v>35025.05455103171</v>
      </c>
      <c r="I25" s="351">
        <f>+'P&amp;G FRANQUICIA'!I46</f>
        <v>37928.99940083149</v>
      </c>
      <c r="J25" s="352">
        <f>+'P&amp;G FRANQUICIA'!J46</f>
        <v>47024.01466383772</v>
      </c>
    </row>
    <row r="26" spans="2:10" ht="12.75">
      <c r="B26" s="350" t="s">
        <v>113</v>
      </c>
      <c r="C26" s="351"/>
      <c r="D26" s="351">
        <f>+'P&amp;G FRANQUICIA'!D44</f>
        <v>0</v>
      </c>
      <c r="E26" s="351">
        <f>+'P&amp;G FRANQUICIA'!E44</f>
        <v>11445.5933958963</v>
      </c>
      <c r="F26" s="351">
        <f>+'P&amp;G FRANQUICIA'!F44</f>
        <v>18823.672271358693</v>
      </c>
      <c r="G26" s="351">
        <f>+'P&amp;G FRANQUICIA'!G44</f>
        <v>21522.109377539728</v>
      </c>
      <c r="H26" s="351">
        <f>+'P&amp;G FRANQUICIA'!H44</f>
        <v>24723.56791837532</v>
      </c>
      <c r="I26" s="351">
        <f>+'P&amp;G FRANQUICIA'!I44</f>
        <v>26773.411341763403</v>
      </c>
      <c r="J26" s="352">
        <f>+'P&amp;G FRANQUICIA'!J44</f>
        <v>33193.42211565015</v>
      </c>
    </row>
    <row r="27" spans="2:10" ht="12.75">
      <c r="B27" s="350" t="s">
        <v>114</v>
      </c>
      <c r="C27" s="351"/>
      <c r="D27" s="351">
        <f>+'P&amp;G FRANQUICIA'!D47</f>
        <v>0</v>
      </c>
      <c r="E27" s="351">
        <f>+'P&amp;G FRANQUICIA'!E47</f>
        <v>6485.83625767457</v>
      </c>
      <c r="F27" s="351">
        <f>+'P&amp;G FRANQUICIA'!F47</f>
        <v>10666.747620436596</v>
      </c>
      <c r="G27" s="351">
        <f>+'P&amp;G FRANQUICIA'!G47</f>
        <v>12195.861980605847</v>
      </c>
      <c r="H27" s="351">
        <f>+'P&amp;G FRANQUICIA'!H47</f>
        <v>14010.021820412685</v>
      </c>
      <c r="I27" s="351">
        <f>+'P&amp;G FRANQUICIA'!I47</f>
        <v>15171.599760332596</v>
      </c>
      <c r="J27" s="352">
        <f>+'P&amp;G FRANQUICIA'!J47</f>
        <v>18809.60586553509</v>
      </c>
    </row>
    <row r="28" spans="2:10" ht="12.75">
      <c r="B28" s="350" t="s">
        <v>115</v>
      </c>
      <c r="C28" s="351"/>
      <c r="D28" s="351">
        <f>+DATOS!C129</f>
        <v>13082.916618211413</v>
      </c>
      <c r="E28" s="351">
        <f>+DATOS!C130</f>
        <v>14914.524944761011</v>
      </c>
      <c r="F28" s="351">
        <f>+DATOS!C131</f>
        <v>17002.558437027554</v>
      </c>
      <c r="G28" s="351"/>
      <c r="H28" s="351"/>
      <c r="I28" s="351"/>
      <c r="J28" s="352"/>
    </row>
    <row r="29" spans="2:10" ht="12.75">
      <c r="B29" s="350" t="s">
        <v>116</v>
      </c>
      <c r="C29" s="351">
        <v>32450</v>
      </c>
      <c r="D29" s="351"/>
      <c r="E29" s="351"/>
      <c r="F29" s="351">
        <f>+DATOS!E152</f>
        <v>3366.440068749999</v>
      </c>
      <c r="G29" s="351"/>
      <c r="H29" s="351">
        <f>+DATOS!G152</f>
        <v>31154.548441328116</v>
      </c>
      <c r="I29" s="351">
        <f>+DATOS!H152</f>
        <v>3841.6673683001695</v>
      </c>
      <c r="J29" s="352"/>
    </row>
    <row r="30" spans="2:10" ht="12.75">
      <c r="B30" s="350" t="s">
        <v>117</v>
      </c>
      <c r="C30" s="351">
        <v>4500</v>
      </c>
      <c r="D30" s="351"/>
      <c r="E30" s="351"/>
      <c r="F30" s="351"/>
      <c r="G30" s="351"/>
      <c r="H30" s="351"/>
      <c r="I30" s="351"/>
      <c r="J30" s="352"/>
    </row>
    <row r="31" spans="2:10" ht="12.75">
      <c r="B31" s="350" t="s">
        <v>118</v>
      </c>
      <c r="C31" s="351">
        <v>2400</v>
      </c>
      <c r="D31" s="351"/>
      <c r="E31" s="351"/>
      <c r="F31" s="351"/>
      <c r="G31" s="351"/>
      <c r="H31" s="351"/>
      <c r="I31" s="351"/>
      <c r="J31" s="352"/>
    </row>
    <row r="32" spans="2:10" ht="7.5" customHeight="1">
      <c r="B32" s="346"/>
      <c r="C32" s="351"/>
      <c r="D32" s="351"/>
      <c r="E32" s="351"/>
      <c r="F32" s="351"/>
      <c r="G32" s="351"/>
      <c r="H32" s="351"/>
      <c r="I32" s="351"/>
      <c r="J32" s="352"/>
    </row>
    <row r="33" spans="2:10" s="167" customFormat="1" ht="12.75">
      <c r="B33" s="347" t="s">
        <v>119</v>
      </c>
      <c r="C33" s="348">
        <f aca="true" t="shared" si="5" ref="C33:J33">+C15-C21</f>
        <v>65650</v>
      </c>
      <c r="D33" s="348">
        <f t="shared" si="5"/>
        <v>-139862.91661821137</v>
      </c>
      <c r="E33" s="348">
        <f t="shared" si="5"/>
        <v>-175192.8089159687</v>
      </c>
      <c r="F33" s="348">
        <f t="shared" si="5"/>
        <v>-242787.3196222749</v>
      </c>
      <c r="G33" s="348">
        <f t="shared" si="5"/>
        <v>-236522.26210196942</v>
      </c>
      <c r="H33" s="348">
        <f t="shared" si="5"/>
        <v>-281909.33877026464</v>
      </c>
      <c r="I33" s="348">
        <f t="shared" si="5"/>
        <v>-273695.0143524848</v>
      </c>
      <c r="J33" s="349">
        <f t="shared" si="5"/>
        <v>-276174.7663262873</v>
      </c>
    </row>
    <row r="34" spans="2:10" ht="6" customHeight="1">
      <c r="B34" s="346"/>
      <c r="C34" s="351"/>
      <c r="D34" s="351"/>
      <c r="E34" s="351"/>
      <c r="F34" s="351"/>
      <c r="G34" s="351"/>
      <c r="H34" s="351"/>
      <c r="I34" s="351"/>
      <c r="J34" s="352"/>
    </row>
    <row r="35" spans="2:10" s="167" customFormat="1" ht="12.75">
      <c r="B35" s="347" t="s">
        <v>120</v>
      </c>
      <c r="C35" s="353">
        <f aca="true" t="shared" si="6" ref="C35:J35">+C13+C33</f>
        <v>65650</v>
      </c>
      <c r="D35" s="353">
        <f t="shared" si="6"/>
        <v>-62919.154290375765</v>
      </c>
      <c r="E35" s="353">
        <f t="shared" si="6"/>
        <v>33656.74406345707</v>
      </c>
      <c r="F35" s="353">
        <f t="shared" si="6"/>
        <v>55378.19436039362</v>
      </c>
      <c r="G35" s="353">
        <f t="shared" si="6"/>
        <v>85825.24954060468</v>
      </c>
      <c r="H35" s="353">
        <f t="shared" si="6"/>
        <v>66462.74005802104</v>
      </c>
      <c r="I35" s="353">
        <f t="shared" si="6"/>
        <v>102679.9837405284</v>
      </c>
      <c r="J35" s="354">
        <f t="shared" si="6"/>
        <v>130327.10079264478</v>
      </c>
    </row>
    <row r="36" spans="2:10" ht="12.75">
      <c r="B36" s="350" t="s">
        <v>121</v>
      </c>
      <c r="C36" s="355">
        <v>0</v>
      </c>
      <c r="D36" s="351">
        <f>C37</f>
        <v>65650</v>
      </c>
      <c r="E36" s="351">
        <f aca="true" t="shared" si="7" ref="E36:J36">+D37</f>
        <v>2730.8457096242346</v>
      </c>
      <c r="F36" s="351">
        <f t="shared" si="7"/>
        <v>36387.5897730813</v>
      </c>
      <c r="G36" s="351">
        <f t="shared" si="7"/>
        <v>91765.78413347492</v>
      </c>
      <c r="H36" s="351">
        <f t="shared" si="7"/>
        <v>177591.0336740796</v>
      </c>
      <c r="I36" s="351">
        <f t="shared" si="7"/>
        <v>244053.77373210064</v>
      </c>
      <c r="J36" s="352">
        <f t="shared" si="7"/>
        <v>346733.7574726291</v>
      </c>
    </row>
    <row r="37" spans="2:10" ht="13.5" thickBot="1">
      <c r="B37" s="356" t="s">
        <v>122</v>
      </c>
      <c r="C37" s="357">
        <f>+C35</f>
        <v>65650</v>
      </c>
      <c r="D37" s="358">
        <f>+C37+D35</f>
        <v>2730.8457096242346</v>
      </c>
      <c r="E37" s="358">
        <f aca="true" t="shared" si="8" ref="E37:J37">+D37+E35</f>
        <v>36387.5897730813</v>
      </c>
      <c r="F37" s="358">
        <f t="shared" si="8"/>
        <v>91765.78413347492</v>
      </c>
      <c r="G37" s="358">
        <f t="shared" si="8"/>
        <v>177591.0336740796</v>
      </c>
      <c r="H37" s="358">
        <f t="shared" si="8"/>
        <v>244053.77373210064</v>
      </c>
      <c r="I37" s="358">
        <f t="shared" si="8"/>
        <v>346733.7574726291</v>
      </c>
      <c r="J37" s="359">
        <f t="shared" si="8"/>
        <v>477060.85826527386</v>
      </c>
    </row>
    <row r="38" ht="13.5">
      <c r="F38" s="177"/>
    </row>
    <row r="39" ht="13.5">
      <c r="F39" s="178"/>
    </row>
    <row r="40" spans="6:10" ht="13.5">
      <c r="F40" s="177"/>
      <c r="J40" s="5"/>
    </row>
    <row r="41" spans="7:10" ht="13.5">
      <c r="G41" s="151"/>
      <c r="H41" s="151"/>
      <c r="I41" s="5"/>
      <c r="J41" s="151"/>
    </row>
    <row r="42" spans="3:10" ht="13.5">
      <c r="C42" s="179"/>
      <c r="G42" s="151"/>
      <c r="H42" s="151"/>
      <c r="I42" s="5"/>
      <c r="J42" s="151"/>
    </row>
    <row r="43" spans="3:10" ht="13.5">
      <c r="C43" s="209"/>
      <c r="D43" s="209"/>
      <c r="F43" s="139"/>
      <c r="G43" s="151"/>
      <c r="H43" s="151"/>
      <c r="I43" s="151"/>
      <c r="J43" s="151"/>
    </row>
    <row r="44" spans="3:6" ht="13.5">
      <c r="C44" s="209"/>
      <c r="D44" s="209"/>
      <c r="F44" s="139"/>
    </row>
    <row r="45" spans="3:6" ht="13.5">
      <c r="C45" s="209"/>
      <c r="D45" s="209"/>
      <c r="F45" s="139"/>
    </row>
    <row r="46" spans="3:7" ht="13.5">
      <c r="C46" s="209"/>
      <c r="D46" s="209"/>
      <c r="F46" s="139"/>
      <c r="G46" s="7"/>
    </row>
    <row r="47" spans="3:6" ht="13.5">
      <c r="C47" s="210"/>
      <c r="D47" s="210"/>
      <c r="F47" s="139"/>
    </row>
    <row r="48" spans="3:6" ht="13.5">
      <c r="C48" s="209"/>
      <c r="D48" s="209"/>
      <c r="F48" s="143"/>
    </row>
    <row r="49" spans="3:4" ht="13.5">
      <c r="C49" s="209"/>
      <c r="D49" s="209"/>
    </row>
    <row r="50" spans="3:4" ht="13.5">
      <c r="C50" s="209"/>
      <c r="D50" s="209"/>
    </row>
    <row r="51" spans="2:6" ht="13.5">
      <c r="B51" s="211"/>
      <c r="C51" s="283"/>
      <c r="D51" s="212"/>
      <c r="E51" s="7"/>
      <c r="F51" s="289"/>
    </row>
    <row r="52" spans="2:6" ht="13.5">
      <c r="B52" s="211"/>
      <c r="C52" s="213"/>
      <c r="D52" s="213"/>
      <c r="E52" s="289"/>
      <c r="F52" s="151"/>
    </row>
  </sheetData>
  <mergeCells count="3">
    <mergeCell ref="B2:J2"/>
    <mergeCell ref="B3:J3"/>
    <mergeCell ref="B4:J4"/>
  </mergeCells>
  <printOptions/>
  <pageMargins left="0.61" right="0.26" top="0.72" bottom="0.42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J262"/>
  <sheetViews>
    <sheetView workbookViewId="0" topLeftCell="A1">
      <selection activeCell="B17" sqref="B17"/>
    </sheetView>
  </sheetViews>
  <sheetFormatPr defaultColWidth="11.421875" defaultRowHeight="12.75"/>
  <cols>
    <col min="1" max="1" width="3.57421875" style="2" customWidth="1"/>
    <col min="2" max="2" width="24.421875" style="2" bestFit="1" customWidth="1"/>
    <col min="3" max="3" width="12.28125" style="7" bestFit="1" customWidth="1"/>
    <col min="4" max="4" width="11.8515625" style="5" customWidth="1"/>
    <col min="5" max="5" width="11.421875" style="5" customWidth="1"/>
    <col min="6" max="6" width="11.7109375" style="5" customWidth="1"/>
    <col min="7" max="7" width="11.57421875" style="5" customWidth="1"/>
    <col min="8" max="8" width="11.7109375" style="5" customWidth="1"/>
    <col min="9" max="9" width="11.00390625" style="2" customWidth="1"/>
    <col min="10" max="12" width="11.421875" style="2" customWidth="1"/>
    <col min="13" max="13" width="16.140625" style="2" bestFit="1" customWidth="1"/>
    <col min="14" max="14" width="22.140625" style="2" customWidth="1"/>
    <col min="15" max="15" width="27.421875" style="2" customWidth="1"/>
    <col min="16" max="16384" width="11.421875" style="2" customWidth="1"/>
  </cols>
  <sheetData>
    <row r="2" spans="2:10" ht="15">
      <c r="B2" s="382" t="s">
        <v>285</v>
      </c>
      <c r="C2" s="382"/>
      <c r="D2" s="382"/>
      <c r="E2" s="382"/>
      <c r="F2" s="382"/>
      <c r="G2" s="382"/>
      <c r="H2" s="382"/>
      <c r="I2" s="382"/>
      <c r="J2" s="382"/>
    </row>
    <row r="3" spans="2:10" ht="15">
      <c r="B3" s="383" t="s">
        <v>286</v>
      </c>
      <c r="C3" s="383"/>
      <c r="D3" s="383"/>
      <c r="E3" s="383"/>
      <c r="F3" s="383"/>
      <c r="G3" s="383"/>
      <c r="H3" s="383"/>
      <c r="I3" s="383"/>
      <c r="J3" s="383"/>
    </row>
    <row r="4" spans="2:10" ht="15">
      <c r="B4" s="383" t="s">
        <v>279</v>
      </c>
      <c r="C4" s="383"/>
      <c r="D4" s="383"/>
      <c r="E4" s="383"/>
      <c r="F4" s="383"/>
      <c r="G4" s="383"/>
      <c r="H4" s="383"/>
      <c r="I4" s="383"/>
      <c r="J4" s="383"/>
    </row>
    <row r="5" ht="13.5" thickBot="1">
      <c r="B5" s="165"/>
    </row>
    <row r="6" spans="2:16" s="3" customFormat="1" ht="12" customHeight="1" thickBot="1">
      <c r="B6" s="166"/>
      <c r="C6" s="180" t="s">
        <v>98</v>
      </c>
      <c r="D6" s="202">
        <v>2004</v>
      </c>
      <c r="E6" s="48">
        <v>2005</v>
      </c>
      <c r="F6" s="202">
        <v>2006</v>
      </c>
      <c r="G6" s="48">
        <v>2007</v>
      </c>
      <c r="H6" s="202">
        <v>2008</v>
      </c>
      <c r="I6" s="48">
        <v>2009</v>
      </c>
      <c r="J6" s="202">
        <v>2010</v>
      </c>
      <c r="L6" s="214"/>
      <c r="M6" s="214"/>
      <c r="N6" s="214"/>
      <c r="O6" s="74"/>
      <c r="P6" s="74"/>
    </row>
    <row r="7" spans="2:16" s="3" customFormat="1" ht="12.75">
      <c r="B7" s="181" t="s">
        <v>181</v>
      </c>
      <c r="C7" s="170"/>
      <c r="D7" s="394"/>
      <c r="E7" s="170"/>
      <c r="F7" s="394"/>
      <c r="G7" s="170"/>
      <c r="H7" s="394"/>
      <c r="I7" s="170"/>
      <c r="J7" s="394"/>
      <c r="L7" s="214"/>
      <c r="M7" s="214"/>
      <c r="N7" s="214"/>
      <c r="O7" s="74"/>
      <c r="P7" s="74"/>
    </row>
    <row r="8" spans="2:16" ht="12.75">
      <c r="B8" s="182" t="s">
        <v>182</v>
      </c>
      <c r="C8" s="172"/>
      <c r="D8" s="331"/>
      <c r="E8" s="172"/>
      <c r="F8" s="331"/>
      <c r="G8" s="172"/>
      <c r="H8" s="331"/>
      <c r="I8" s="172"/>
      <c r="J8" s="331"/>
      <c r="L8" s="6"/>
      <c r="M8" s="52"/>
      <c r="N8" s="52"/>
      <c r="O8" s="129"/>
      <c r="P8" s="129"/>
    </row>
    <row r="9" spans="2:16" ht="12.75">
      <c r="B9" s="183" t="s">
        <v>183</v>
      </c>
      <c r="C9" s="172">
        <f>+'FLUJO FRANQUICIA'!C31</f>
        <v>2400</v>
      </c>
      <c r="D9" s="331">
        <f>+C9</f>
        <v>2400</v>
      </c>
      <c r="E9" s="172">
        <f aca="true" t="shared" si="0" ref="E9:J9">+D9</f>
        <v>2400</v>
      </c>
      <c r="F9" s="331">
        <f t="shared" si="0"/>
        <v>2400</v>
      </c>
      <c r="G9" s="172">
        <f t="shared" si="0"/>
        <v>2400</v>
      </c>
      <c r="H9" s="331">
        <f t="shared" si="0"/>
        <v>2400</v>
      </c>
      <c r="I9" s="172">
        <f t="shared" si="0"/>
        <v>2400</v>
      </c>
      <c r="J9" s="331">
        <f t="shared" si="0"/>
        <v>2400</v>
      </c>
      <c r="L9" s="6"/>
      <c r="M9" s="6"/>
      <c r="N9" s="6"/>
      <c r="O9" s="129"/>
      <c r="P9" s="129"/>
    </row>
    <row r="10" spans="2:16" ht="12.75">
      <c r="B10" s="183" t="s">
        <v>184</v>
      </c>
      <c r="C10" s="172">
        <f>+'FLUJO FRANQUICIA'!C30</f>
        <v>4500</v>
      </c>
      <c r="D10" s="331">
        <f>+C10</f>
        <v>4500</v>
      </c>
      <c r="E10" s="172">
        <f aca="true" t="shared" si="1" ref="E10:J10">+D10</f>
        <v>4500</v>
      </c>
      <c r="F10" s="331">
        <f t="shared" si="1"/>
        <v>4500</v>
      </c>
      <c r="G10" s="172">
        <f t="shared" si="1"/>
        <v>4500</v>
      </c>
      <c r="H10" s="331">
        <f t="shared" si="1"/>
        <v>4500</v>
      </c>
      <c r="I10" s="172">
        <f t="shared" si="1"/>
        <v>4500</v>
      </c>
      <c r="J10" s="331">
        <f t="shared" si="1"/>
        <v>4500</v>
      </c>
      <c r="L10" s="6"/>
      <c r="M10" s="6"/>
      <c r="N10" s="6"/>
      <c r="O10" s="129"/>
      <c r="P10" s="129"/>
    </row>
    <row r="11" spans="2:16" s="3" customFormat="1" ht="12.75">
      <c r="B11" s="184" t="s">
        <v>185</v>
      </c>
      <c r="C11" s="170">
        <f>+C10+C9</f>
        <v>6900</v>
      </c>
      <c r="D11" s="394">
        <f aca="true" t="shared" si="2" ref="D11:J11">+D10+D9</f>
        <v>6900</v>
      </c>
      <c r="E11" s="170">
        <f t="shared" si="2"/>
        <v>6900</v>
      </c>
      <c r="F11" s="394">
        <f t="shared" si="2"/>
        <v>6900</v>
      </c>
      <c r="G11" s="170">
        <f t="shared" si="2"/>
        <v>6900</v>
      </c>
      <c r="H11" s="394">
        <f t="shared" si="2"/>
        <v>6900</v>
      </c>
      <c r="I11" s="170">
        <f t="shared" si="2"/>
        <v>6900</v>
      </c>
      <c r="J11" s="394">
        <f t="shared" si="2"/>
        <v>6900</v>
      </c>
      <c r="L11" s="133"/>
      <c r="M11" s="133"/>
      <c r="N11" s="133"/>
      <c r="O11" s="74"/>
      <c r="P11" s="74"/>
    </row>
    <row r="12" spans="2:16" s="3" customFormat="1" ht="6.75" customHeight="1">
      <c r="B12" s="169"/>
      <c r="C12" s="170"/>
      <c r="D12" s="394"/>
      <c r="E12" s="170"/>
      <c r="F12" s="394"/>
      <c r="G12" s="170"/>
      <c r="H12" s="394"/>
      <c r="I12" s="170"/>
      <c r="J12" s="394"/>
      <c r="L12" s="6"/>
      <c r="M12" s="6"/>
      <c r="N12" s="6"/>
      <c r="O12" s="74"/>
      <c r="P12" s="74"/>
    </row>
    <row r="13" spans="2:16" ht="12.75">
      <c r="B13" s="182" t="s">
        <v>186</v>
      </c>
      <c r="C13" s="172"/>
      <c r="D13" s="331"/>
      <c r="E13" s="172"/>
      <c r="F13" s="331"/>
      <c r="G13" s="172"/>
      <c r="H13" s="331"/>
      <c r="I13" s="172"/>
      <c r="J13" s="331"/>
      <c r="L13" s="6"/>
      <c r="M13" s="6"/>
      <c r="N13" s="6"/>
      <c r="O13" s="129"/>
      <c r="P13" s="129"/>
    </row>
    <row r="14" spans="2:16" ht="12.75">
      <c r="B14" s="183" t="s">
        <v>187</v>
      </c>
      <c r="C14" s="172">
        <f>+'FLUJO FRANQUICIA'!C37</f>
        <v>65650</v>
      </c>
      <c r="D14" s="331">
        <f>+'FLUJO FRANQUICIA'!D37</f>
        <v>2730.8457096242346</v>
      </c>
      <c r="E14" s="172">
        <f>+'FLUJO FRANQUICIA'!E37</f>
        <v>36387.5897730813</v>
      </c>
      <c r="F14" s="331">
        <f>+'FLUJO FRANQUICIA'!F37</f>
        <v>91765.78413347492</v>
      </c>
      <c r="G14" s="172">
        <f>+'FLUJO FRANQUICIA'!G37</f>
        <v>177591.0336740796</v>
      </c>
      <c r="H14" s="331">
        <f>+'FLUJO FRANQUICIA'!H37</f>
        <v>244053.77373210064</v>
      </c>
      <c r="I14" s="172">
        <f>+'FLUJO FRANQUICIA'!I37</f>
        <v>346733.7574726291</v>
      </c>
      <c r="J14" s="331">
        <f>+'FLUJO FRANQUICIA'!J37</f>
        <v>477060.85826527386</v>
      </c>
      <c r="L14" s="129"/>
      <c r="M14" s="129"/>
      <c r="N14" s="129"/>
      <c r="O14" s="129"/>
      <c r="P14" s="129"/>
    </row>
    <row r="15" spans="2:16" s="3" customFormat="1" ht="9" customHeight="1">
      <c r="B15" s="169"/>
      <c r="C15" s="170"/>
      <c r="D15" s="394"/>
      <c r="E15" s="170"/>
      <c r="F15" s="394"/>
      <c r="G15" s="170"/>
      <c r="H15" s="394"/>
      <c r="I15" s="170"/>
      <c r="J15" s="394"/>
      <c r="L15" s="214"/>
      <c r="M15" s="214"/>
      <c r="N15" s="214"/>
      <c r="O15" s="214"/>
      <c r="P15" s="214"/>
    </row>
    <row r="16" spans="2:16" ht="12.75">
      <c r="B16" s="182" t="s">
        <v>188</v>
      </c>
      <c r="C16" s="172"/>
      <c r="D16" s="331"/>
      <c r="E16" s="172"/>
      <c r="F16" s="331"/>
      <c r="G16" s="172"/>
      <c r="H16" s="331"/>
      <c r="I16" s="172"/>
      <c r="J16" s="331"/>
      <c r="L16" s="214"/>
      <c r="M16" s="214"/>
      <c r="N16" s="214"/>
      <c r="O16" s="214"/>
      <c r="P16" s="214"/>
    </row>
    <row r="17" spans="2:16" s="3" customFormat="1" ht="12.75">
      <c r="B17" s="183" t="s">
        <v>163</v>
      </c>
      <c r="C17" s="6">
        <f>+DATOS!S3</f>
        <v>2800</v>
      </c>
      <c r="D17" s="334">
        <f aca="true" t="shared" si="3" ref="D17:E22">+C17</f>
        <v>2800</v>
      </c>
      <c r="E17" s="6">
        <f t="shared" si="3"/>
        <v>2800</v>
      </c>
      <c r="F17" s="334">
        <f>+DATOS!T3+DATOS!S3</f>
        <v>5995.26</v>
      </c>
      <c r="G17" s="6">
        <f aca="true" t="shared" si="4" ref="G17:H22">+F17</f>
        <v>5995.26</v>
      </c>
      <c r="H17" s="334">
        <f t="shared" si="4"/>
        <v>5995.26</v>
      </c>
      <c r="I17" s="6">
        <f>+DATOS!T3+DATOS!S3+(DATOS!I141*3)</f>
        <v>9641.59</v>
      </c>
      <c r="J17" s="334">
        <f aca="true" t="shared" si="5" ref="J17:J23">+I17</f>
        <v>9641.59</v>
      </c>
      <c r="L17" s="6"/>
      <c r="M17" s="52"/>
      <c r="N17" s="52"/>
      <c r="O17" s="52"/>
      <c r="P17" s="52"/>
    </row>
    <row r="18" spans="2:16" ht="12.75">
      <c r="B18" s="183" t="s">
        <v>164</v>
      </c>
      <c r="C18" s="6">
        <f>+DATOS!S4</f>
        <v>150</v>
      </c>
      <c r="D18" s="334">
        <f t="shared" si="3"/>
        <v>150</v>
      </c>
      <c r="E18" s="6">
        <f t="shared" si="3"/>
        <v>150</v>
      </c>
      <c r="F18" s="334">
        <f>+DATOS!T4+DATOS!S4</f>
        <v>321.18</v>
      </c>
      <c r="G18" s="6">
        <f t="shared" si="4"/>
        <v>321.18</v>
      </c>
      <c r="H18" s="334">
        <f t="shared" si="4"/>
        <v>321.18</v>
      </c>
      <c r="I18" s="6">
        <f>+DATOS!T4+DATOS!S4+(DATOS!I142*3)</f>
        <v>516.52</v>
      </c>
      <c r="J18" s="334">
        <f t="shared" si="5"/>
        <v>516.52</v>
      </c>
      <c r="L18" s="6"/>
      <c r="M18" s="52"/>
      <c r="N18" s="52"/>
      <c r="O18" s="52"/>
      <c r="P18" s="52"/>
    </row>
    <row r="19" spans="2:16" ht="12.75">
      <c r="B19" s="183" t="s">
        <v>165</v>
      </c>
      <c r="C19" s="6">
        <f>+DATOS!S5</f>
        <v>100</v>
      </c>
      <c r="D19" s="334">
        <f t="shared" si="3"/>
        <v>100</v>
      </c>
      <c r="E19" s="6">
        <f t="shared" si="3"/>
        <v>100</v>
      </c>
      <c r="F19" s="334">
        <f>+E19</f>
        <v>100</v>
      </c>
      <c r="G19" s="6">
        <f t="shared" si="4"/>
        <v>100</v>
      </c>
      <c r="H19" s="334">
        <f t="shared" si="4"/>
        <v>100</v>
      </c>
      <c r="I19" s="6">
        <f>+H19</f>
        <v>100</v>
      </c>
      <c r="J19" s="334">
        <f t="shared" si="5"/>
        <v>100</v>
      </c>
      <c r="L19" s="6"/>
      <c r="M19" s="52"/>
      <c r="N19" s="52"/>
      <c r="O19" s="52"/>
      <c r="P19" s="52"/>
    </row>
    <row r="20" spans="2:16" ht="12.75">
      <c r="B20" s="183" t="s">
        <v>166</v>
      </c>
      <c r="C20" s="6">
        <f>+DATOS!S6</f>
        <v>1200</v>
      </c>
      <c r="D20" s="334">
        <f t="shared" si="3"/>
        <v>1200</v>
      </c>
      <c r="E20" s="6">
        <f t="shared" si="3"/>
        <v>1200</v>
      </c>
      <c r="F20" s="334">
        <f>+E20</f>
        <v>1200</v>
      </c>
      <c r="G20" s="6">
        <f t="shared" si="4"/>
        <v>1200</v>
      </c>
      <c r="H20" s="334">
        <f t="shared" si="4"/>
        <v>1200</v>
      </c>
      <c r="I20" s="6">
        <f>+H20</f>
        <v>1200</v>
      </c>
      <c r="J20" s="334">
        <f t="shared" si="5"/>
        <v>1200</v>
      </c>
      <c r="L20" s="6"/>
      <c r="M20" s="52"/>
      <c r="N20" s="52"/>
      <c r="O20" s="52"/>
      <c r="P20" s="52"/>
    </row>
    <row r="21" spans="2:16" ht="12.75">
      <c r="B21" s="183" t="s">
        <v>167</v>
      </c>
      <c r="C21" s="6">
        <f>+DATOS!S7</f>
        <v>2500</v>
      </c>
      <c r="D21" s="334">
        <f t="shared" si="3"/>
        <v>2500</v>
      </c>
      <c r="E21" s="6">
        <f t="shared" si="3"/>
        <v>2500</v>
      </c>
      <c r="F21" s="334">
        <f>+E21</f>
        <v>2500</v>
      </c>
      <c r="G21" s="6">
        <f t="shared" si="4"/>
        <v>2500</v>
      </c>
      <c r="H21" s="334">
        <f t="shared" si="4"/>
        <v>2500</v>
      </c>
      <c r="I21" s="6">
        <f>+H21</f>
        <v>2500</v>
      </c>
      <c r="J21" s="334">
        <f t="shared" si="5"/>
        <v>2500</v>
      </c>
      <c r="L21" s="6"/>
      <c r="M21" s="52"/>
      <c r="N21" s="52"/>
      <c r="O21" s="52"/>
      <c r="P21" s="52"/>
    </row>
    <row r="22" spans="2:16" ht="12.75">
      <c r="B22" s="183" t="s">
        <v>168</v>
      </c>
      <c r="C22" s="6">
        <f>+DATOS!S8</f>
        <v>500</v>
      </c>
      <c r="D22" s="334">
        <f t="shared" si="3"/>
        <v>500</v>
      </c>
      <c r="E22" s="6">
        <f t="shared" si="3"/>
        <v>500</v>
      </c>
      <c r="F22" s="334">
        <f>+E22</f>
        <v>500</v>
      </c>
      <c r="G22" s="6">
        <f t="shared" si="4"/>
        <v>500</v>
      </c>
      <c r="H22" s="334">
        <f t="shared" si="4"/>
        <v>500</v>
      </c>
      <c r="I22" s="6">
        <f>+H22</f>
        <v>500</v>
      </c>
      <c r="J22" s="334">
        <f t="shared" si="5"/>
        <v>500</v>
      </c>
      <c r="L22" s="6"/>
      <c r="M22" s="52"/>
      <c r="N22" s="52"/>
      <c r="O22" s="52"/>
      <c r="P22" s="52"/>
    </row>
    <row r="23" spans="2:16" s="3" customFormat="1" ht="12.75">
      <c r="B23" s="183" t="s">
        <v>169</v>
      </c>
      <c r="C23" s="6">
        <f>+DATOS!S11</f>
        <v>25000</v>
      </c>
      <c r="D23" s="334">
        <f>+C23</f>
        <v>25000</v>
      </c>
      <c r="E23" s="6">
        <f>+D23</f>
        <v>25000</v>
      </c>
      <c r="F23" s="334">
        <f>+E23</f>
        <v>25000</v>
      </c>
      <c r="G23" s="6">
        <f>+F23</f>
        <v>25000</v>
      </c>
      <c r="H23" s="334">
        <f>+DATOS!T11+DATOS!S11</f>
        <v>56154.548441328116</v>
      </c>
      <c r="I23" s="6">
        <f>+H23</f>
        <v>56154.548441328116</v>
      </c>
      <c r="J23" s="334">
        <f t="shared" si="5"/>
        <v>56154.548441328116</v>
      </c>
      <c r="L23" s="6"/>
      <c r="M23" s="6"/>
      <c r="N23" s="6"/>
      <c r="O23" s="173"/>
      <c r="P23" s="52"/>
    </row>
    <row r="24" spans="2:16" s="3" customFormat="1" ht="12.75">
      <c r="B24" s="183" t="s">
        <v>189</v>
      </c>
      <c r="C24" s="6">
        <f>+DATOS!S9</f>
        <v>200</v>
      </c>
      <c r="D24" s="334">
        <f aca="true" t="shared" si="6" ref="D24:J24">+C24</f>
        <v>200</v>
      </c>
      <c r="E24" s="6">
        <f t="shared" si="6"/>
        <v>200</v>
      </c>
      <c r="F24" s="334">
        <f t="shared" si="6"/>
        <v>200</v>
      </c>
      <c r="G24" s="6">
        <f t="shared" si="6"/>
        <v>200</v>
      </c>
      <c r="H24" s="334">
        <f t="shared" si="6"/>
        <v>200</v>
      </c>
      <c r="I24" s="6">
        <f t="shared" si="6"/>
        <v>200</v>
      </c>
      <c r="J24" s="334">
        <f t="shared" si="6"/>
        <v>200</v>
      </c>
      <c r="L24" s="6"/>
      <c r="M24" s="6"/>
      <c r="N24" s="6"/>
      <c r="O24" s="173"/>
      <c r="P24" s="52"/>
    </row>
    <row r="25" spans="2:16" ht="12.75">
      <c r="B25" s="183" t="s">
        <v>190</v>
      </c>
      <c r="C25" s="6"/>
      <c r="D25" s="331">
        <f>+DATOS!C150</f>
        <v>6413.333333333334</v>
      </c>
      <c r="E25" s="172">
        <f>+DATOS!D150</f>
        <v>12826.666666666668</v>
      </c>
      <c r="F25" s="331">
        <f>+DATOS!E150</f>
        <v>19240</v>
      </c>
      <c r="G25" s="172">
        <f>+DATOS!F150</f>
        <v>25792.146666666667</v>
      </c>
      <c r="H25" s="331">
        <f>+DATOS!G150</f>
        <v>32344.293333333335</v>
      </c>
      <c r="I25" s="172">
        <f>+DATOS!H150</f>
        <v>40250.546</v>
      </c>
      <c r="J25" s="331">
        <f>+DATOS!I150</f>
        <v>48315.208666666666</v>
      </c>
      <c r="L25" s="6"/>
      <c r="M25" s="6"/>
      <c r="N25" s="6"/>
      <c r="O25" s="185"/>
      <c r="P25" s="52"/>
    </row>
    <row r="26" spans="2:16" s="186" customFormat="1" ht="12.75">
      <c r="B26" s="184" t="s">
        <v>191</v>
      </c>
      <c r="C26" s="187">
        <f>+C17+C23+C22+C21+C20+C19+C18+C24-C25</f>
        <v>32450</v>
      </c>
      <c r="D26" s="395">
        <f aca="true" t="shared" si="7" ref="D26:J26">+D17+D23+D22+D21+D20+D19+D18+D24-D25</f>
        <v>26036.666666666664</v>
      </c>
      <c r="E26" s="187">
        <f t="shared" si="7"/>
        <v>19623.333333333332</v>
      </c>
      <c r="F26" s="395">
        <f t="shared" si="7"/>
        <v>16576.440000000002</v>
      </c>
      <c r="G26" s="187">
        <f t="shared" si="7"/>
        <v>10024.293333333335</v>
      </c>
      <c r="H26" s="395">
        <f t="shared" si="7"/>
        <v>34626.695107994776</v>
      </c>
      <c r="I26" s="187">
        <f t="shared" si="7"/>
        <v>30562.11244132812</v>
      </c>
      <c r="J26" s="395">
        <f t="shared" si="7"/>
        <v>22497.449774661458</v>
      </c>
      <c r="L26" s="187"/>
      <c r="M26" s="187"/>
      <c r="N26" s="187"/>
      <c r="O26" s="188"/>
      <c r="P26" s="189"/>
    </row>
    <row r="27" spans="2:16" ht="4.5" customHeight="1">
      <c r="B27" s="168"/>
      <c r="C27" s="190"/>
      <c r="D27" s="331"/>
      <c r="E27" s="172"/>
      <c r="F27" s="331"/>
      <c r="G27" s="172"/>
      <c r="H27" s="331"/>
      <c r="I27" s="172"/>
      <c r="J27" s="331"/>
      <c r="L27" s="6"/>
      <c r="M27" s="6"/>
      <c r="N27" s="6"/>
      <c r="O27" s="173"/>
      <c r="P27" s="52"/>
    </row>
    <row r="28" spans="2:36" s="3" customFormat="1" ht="12.75">
      <c r="B28" s="182" t="s">
        <v>192</v>
      </c>
      <c r="C28" s="170">
        <f aca="true" t="shared" si="8" ref="C28:J28">+C26+C14+C11</f>
        <v>105000</v>
      </c>
      <c r="D28" s="394">
        <f t="shared" si="8"/>
        <v>35667.5123762909</v>
      </c>
      <c r="E28" s="170">
        <f t="shared" si="8"/>
        <v>62910.92310641463</v>
      </c>
      <c r="F28" s="394">
        <f t="shared" si="8"/>
        <v>115242.22413347493</v>
      </c>
      <c r="G28" s="170">
        <f t="shared" si="8"/>
        <v>194515.32700741294</v>
      </c>
      <c r="H28" s="394">
        <f t="shared" si="8"/>
        <v>285580.46884009545</v>
      </c>
      <c r="I28" s="170">
        <f t="shared" si="8"/>
        <v>384195.8699139572</v>
      </c>
      <c r="J28" s="394">
        <f t="shared" si="8"/>
        <v>506458.3080399353</v>
      </c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</row>
    <row r="29" spans="2:16" ht="6" customHeight="1">
      <c r="B29" s="171"/>
      <c r="C29" s="172"/>
      <c r="D29" s="331"/>
      <c r="E29" s="172"/>
      <c r="F29" s="331"/>
      <c r="G29" s="172"/>
      <c r="H29" s="331"/>
      <c r="I29" s="172"/>
      <c r="J29" s="331"/>
      <c r="K29" s="191"/>
      <c r="L29" s="6"/>
      <c r="M29" s="6"/>
      <c r="N29" s="6"/>
      <c r="O29" s="173"/>
      <c r="P29" s="52"/>
    </row>
    <row r="30" spans="2:16" ht="12.75">
      <c r="B30" s="182" t="s">
        <v>193</v>
      </c>
      <c r="C30" s="172"/>
      <c r="D30" s="331"/>
      <c r="E30" s="172"/>
      <c r="F30" s="331"/>
      <c r="G30" s="172"/>
      <c r="H30" s="331"/>
      <c r="I30" s="172"/>
      <c r="J30" s="331"/>
      <c r="K30" s="191"/>
      <c r="L30" s="6"/>
      <c r="M30" s="6"/>
      <c r="N30" s="6"/>
      <c r="O30" s="173"/>
      <c r="P30" s="52"/>
    </row>
    <row r="31" spans="2:16" ht="12.75">
      <c r="B31" s="183" t="s">
        <v>194</v>
      </c>
      <c r="C31" s="172">
        <f>+DATOS!C129</f>
        <v>13082.916618211413</v>
      </c>
      <c r="D31" s="331">
        <f>+DATOS!C130</f>
        <v>14914.524944761011</v>
      </c>
      <c r="E31" s="172">
        <f>+DATOS!C131</f>
        <v>17002.558437027554</v>
      </c>
      <c r="F31" s="331">
        <f>+'[1]ESTIMACION 1'!E110</f>
        <v>0</v>
      </c>
      <c r="G31" s="172">
        <v>0</v>
      </c>
      <c r="H31" s="331">
        <v>0</v>
      </c>
      <c r="I31" s="172">
        <v>0</v>
      </c>
      <c r="J31" s="331">
        <v>0</v>
      </c>
      <c r="K31" s="191"/>
      <c r="L31" s="6"/>
      <c r="M31" s="6"/>
      <c r="N31" s="6"/>
      <c r="O31" s="173"/>
      <c r="P31" s="52"/>
    </row>
    <row r="32" spans="2:16" ht="4.5" customHeight="1">
      <c r="B32" s="183"/>
      <c r="C32" s="172"/>
      <c r="D32" s="331"/>
      <c r="E32" s="172"/>
      <c r="F32" s="331"/>
      <c r="G32" s="172"/>
      <c r="H32" s="331"/>
      <c r="I32" s="172"/>
      <c r="J32" s="331"/>
      <c r="K32" s="191"/>
      <c r="L32" s="6"/>
      <c r="M32" s="6"/>
      <c r="N32" s="6"/>
      <c r="O32" s="173"/>
      <c r="P32" s="52"/>
    </row>
    <row r="33" spans="2:16" ht="12.75">
      <c r="B33" s="182" t="s">
        <v>195</v>
      </c>
      <c r="C33" s="172">
        <f>+DATOS!E129</f>
        <v>31917.083381788587</v>
      </c>
      <c r="D33" s="331">
        <f>+DATOS!E130</f>
        <v>17002.558437027576</v>
      </c>
      <c r="E33" s="172">
        <f>+DATOS!E131</f>
        <v>0</v>
      </c>
      <c r="F33" s="331"/>
      <c r="G33" s="172"/>
      <c r="H33" s="331"/>
      <c r="I33" s="172"/>
      <c r="J33" s="331"/>
      <c r="K33" s="191"/>
      <c r="L33" s="6"/>
      <c r="M33" s="6"/>
      <c r="N33" s="6"/>
      <c r="O33" s="173"/>
      <c r="P33" s="52"/>
    </row>
    <row r="34" spans="2:16" ht="6" customHeight="1">
      <c r="B34" s="182"/>
      <c r="C34" s="172"/>
      <c r="D34" s="331"/>
      <c r="E34" s="172"/>
      <c r="F34" s="331"/>
      <c r="G34" s="172"/>
      <c r="H34" s="331"/>
      <c r="I34" s="172"/>
      <c r="J34" s="331"/>
      <c r="K34" s="191"/>
      <c r="L34" s="6"/>
      <c r="M34" s="6"/>
      <c r="N34" s="6"/>
      <c r="O34" s="173"/>
      <c r="P34" s="52"/>
    </row>
    <row r="35" spans="2:16" s="3" customFormat="1" ht="12.75">
      <c r="B35" s="182" t="s">
        <v>196</v>
      </c>
      <c r="C35" s="170">
        <f>+C33+C31</f>
        <v>45000</v>
      </c>
      <c r="D35" s="394">
        <f aca="true" t="shared" si="9" ref="D35:J35">+D33+D31</f>
        <v>31917.083381788587</v>
      </c>
      <c r="E35" s="170">
        <f t="shared" si="9"/>
        <v>17002.558437027554</v>
      </c>
      <c r="F35" s="394">
        <f t="shared" si="9"/>
        <v>0</v>
      </c>
      <c r="G35" s="170">
        <f t="shared" si="9"/>
        <v>0</v>
      </c>
      <c r="H35" s="394">
        <f t="shared" si="9"/>
        <v>0</v>
      </c>
      <c r="I35" s="170">
        <f t="shared" si="9"/>
        <v>0</v>
      </c>
      <c r="J35" s="394">
        <f t="shared" si="9"/>
        <v>0</v>
      </c>
      <c r="K35" s="194"/>
      <c r="L35" s="133"/>
      <c r="M35" s="133"/>
      <c r="N35" s="133"/>
      <c r="O35" s="173"/>
      <c r="P35" s="61"/>
    </row>
    <row r="36" spans="2:16" ht="5.25" customHeight="1">
      <c r="B36" s="171"/>
      <c r="C36" s="172"/>
      <c r="D36" s="331"/>
      <c r="E36" s="172"/>
      <c r="F36" s="331"/>
      <c r="G36" s="172"/>
      <c r="H36" s="331"/>
      <c r="I36" s="172"/>
      <c r="J36" s="331"/>
      <c r="K36" s="174"/>
      <c r="L36" s="175"/>
      <c r="M36" s="52"/>
      <c r="N36" s="52"/>
      <c r="O36" s="52"/>
      <c r="P36" s="52"/>
    </row>
    <row r="37" spans="2:16" ht="12.75">
      <c r="B37" s="182" t="s">
        <v>197</v>
      </c>
      <c r="C37" s="172"/>
      <c r="D37" s="331"/>
      <c r="E37" s="172"/>
      <c r="F37" s="331"/>
      <c r="G37" s="172"/>
      <c r="H37" s="331"/>
      <c r="I37" s="172"/>
      <c r="J37" s="331"/>
      <c r="K37" s="174"/>
      <c r="L37" s="175"/>
      <c r="M37" s="52"/>
      <c r="N37" s="52"/>
      <c r="O37" s="52"/>
      <c r="P37" s="52"/>
    </row>
    <row r="38" spans="2:16" ht="12.75">
      <c r="B38" s="183" t="s">
        <v>198</v>
      </c>
      <c r="C38" s="172">
        <f>+'FLUJO FRANQUICIA'!C17</f>
        <v>60000</v>
      </c>
      <c r="D38" s="331">
        <f aca="true" t="shared" si="10" ref="D38:J38">+C38</f>
        <v>60000</v>
      </c>
      <c r="E38" s="172">
        <f t="shared" si="10"/>
        <v>60000</v>
      </c>
      <c r="F38" s="331">
        <f t="shared" si="10"/>
        <v>60000</v>
      </c>
      <c r="G38" s="172">
        <f t="shared" si="10"/>
        <v>60000</v>
      </c>
      <c r="H38" s="331">
        <f t="shared" si="10"/>
        <v>60000</v>
      </c>
      <c r="I38" s="172">
        <f t="shared" si="10"/>
        <v>60000</v>
      </c>
      <c r="J38" s="331">
        <f t="shared" si="10"/>
        <v>60000</v>
      </c>
      <c r="K38" s="174"/>
      <c r="L38" s="175"/>
      <c r="M38" s="52"/>
      <c r="N38" s="52"/>
      <c r="O38" s="52"/>
      <c r="P38" s="52"/>
    </row>
    <row r="39" spans="2:16" ht="12.75">
      <c r="B39" s="183" t="s">
        <v>199</v>
      </c>
      <c r="C39" s="172">
        <v>0</v>
      </c>
      <c r="D39" s="331">
        <v>0</v>
      </c>
      <c r="E39" s="172">
        <f>D40</f>
        <v>-56249.57100549771</v>
      </c>
      <c r="F39" s="331">
        <f>+E40+E39</f>
        <v>-14091.635330613004</v>
      </c>
      <c r="G39" s="172">
        <f>+F40+F39</f>
        <v>55242.224202224854</v>
      </c>
      <c r="H39" s="331">
        <f>+G40+G39</f>
        <v>134515.32707616285</v>
      </c>
      <c r="I39" s="172">
        <f>+H40+H39</f>
        <v>225580.4689088453</v>
      </c>
      <c r="J39" s="331">
        <f>+I40+I39</f>
        <v>324195.8673510072</v>
      </c>
      <c r="K39" s="174"/>
      <c r="L39" s="175"/>
      <c r="M39" s="52"/>
      <c r="N39" s="52"/>
      <c r="O39" s="52"/>
      <c r="P39" s="52"/>
    </row>
    <row r="40" spans="2:16" ht="12.75">
      <c r="B40" s="183" t="s">
        <v>200</v>
      </c>
      <c r="C40" s="172">
        <v>0</v>
      </c>
      <c r="D40" s="331">
        <f>+'P&amp;G FRANQUICIA'!D48</f>
        <v>-56249.57100549771</v>
      </c>
      <c r="E40" s="172">
        <f>+'P&amp;G FRANQUICIA'!E48</f>
        <v>42157.935674884706</v>
      </c>
      <c r="F40" s="331">
        <f>+'P&amp;G FRANQUICIA'!F48</f>
        <v>69333.85953283786</v>
      </c>
      <c r="G40" s="172">
        <f>+'P&amp;G FRANQUICIA'!G48</f>
        <v>79273.102873938</v>
      </c>
      <c r="H40" s="331">
        <f>+'P&amp;G FRANQUICIA'!H48</f>
        <v>91065.14183268245</v>
      </c>
      <c r="I40" s="172">
        <f>+'P&amp;G FRANQUICIA'!I48</f>
        <v>98615.39844216187</v>
      </c>
      <c r="J40" s="331">
        <f>+'P&amp;G FRANQUICIA'!J48</f>
        <v>122262.43812597805</v>
      </c>
      <c r="K40" s="174"/>
      <c r="L40" s="175"/>
      <c r="M40" s="52"/>
      <c r="N40" s="52"/>
      <c r="O40" s="52"/>
      <c r="P40" s="52"/>
    </row>
    <row r="41" spans="2:16" s="3" customFormat="1" ht="12.75">
      <c r="B41" s="184" t="s">
        <v>201</v>
      </c>
      <c r="C41" s="170">
        <f>+C40+C39+C38</f>
        <v>60000</v>
      </c>
      <c r="D41" s="394">
        <f>+D40+D39+D38</f>
        <v>3750.42899450229</v>
      </c>
      <c r="E41" s="170">
        <f aca="true" t="shared" si="11" ref="E41:J41">+E40+E39+E38</f>
        <v>45908.364669386996</v>
      </c>
      <c r="F41" s="394">
        <f t="shared" si="11"/>
        <v>115242.22420222485</v>
      </c>
      <c r="G41" s="170">
        <f t="shared" si="11"/>
        <v>194515.32707616285</v>
      </c>
      <c r="H41" s="394">
        <f t="shared" si="11"/>
        <v>285580.46890884533</v>
      </c>
      <c r="I41" s="170">
        <f t="shared" si="11"/>
        <v>384195.8673510072</v>
      </c>
      <c r="J41" s="394">
        <f t="shared" si="11"/>
        <v>506458.30547698523</v>
      </c>
      <c r="K41" s="192"/>
      <c r="L41" s="193"/>
      <c r="M41" s="61"/>
      <c r="N41" s="61"/>
      <c r="O41" s="61"/>
      <c r="P41" s="61"/>
    </row>
    <row r="42" spans="2:16" ht="6" customHeight="1">
      <c r="B42" s="171"/>
      <c r="C42" s="172"/>
      <c r="D42" s="331"/>
      <c r="E42" s="172"/>
      <c r="F42" s="331"/>
      <c r="G42" s="172"/>
      <c r="H42" s="331"/>
      <c r="I42" s="172"/>
      <c r="J42" s="331"/>
      <c r="K42" s="174"/>
      <c r="L42" s="175"/>
      <c r="M42" s="52"/>
      <c r="N42" s="52"/>
      <c r="O42" s="52"/>
      <c r="P42" s="52"/>
    </row>
    <row r="43" spans="2:16" s="3" customFormat="1" ht="12.75">
      <c r="B43" s="169" t="s">
        <v>202</v>
      </c>
      <c r="C43" s="170">
        <f>+C41+C35</f>
        <v>105000</v>
      </c>
      <c r="D43" s="394">
        <f>+D41+D35</f>
        <v>35667.51237629088</v>
      </c>
      <c r="E43" s="170">
        <f>+E41+E35</f>
        <v>62910.92310641455</v>
      </c>
      <c r="F43" s="394">
        <f>+F41+F35</f>
        <v>115242.22420222485</v>
      </c>
      <c r="G43" s="170">
        <f>+G41+G35</f>
        <v>194515.32707616285</v>
      </c>
      <c r="H43" s="394">
        <f>+H41+H31</f>
        <v>285580.46890884533</v>
      </c>
      <c r="I43" s="170">
        <f>+I41+I31</f>
        <v>384195.8673510072</v>
      </c>
      <c r="J43" s="394">
        <f>+J41+J31</f>
        <v>506458.30547698523</v>
      </c>
      <c r="K43" s="194"/>
      <c r="L43" s="193"/>
      <c r="M43" s="61"/>
      <c r="N43" s="61"/>
      <c r="O43" s="61"/>
      <c r="P43" s="61"/>
    </row>
    <row r="44" spans="2:16" s="3" customFormat="1" ht="13.5" thickBot="1">
      <c r="B44" s="195"/>
      <c r="C44" s="196"/>
      <c r="D44" s="396"/>
      <c r="E44" s="196"/>
      <c r="F44" s="396"/>
      <c r="G44" s="196"/>
      <c r="H44" s="396"/>
      <c r="I44" s="196"/>
      <c r="J44" s="396"/>
      <c r="K44" s="194"/>
      <c r="L44" s="74"/>
      <c r="M44" s="74"/>
      <c r="N44" s="74"/>
      <c r="O44" s="74"/>
      <c r="P44" s="74"/>
    </row>
    <row r="45" spans="3:11" s="74" customFormat="1" ht="12.75">
      <c r="C45" s="170"/>
      <c r="D45" s="170"/>
      <c r="E45" s="170"/>
      <c r="F45" s="170"/>
      <c r="G45" s="170"/>
      <c r="H45" s="170"/>
      <c r="I45" s="170"/>
      <c r="J45" s="170"/>
      <c r="K45" s="197"/>
    </row>
    <row r="46" spans="2:10" s="129" customFormat="1" ht="12.75">
      <c r="B46" s="198"/>
      <c r="C46" s="131"/>
      <c r="D46" s="6"/>
      <c r="E46" s="6"/>
      <c r="F46" s="6"/>
      <c r="G46" s="6"/>
      <c r="H46" s="6"/>
      <c r="I46" s="6"/>
      <c r="J46" s="6"/>
    </row>
    <row r="47" spans="2:10" s="129" customFormat="1" ht="12.75">
      <c r="B47" s="199"/>
      <c r="C47" s="6"/>
      <c r="D47" s="6"/>
      <c r="E47" s="6"/>
      <c r="F47" s="6"/>
      <c r="G47" s="6"/>
      <c r="H47" s="6"/>
      <c r="I47" s="6"/>
      <c r="J47" s="6"/>
    </row>
    <row r="48" spans="6:16" ht="12.75">
      <c r="F48" s="177"/>
      <c r="L48" s="129"/>
      <c r="M48" s="129"/>
      <c r="N48" s="129"/>
      <c r="O48" s="129"/>
      <c r="P48" s="129"/>
    </row>
    <row r="49" spans="6:16" ht="12.75">
      <c r="F49" s="178"/>
      <c r="L49" s="129"/>
      <c r="M49" s="129"/>
      <c r="N49" s="129"/>
      <c r="O49" s="129"/>
      <c r="P49" s="129"/>
    </row>
    <row r="50" spans="6:16" ht="12.75">
      <c r="F50" s="177"/>
      <c r="L50" s="129"/>
      <c r="M50" s="129"/>
      <c r="N50" s="129"/>
      <c r="O50" s="129"/>
      <c r="P50" s="129"/>
    </row>
    <row r="51" spans="12:16" ht="12.75">
      <c r="L51" s="129"/>
      <c r="M51" s="129"/>
      <c r="N51" s="129"/>
      <c r="O51" s="129"/>
      <c r="P51" s="129"/>
    </row>
    <row r="52" spans="6:16" ht="21" customHeight="1">
      <c r="F52" s="200"/>
      <c r="G52" s="201"/>
      <c r="L52" s="129"/>
      <c r="M52" s="129"/>
      <c r="N52" s="129"/>
      <c r="O52" s="129"/>
      <c r="P52" s="129"/>
    </row>
    <row r="53" spans="5:16" ht="12.75">
      <c r="E53" s="261"/>
      <c r="F53" s="139"/>
      <c r="L53" s="129"/>
      <c r="M53" s="129"/>
      <c r="N53" s="129"/>
      <c r="O53" s="129"/>
      <c r="P53" s="129"/>
    </row>
    <row r="54" spans="6:16" ht="12.75">
      <c r="F54" s="139"/>
      <c r="L54" s="129"/>
      <c r="M54" s="129"/>
      <c r="N54" s="129"/>
      <c r="O54" s="129"/>
      <c r="P54" s="129"/>
    </row>
    <row r="55" spans="6:16" ht="12.75">
      <c r="F55" s="139"/>
      <c r="L55" s="129"/>
      <c r="M55" s="129"/>
      <c r="N55" s="129"/>
      <c r="O55" s="129"/>
      <c r="P55" s="129"/>
    </row>
    <row r="56" spans="6:16" ht="12.75">
      <c r="F56" s="139"/>
      <c r="L56" s="129"/>
      <c r="M56" s="129"/>
      <c r="N56" s="129"/>
      <c r="O56" s="129"/>
      <c r="P56" s="129"/>
    </row>
    <row r="57" spans="6:16" ht="12.75">
      <c r="F57" s="139"/>
      <c r="L57" s="129"/>
      <c r="M57" s="129"/>
      <c r="N57" s="129"/>
      <c r="O57" s="129"/>
      <c r="P57" s="129"/>
    </row>
    <row r="58" spans="6:16" ht="12.75">
      <c r="F58" s="143"/>
      <c r="L58" s="129"/>
      <c r="M58" s="129"/>
      <c r="N58" s="129"/>
      <c r="O58" s="129"/>
      <c r="P58" s="129"/>
    </row>
    <row r="59" spans="12:16" ht="12.75">
      <c r="L59" s="129"/>
      <c r="M59" s="129"/>
      <c r="N59" s="129"/>
      <c r="O59" s="129"/>
      <c r="P59" s="129"/>
    </row>
    <row r="60" spans="12:16" ht="12.75">
      <c r="L60" s="129"/>
      <c r="M60" s="129"/>
      <c r="N60" s="129"/>
      <c r="O60" s="129"/>
      <c r="P60" s="129"/>
    </row>
    <row r="61" spans="12:16" ht="12.75">
      <c r="L61" s="129"/>
      <c r="M61" s="129"/>
      <c r="N61" s="129"/>
      <c r="O61" s="129"/>
      <c r="P61" s="129"/>
    </row>
    <row r="62" spans="12:16" ht="12.75">
      <c r="L62" s="129"/>
      <c r="M62" s="129"/>
      <c r="N62" s="129"/>
      <c r="O62" s="129"/>
      <c r="P62" s="129"/>
    </row>
    <row r="63" spans="12:16" ht="12.75">
      <c r="L63" s="129"/>
      <c r="M63" s="129"/>
      <c r="N63" s="129"/>
      <c r="O63" s="129"/>
      <c r="P63" s="129"/>
    </row>
    <row r="64" spans="12:16" ht="12.75">
      <c r="L64" s="129"/>
      <c r="M64" s="129"/>
      <c r="N64" s="129"/>
      <c r="O64" s="129"/>
      <c r="P64" s="129"/>
    </row>
    <row r="65" spans="12:16" ht="12.75">
      <c r="L65" s="129"/>
      <c r="M65" s="129"/>
      <c r="N65" s="129"/>
      <c r="O65" s="129"/>
      <c r="P65" s="129"/>
    </row>
    <row r="66" spans="12:16" ht="12.75">
      <c r="L66" s="129"/>
      <c r="M66" s="129"/>
      <c r="N66" s="129"/>
      <c r="O66" s="129"/>
      <c r="P66" s="129"/>
    </row>
    <row r="67" spans="12:16" ht="12.75">
      <c r="L67" s="129"/>
      <c r="M67" s="129"/>
      <c r="N67" s="129"/>
      <c r="O67" s="129"/>
      <c r="P67" s="129"/>
    </row>
    <row r="68" spans="12:16" ht="12.75">
      <c r="L68" s="129"/>
      <c r="M68" s="129"/>
      <c r="N68" s="129"/>
      <c r="O68" s="129"/>
      <c r="P68" s="129"/>
    </row>
    <row r="69" spans="12:16" ht="12.75">
      <c r="L69" s="129"/>
      <c r="M69" s="129"/>
      <c r="N69" s="129"/>
      <c r="O69" s="129"/>
      <c r="P69" s="129"/>
    </row>
    <row r="70" spans="12:16" ht="12.75">
      <c r="L70" s="129"/>
      <c r="M70" s="129"/>
      <c r="N70" s="129"/>
      <c r="O70" s="129"/>
      <c r="P70" s="129"/>
    </row>
    <row r="71" spans="12:16" ht="12.75">
      <c r="L71" s="129"/>
      <c r="M71" s="129"/>
      <c r="N71" s="129"/>
      <c r="O71" s="129"/>
      <c r="P71" s="129"/>
    </row>
    <row r="72" spans="12:16" ht="12.75">
      <c r="L72" s="129"/>
      <c r="M72" s="129"/>
      <c r="N72" s="129"/>
      <c r="O72" s="129"/>
      <c r="P72" s="129"/>
    </row>
    <row r="73" spans="12:16" ht="12.75">
      <c r="L73" s="129"/>
      <c r="M73" s="129"/>
      <c r="N73" s="129"/>
      <c r="O73" s="129"/>
      <c r="P73" s="129"/>
    </row>
    <row r="74" spans="12:16" ht="12.75">
      <c r="L74" s="129"/>
      <c r="M74" s="129"/>
      <c r="N74" s="129"/>
      <c r="O74" s="129"/>
      <c r="P74" s="129"/>
    </row>
    <row r="75" spans="12:16" ht="12.75">
      <c r="L75" s="129"/>
      <c r="M75" s="129"/>
      <c r="N75" s="129"/>
      <c r="O75" s="129"/>
      <c r="P75" s="129"/>
    </row>
    <row r="76" spans="12:16" ht="12.75">
      <c r="L76" s="129"/>
      <c r="M76" s="129"/>
      <c r="N76" s="129"/>
      <c r="O76" s="129"/>
      <c r="P76" s="129"/>
    </row>
    <row r="77" spans="12:16" ht="12.75">
      <c r="L77" s="129"/>
      <c r="M77" s="129"/>
      <c r="N77" s="129"/>
      <c r="O77" s="129"/>
      <c r="P77" s="129"/>
    </row>
    <row r="78" spans="12:16" ht="12.75">
      <c r="L78" s="129"/>
      <c r="M78" s="129"/>
      <c r="N78" s="129"/>
      <c r="O78" s="129"/>
      <c r="P78" s="129"/>
    </row>
    <row r="79" spans="12:16" ht="12.75">
      <c r="L79" s="129"/>
      <c r="M79" s="129"/>
      <c r="N79" s="129"/>
      <c r="O79" s="129"/>
      <c r="P79" s="129"/>
    </row>
    <row r="80" spans="12:16" ht="12.75">
      <c r="L80" s="129"/>
      <c r="M80" s="129"/>
      <c r="N80" s="129"/>
      <c r="O80" s="129"/>
      <c r="P80" s="129"/>
    </row>
    <row r="81" spans="12:16" ht="12.75">
      <c r="L81" s="129"/>
      <c r="M81" s="129"/>
      <c r="N81" s="129"/>
      <c r="O81" s="129"/>
      <c r="P81" s="129"/>
    </row>
    <row r="82" spans="12:16" ht="12.75">
      <c r="L82" s="129"/>
      <c r="M82" s="129"/>
      <c r="N82" s="129"/>
      <c r="O82" s="129"/>
      <c r="P82" s="129"/>
    </row>
    <row r="83" spans="12:16" ht="12.75">
      <c r="L83" s="129"/>
      <c r="M83" s="129"/>
      <c r="N83" s="129"/>
      <c r="O83" s="129"/>
      <c r="P83" s="129"/>
    </row>
    <row r="84" spans="12:16" ht="12.75">
      <c r="L84" s="129"/>
      <c r="M84" s="129"/>
      <c r="N84" s="129"/>
      <c r="O84" s="129"/>
      <c r="P84" s="129"/>
    </row>
    <row r="85" spans="12:16" ht="12.75">
      <c r="L85" s="129"/>
      <c r="M85" s="129"/>
      <c r="N85" s="129"/>
      <c r="O85" s="129"/>
      <c r="P85" s="129"/>
    </row>
    <row r="86" spans="12:16" ht="12.75">
      <c r="L86" s="129"/>
      <c r="M86" s="129"/>
      <c r="N86" s="129"/>
      <c r="O86" s="129"/>
      <c r="P86" s="129"/>
    </row>
    <row r="87" spans="12:16" ht="12.75">
      <c r="L87" s="129"/>
      <c r="M87" s="129"/>
      <c r="N87" s="129"/>
      <c r="O87" s="129"/>
      <c r="P87" s="129"/>
    </row>
    <row r="88" spans="12:16" ht="12.75">
      <c r="L88" s="129"/>
      <c r="M88" s="129"/>
      <c r="N88" s="129"/>
      <c r="O88" s="129"/>
      <c r="P88" s="129"/>
    </row>
    <row r="89" spans="12:16" ht="12.75">
      <c r="L89" s="129"/>
      <c r="M89" s="129"/>
      <c r="N89" s="129"/>
      <c r="O89" s="129"/>
      <c r="P89" s="129"/>
    </row>
    <row r="90" spans="12:16" ht="12.75">
      <c r="L90" s="129"/>
      <c r="M90" s="129"/>
      <c r="N90" s="129"/>
      <c r="O90" s="129"/>
      <c r="P90" s="129"/>
    </row>
    <row r="91" spans="12:16" ht="12.75">
      <c r="L91" s="129"/>
      <c r="M91" s="129"/>
      <c r="N91" s="129"/>
      <c r="O91" s="129"/>
      <c r="P91" s="129"/>
    </row>
    <row r="92" spans="12:16" ht="12.75">
      <c r="L92" s="129"/>
      <c r="M92" s="129"/>
      <c r="N92" s="129"/>
      <c r="O92" s="129"/>
      <c r="P92" s="129"/>
    </row>
    <row r="93" spans="12:16" ht="12.75">
      <c r="L93" s="129"/>
      <c r="M93" s="129"/>
      <c r="N93" s="129"/>
      <c r="O93" s="129"/>
      <c r="P93" s="129"/>
    </row>
    <row r="94" spans="12:16" ht="12.75">
      <c r="L94" s="129"/>
      <c r="M94" s="129"/>
      <c r="N94" s="129"/>
      <c r="O94" s="129"/>
      <c r="P94" s="129"/>
    </row>
    <row r="95" spans="12:16" ht="12.75">
      <c r="L95" s="129"/>
      <c r="M95" s="129"/>
      <c r="N95" s="129"/>
      <c r="O95" s="129"/>
      <c r="P95" s="129"/>
    </row>
    <row r="96" spans="12:16" ht="12.75">
      <c r="L96" s="129"/>
      <c r="M96" s="129"/>
      <c r="N96" s="129"/>
      <c r="O96" s="129"/>
      <c r="P96" s="129"/>
    </row>
    <row r="97" spans="12:16" ht="12.75">
      <c r="L97" s="129"/>
      <c r="M97" s="129"/>
      <c r="N97" s="129"/>
      <c r="O97" s="129"/>
      <c r="P97" s="129"/>
    </row>
    <row r="98" spans="12:16" ht="12.75">
      <c r="L98" s="129"/>
      <c r="M98" s="129"/>
      <c r="N98" s="129"/>
      <c r="O98" s="129"/>
      <c r="P98" s="129"/>
    </row>
    <row r="99" spans="12:16" ht="12.75">
      <c r="L99" s="129"/>
      <c r="M99" s="129"/>
      <c r="N99" s="129"/>
      <c r="O99" s="129"/>
      <c r="P99" s="129"/>
    </row>
    <row r="100" spans="12:16" ht="12.75">
      <c r="L100" s="129"/>
      <c r="M100" s="129"/>
      <c r="N100" s="129"/>
      <c r="O100" s="129"/>
      <c r="P100" s="129"/>
    </row>
    <row r="101" spans="12:16" ht="12.75">
      <c r="L101" s="129"/>
      <c r="M101" s="129"/>
      <c r="N101" s="129"/>
      <c r="O101" s="129"/>
      <c r="P101" s="129"/>
    </row>
    <row r="102" spans="12:16" ht="12.75">
      <c r="L102" s="129"/>
      <c r="M102" s="129"/>
      <c r="N102" s="129"/>
      <c r="O102" s="129"/>
      <c r="P102" s="129"/>
    </row>
    <row r="103" spans="12:16" ht="12.75">
      <c r="L103" s="129"/>
      <c r="M103" s="129"/>
      <c r="N103" s="129"/>
      <c r="O103" s="129"/>
      <c r="P103" s="129"/>
    </row>
    <row r="104" spans="12:16" ht="12.75">
      <c r="L104" s="129"/>
      <c r="M104" s="129"/>
      <c r="N104" s="129"/>
      <c r="O104" s="129"/>
      <c r="P104" s="129"/>
    </row>
    <row r="105" spans="12:16" ht="12.75">
      <c r="L105" s="129"/>
      <c r="M105" s="129"/>
      <c r="N105" s="129"/>
      <c r="O105" s="129"/>
      <c r="P105" s="129"/>
    </row>
    <row r="106" spans="12:16" ht="12.75">
      <c r="L106" s="129"/>
      <c r="M106" s="129"/>
      <c r="N106" s="129"/>
      <c r="O106" s="129"/>
      <c r="P106" s="129"/>
    </row>
    <row r="107" spans="12:16" ht="12.75">
      <c r="L107" s="129"/>
      <c r="M107" s="129"/>
      <c r="N107" s="129"/>
      <c r="O107" s="129"/>
      <c r="P107" s="129"/>
    </row>
    <row r="108" spans="12:16" ht="12.75">
      <c r="L108" s="129"/>
      <c r="M108" s="129"/>
      <c r="N108" s="129"/>
      <c r="O108" s="129"/>
      <c r="P108" s="129"/>
    </row>
    <row r="109" spans="12:16" ht="12.75">
      <c r="L109" s="129"/>
      <c r="M109" s="129"/>
      <c r="N109" s="129"/>
      <c r="O109" s="129"/>
      <c r="P109" s="129"/>
    </row>
    <row r="110" spans="12:16" ht="12.75">
      <c r="L110" s="129"/>
      <c r="M110" s="129"/>
      <c r="N110" s="129"/>
      <c r="O110" s="129"/>
      <c r="P110" s="129"/>
    </row>
    <row r="111" spans="12:16" ht="12.75">
      <c r="L111" s="129"/>
      <c r="M111" s="129"/>
      <c r="N111" s="129"/>
      <c r="O111" s="129"/>
      <c r="P111" s="129"/>
    </row>
    <row r="112" spans="12:16" ht="12.75">
      <c r="L112" s="129"/>
      <c r="M112" s="129"/>
      <c r="N112" s="129"/>
      <c r="O112" s="129"/>
      <c r="P112" s="129"/>
    </row>
    <row r="113" spans="12:16" ht="12.75">
      <c r="L113" s="129"/>
      <c r="M113" s="129"/>
      <c r="N113" s="129"/>
      <c r="O113" s="129"/>
      <c r="P113" s="129"/>
    </row>
    <row r="114" spans="12:16" ht="12.75">
      <c r="L114" s="129"/>
      <c r="M114" s="129"/>
      <c r="N114" s="129"/>
      <c r="O114" s="129"/>
      <c r="P114" s="129"/>
    </row>
    <row r="115" spans="12:16" ht="12.75">
      <c r="L115" s="129"/>
      <c r="M115" s="129"/>
      <c r="N115" s="129"/>
      <c r="O115" s="129"/>
      <c r="P115" s="129"/>
    </row>
    <row r="116" spans="12:16" ht="12.75">
      <c r="L116" s="129"/>
      <c r="M116" s="129"/>
      <c r="N116" s="129"/>
      <c r="O116" s="129"/>
      <c r="P116" s="129"/>
    </row>
    <row r="117" spans="12:16" ht="12.75">
      <c r="L117" s="129"/>
      <c r="M117" s="129"/>
      <c r="N117" s="129"/>
      <c r="O117" s="129"/>
      <c r="P117" s="129"/>
    </row>
    <row r="118" spans="12:16" ht="12.75">
      <c r="L118" s="129"/>
      <c r="M118" s="129"/>
      <c r="N118" s="129"/>
      <c r="O118" s="129"/>
      <c r="P118" s="129"/>
    </row>
    <row r="119" spans="12:16" ht="12.75">
      <c r="L119" s="129"/>
      <c r="M119" s="129"/>
      <c r="N119" s="129"/>
      <c r="O119" s="129"/>
      <c r="P119" s="129"/>
    </row>
    <row r="120" spans="12:16" ht="12.75">
      <c r="L120" s="129"/>
      <c r="M120" s="129"/>
      <c r="N120" s="129"/>
      <c r="O120" s="129"/>
      <c r="P120" s="129"/>
    </row>
    <row r="121" spans="12:16" ht="12.75">
      <c r="L121" s="129"/>
      <c r="M121" s="129"/>
      <c r="N121" s="129"/>
      <c r="O121" s="129"/>
      <c r="P121" s="129"/>
    </row>
    <row r="122" spans="12:16" ht="12.75">
      <c r="L122" s="129"/>
      <c r="M122" s="129"/>
      <c r="N122" s="129"/>
      <c r="O122" s="129"/>
      <c r="P122" s="129"/>
    </row>
    <row r="123" spans="12:16" ht="12.75">
      <c r="L123" s="129"/>
      <c r="M123" s="129"/>
      <c r="N123" s="129"/>
      <c r="O123" s="129"/>
      <c r="P123" s="129"/>
    </row>
    <row r="124" spans="12:16" ht="12.75">
      <c r="L124" s="129"/>
      <c r="M124" s="129"/>
      <c r="N124" s="129"/>
      <c r="O124" s="129"/>
      <c r="P124" s="129"/>
    </row>
    <row r="125" spans="12:16" ht="12.75">
      <c r="L125" s="129"/>
      <c r="M125" s="129"/>
      <c r="N125" s="129"/>
      <c r="O125" s="129"/>
      <c r="P125" s="129"/>
    </row>
    <row r="126" spans="12:16" ht="12.75">
      <c r="L126" s="129"/>
      <c r="M126" s="129"/>
      <c r="N126" s="129"/>
      <c r="O126" s="129"/>
      <c r="P126" s="129"/>
    </row>
    <row r="127" spans="12:16" ht="12.75">
      <c r="L127" s="129"/>
      <c r="M127" s="129"/>
      <c r="N127" s="129"/>
      <c r="O127" s="129"/>
      <c r="P127" s="129"/>
    </row>
    <row r="128" spans="12:16" ht="12.75">
      <c r="L128" s="129"/>
      <c r="M128" s="129"/>
      <c r="N128" s="129"/>
      <c r="O128" s="129"/>
      <c r="P128" s="129"/>
    </row>
    <row r="129" spans="12:16" ht="12.75">
      <c r="L129" s="129"/>
      <c r="M129" s="129"/>
      <c r="N129" s="129"/>
      <c r="O129" s="129"/>
      <c r="P129" s="129"/>
    </row>
    <row r="130" spans="12:16" ht="12.75">
      <c r="L130" s="129"/>
      <c r="M130" s="129"/>
      <c r="N130" s="129"/>
      <c r="O130" s="129"/>
      <c r="P130" s="129"/>
    </row>
    <row r="131" spans="12:16" ht="12.75">
      <c r="L131" s="129"/>
      <c r="M131" s="129"/>
      <c r="N131" s="129"/>
      <c r="O131" s="129"/>
      <c r="P131" s="129"/>
    </row>
    <row r="132" spans="12:16" ht="12.75">
      <c r="L132" s="129"/>
      <c r="M132" s="129"/>
      <c r="N132" s="129"/>
      <c r="O132" s="129"/>
      <c r="P132" s="129"/>
    </row>
    <row r="133" spans="12:16" ht="12.75">
      <c r="L133" s="129"/>
      <c r="M133" s="129"/>
      <c r="N133" s="129"/>
      <c r="O133" s="129"/>
      <c r="P133" s="129"/>
    </row>
    <row r="134" spans="12:16" ht="12.75">
      <c r="L134" s="129"/>
      <c r="M134" s="129"/>
      <c r="N134" s="129"/>
      <c r="O134" s="129"/>
      <c r="P134" s="129"/>
    </row>
    <row r="135" spans="12:16" ht="12.75">
      <c r="L135" s="129"/>
      <c r="M135" s="129"/>
      <c r="N135" s="129"/>
      <c r="O135" s="129"/>
      <c r="P135" s="129"/>
    </row>
    <row r="136" spans="12:16" ht="12.75">
      <c r="L136" s="129"/>
      <c r="M136" s="129"/>
      <c r="N136" s="129"/>
      <c r="O136" s="129"/>
      <c r="P136" s="129"/>
    </row>
    <row r="137" spans="12:16" ht="12.75">
      <c r="L137" s="129"/>
      <c r="M137" s="129"/>
      <c r="N137" s="129"/>
      <c r="O137" s="129"/>
      <c r="P137" s="129"/>
    </row>
    <row r="138" spans="12:16" ht="12.75">
      <c r="L138" s="129"/>
      <c r="M138" s="129"/>
      <c r="N138" s="129"/>
      <c r="O138" s="129"/>
      <c r="P138" s="129"/>
    </row>
    <row r="139" spans="12:16" ht="12.75">
      <c r="L139" s="129"/>
      <c r="M139" s="129"/>
      <c r="N139" s="129"/>
      <c r="O139" s="129"/>
      <c r="P139" s="129"/>
    </row>
    <row r="140" spans="12:16" ht="12.75">
      <c r="L140" s="129"/>
      <c r="M140" s="129"/>
      <c r="N140" s="129"/>
      <c r="O140" s="129"/>
      <c r="P140" s="129"/>
    </row>
    <row r="141" spans="12:16" ht="12.75">
      <c r="L141" s="129"/>
      <c r="M141" s="129"/>
      <c r="N141" s="129"/>
      <c r="O141" s="129"/>
      <c r="P141" s="129"/>
    </row>
    <row r="142" spans="12:16" ht="12.75">
      <c r="L142" s="129"/>
      <c r="M142" s="129"/>
      <c r="N142" s="129"/>
      <c r="O142" s="129"/>
      <c r="P142" s="129"/>
    </row>
    <row r="143" spans="12:16" ht="12.75">
      <c r="L143" s="129"/>
      <c r="M143" s="129"/>
      <c r="N143" s="129"/>
      <c r="O143" s="129"/>
      <c r="P143" s="129"/>
    </row>
    <row r="144" spans="12:16" ht="12.75">
      <c r="L144" s="129"/>
      <c r="M144" s="129"/>
      <c r="N144" s="129"/>
      <c r="O144" s="129"/>
      <c r="P144" s="129"/>
    </row>
    <row r="145" spans="12:16" ht="12.75">
      <c r="L145" s="129"/>
      <c r="M145" s="129"/>
      <c r="N145" s="129"/>
      <c r="O145" s="129"/>
      <c r="P145" s="129"/>
    </row>
    <row r="146" spans="12:16" ht="12.75">
      <c r="L146" s="129"/>
      <c r="M146" s="129"/>
      <c r="N146" s="129"/>
      <c r="O146" s="129"/>
      <c r="P146" s="129"/>
    </row>
    <row r="147" spans="12:16" ht="12.75">
      <c r="L147" s="129"/>
      <c r="M147" s="129"/>
      <c r="N147" s="129"/>
      <c r="O147" s="129"/>
      <c r="P147" s="129"/>
    </row>
    <row r="148" spans="12:16" ht="12.75">
      <c r="L148" s="129"/>
      <c r="M148" s="129"/>
      <c r="N148" s="129"/>
      <c r="O148" s="129"/>
      <c r="P148" s="129"/>
    </row>
    <row r="149" spans="12:16" ht="12.75">
      <c r="L149" s="129"/>
      <c r="M149" s="129"/>
      <c r="N149" s="129"/>
      <c r="O149" s="129"/>
      <c r="P149" s="129"/>
    </row>
    <row r="150" spans="12:16" ht="12.75">
      <c r="L150" s="129"/>
      <c r="M150" s="129"/>
      <c r="N150" s="129"/>
      <c r="O150" s="129"/>
      <c r="P150" s="129"/>
    </row>
    <row r="151" spans="12:16" ht="12.75">
      <c r="L151" s="129"/>
      <c r="M151" s="129"/>
      <c r="N151" s="129"/>
      <c r="O151" s="129"/>
      <c r="P151" s="129"/>
    </row>
    <row r="152" spans="12:16" ht="12.75">
      <c r="L152" s="129"/>
      <c r="M152" s="129"/>
      <c r="N152" s="129"/>
      <c r="O152" s="129"/>
      <c r="P152" s="129"/>
    </row>
    <row r="153" spans="12:16" ht="12.75">
      <c r="L153" s="129"/>
      <c r="M153" s="129"/>
      <c r="N153" s="129"/>
      <c r="O153" s="129"/>
      <c r="P153" s="129"/>
    </row>
    <row r="154" spans="12:16" ht="12.75">
      <c r="L154" s="129"/>
      <c r="M154" s="129"/>
      <c r="N154" s="129"/>
      <c r="O154" s="129"/>
      <c r="P154" s="129"/>
    </row>
    <row r="155" spans="12:16" ht="12.75">
      <c r="L155" s="129"/>
      <c r="M155" s="129"/>
      <c r="N155" s="129"/>
      <c r="O155" s="129"/>
      <c r="P155" s="129"/>
    </row>
    <row r="156" spans="12:16" ht="12.75">
      <c r="L156" s="129"/>
      <c r="M156" s="129"/>
      <c r="N156" s="129"/>
      <c r="O156" s="129"/>
      <c r="P156" s="129"/>
    </row>
    <row r="157" spans="12:16" ht="12.75">
      <c r="L157" s="129"/>
      <c r="M157" s="129"/>
      <c r="N157" s="129"/>
      <c r="O157" s="129"/>
      <c r="P157" s="129"/>
    </row>
    <row r="158" spans="12:16" ht="12.75">
      <c r="L158" s="129"/>
      <c r="M158" s="129"/>
      <c r="N158" s="129"/>
      <c r="O158" s="129"/>
      <c r="P158" s="129"/>
    </row>
    <row r="159" spans="12:16" ht="12.75">
      <c r="L159" s="129"/>
      <c r="M159" s="129"/>
      <c r="N159" s="129"/>
      <c r="O159" s="129"/>
      <c r="P159" s="129"/>
    </row>
    <row r="160" spans="12:16" ht="12.75">
      <c r="L160" s="129"/>
      <c r="M160" s="129"/>
      <c r="N160" s="129"/>
      <c r="O160" s="129"/>
      <c r="P160" s="129"/>
    </row>
    <row r="161" spans="12:16" ht="12.75">
      <c r="L161" s="129"/>
      <c r="M161" s="129"/>
      <c r="N161" s="129"/>
      <c r="O161" s="129"/>
      <c r="P161" s="129"/>
    </row>
    <row r="162" spans="12:16" ht="12.75">
      <c r="L162" s="129"/>
      <c r="M162" s="129"/>
      <c r="N162" s="129"/>
      <c r="O162" s="129"/>
      <c r="P162" s="129"/>
    </row>
    <row r="163" spans="12:16" ht="12.75">
      <c r="L163" s="129"/>
      <c r="M163" s="129"/>
      <c r="N163" s="129"/>
      <c r="O163" s="129"/>
      <c r="P163" s="129"/>
    </row>
    <row r="164" spans="12:16" ht="12.75">
      <c r="L164" s="129"/>
      <c r="M164" s="129"/>
      <c r="N164" s="129"/>
      <c r="O164" s="129"/>
      <c r="P164" s="129"/>
    </row>
    <row r="165" spans="12:16" ht="12.75">
      <c r="L165" s="129"/>
      <c r="M165" s="129"/>
      <c r="N165" s="129"/>
      <c r="O165" s="129"/>
      <c r="P165" s="129"/>
    </row>
    <row r="166" spans="12:16" ht="12.75">
      <c r="L166" s="129"/>
      <c r="M166" s="129"/>
      <c r="N166" s="129"/>
      <c r="O166" s="129"/>
      <c r="P166" s="129"/>
    </row>
    <row r="167" spans="12:16" ht="12.75">
      <c r="L167" s="129"/>
      <c r="M167" s="129"/>
      <c r="N167" s="129"/>
      <c r="O167" s="129"/>
      <c r="P167" s="129"/>
    </row>
    <row r="168" spans="12:16" ht="12.75">
      <c r="L168" s="129"/>
      <c r="M168" s="129"/>
      <c r="N168" s="129"/>
      <c r="O168" s="129"/>
      <c r="P168" s="129"/>
    </row>
    <row r="169" spans="12:16" ht="12.75">
      <c r="L169" s="129"/>
      <c r="M169" s="129"/>
      <c r="N169" s="129"/>
      <c r="O169" s="129"/>
      <c r="P169" s="129"/>
    </row>
    <row r="170" spans="12:16" ht="12.75">
      <c r="L170" s="129"/>
      <c r="M170" s="129"/>
      <c r="N170" s="129"/>
      <c r="O170" s="129"/>
      <c r="P170" s="129"/>
    </row>
    <row r="171" spans="12:16" ht="12.75">
      <c r="L171" s="129"/>
      <c r="M171" s="129"/>
      <c r="N171" s="129"/>
      <c r="O171" s="129"/>
      <c r="P171" s="129"/>
    </row>
    <row r="172" spans="12:16" ht="12.75">
      <c r="L172" s="129"/>
      <c r="M172" s="129"/>
      <c r="N172" s="129"/>
      <c r="O172" s="129"/>
      <c r="P172" s="129"/>
    </row>
    <row r="173" spans="12:16" ht="12.75">
      <c r="L173" s="129"/>
      <c r="M173" s="129"/>
      <c r="N173" s="129"/>
      <c r="O173" s="129"/>
      <c r="P173" s="129"/>
    </row>
    <row r="174" spans="12:16" ht="12.75">
      <c r="L174" s="129"/>
      <c r="M174" s="129"/>
      <c r="N174" s="129"/>
      <c r="O174" s="129"/>
      <c r="P174" s="129"/>
    </row>
    <row r="175" spans="12:16" ht="12.75">
      <c r="L175" s="129"/>
      <c r="M175" s="129"/>
      <c r="N175" s="129"/>
      <c r="O175" s="129"/>
      <c r="P175" s="129"/>
    </row>
    <row r="176" spans="12:16" ht="12.75">
      <c r="L176" s="129"/>
      <c r="M176" s="129"/>
      <c r="N176" s="129"/>
      <c r="O176" s="129"/>
      <c r="P176" s="129"/>
    </row>
    <row r="177" spans="12:16" ht="12.75">
      <c r="L177" s="129"/>
      <c r="M177" s="129"/>
      <c r="N177" s="129"/>
      <c r="O177" s="129"/>
      <c r="P177" s="129"/>
    </row>
    <row r="178" spans="12:16" ht="12.75">
      <c r="L178" s="129"/>
      <c r="M178" s="129"/>
      <c r="N178" s="129"/>
      <c r="O178" s="129"/>
      <c r="P178" s="129"/>
    </row>
    <row r="179" spans="12:16" ht="12.75">
      <c r="L179" s="129"/>
      <c r="M179" s="129"/>
      <c r="N179" s="129"/>
      <c r="O179" s="129"/>
      <c r="P179" s="129"/>
    </row>
    <row r="180" spans="12:16" ht="12.75">
      <c r="L180" s="129"/>
      <c r="M180" s="129"/>
      <c r="N180" s="129"/>
      <c r="O180" s="129"/>
      <c r="P180" s="129"/>
    </row>
    <row r="181" spans="12:16" ht="12.75">
      <c r="L181" s="129"/>
      <c r="M181" s="129"/>
      <c r="N181" s="129"/>
      <c r="O181" s="129"/>
      <c r="P181" s="129"/>
    </row>
    <row r="182" spans="12:16" ht="12.75">
      <c r="L182" s="129"/>
      <c r="M182" s="129"/>
      <c r="N182" s="129"/>
      <c r="O182" s="129"/>
      <c r="P182" s="129"/>
    </row>
    <row r="183" spans="12:16" ht="12.75">
      <c r="L183" s="129"/>
      <c r="M183" s="129"/>
      <c r="N183" s="129"/>
      <c r="O183" s="129"/>
      <c r="P183" s="129"/>
    </row>
    <row r="184" spans="12:16" ht="12.75">
      <c r="L184" s="129"/>
      <c r="M184" s="129"/>
      <c r="N184" s="129"/>
      <c r="O184" s="129"/>
      <c r="P184" s="129"/>
    </row>
    <row r="185" spans="12:16" ht="12.75">
      <c r="L185" s="129"/>
      <c r="M185" s="129"/>
      <c r="N185" s="129"/>
      <c r="O185" s="129"/>
      <c r="P185" s="129"/>
    </row>
    <row r="186" spans="12:16" ht="12.75">
      <c r="L186" s="129"/>
      <c r="M186" s="129"/>
      <c r="N186" s="129"/>
      <c r="O186" s="129"/>
      <c r="P186" s="129"/>
    </row>
    <row r="187" spans="12:16" ht="12.75">
      <c r="L187" s="129"/>
      <c r="M187" s="129"/>
      <c r="N187" s="129"/>
      <c r="O187" s="129"/>
      <c r="P187" s="129"/>
    </row>
    <row r="188" spans="12:16" ht="12.75">
      <c r="L188" s="129"/>
      <c r="M188" s="129"/>
      <c r="N188" s="129"/>
      <c r="O188" s="129"/>
      <c r="P188" s="129"/>
    </row>
    <row r="189" spans="12:16" ht="12.75">
      <c r="L189" s="129"/>
      <c r="M189" s="129"/>
      <c r="N189" s="129"/>
      <c r="O189" s="129"/>
      <c r="P189" s="129"/>
    </row>
    <row r="190" spans="12:16" ht="12.75">
      <c r="L190" s="129"/>
      <c r="M190" s="129"/>
      <c r="N190" s="129"/>
      <c r="O190" s="129"/>
      <c r="P190" s="129"/>
    </row>
    <row r="191" spans="12:16" ht="12.75">
      <c r="L191" s="129"/>
      <c r="M191" s="129"/>
      <c r="N191" s="129"/>
      <c r="O191" s="129"/>
      <c r="P191" s="129"/>
    </row>
    <row r="192" spans="12:16" ht="12.75">
      <c r="L192" s="129"/>
      <c r="M192" s="129"/>
      <c r="N192" s="129"/>
      <c r="O192" s="129"/>
      <c r="P192" s="129"/>
    </row>
    <row r="193" spans="12:16" ht="12.75">
      <c r="L193" s="129"/>
      <c r="M193" s="129"/>
      <c r="N193" s="129"/>
      <c r="O193" s="129"/>
      <c r="P193" s="129"/>
    </row>
    <row r="194" spans="12:16" ht="12.75">
      <c r="L194" s="129"/>
      <c r="M194" s="129"/>
      <c r="N194" s="129"/>
      <c r="O194" s="129"/>
      <c r="P194" s="129"/>
    </row>
    <row r="195" spans="12:16" ht="12.75">
      <c r="L195" s="129"/>
      <c r="M195" s="129"/>
      <c r="N195" s="129"/>
      <c r="O195" s="129"/>
      <c r="P195" s="129"/>
    </row>
    <row r="196" spans="12:16" ht="12.75">
      <c r="L196" s="129"/>
      <c r="M196" s="129"/>
      <c r="N196" s="129"/>
      <c r="O196" s="129"/>
      <c r="P196" s="129"/>
    </row>
    <row r="197" spans="12:16" ht="12.75">
      <c r="L197" s="129"/>
      <c r="M197" s="129"/>
      <c r="N197" s="129"/>
      <c r="O197" s="129"/>
      <c r="P197" s="129"/>
    </row>
    <row r="198" spans="12:16" ht="12.75">
      <c r="L198" s="129"/>
      <c r="M198" s="129"/>
      <c r="N198" s="129"/>
      <c r="O198" s="129"/>
      <c r="P198" s="129"/>
    </row>
    <row r="199" spans="12:16" ht="12.75">
      <c r="L199" s="129"/>
      <c r="M199" s="129"/>
      <c r="N199" s="129"/>
      <c r="O199" s="129"/>
      <c r="P199" s="129"/>
    </row>
    <row r="200" spans="12:16" ht="12.75">
      <c r="L200" s="129"/>
      <c r="M200" s="129"/>
      <c r="N200" s="129"/>
      <c r="O200" s="129"/>
      <c r="P200" s="129"/>
    </row>
    <row r="201" spans="12:16" ht="12.75">
      <c r="L201" s="129"/>
      <c r="M201" s="129"/>
      <c r="N201" s="129"/>
      <c r="O201" s="129"/>
      <c r="P201" s="129"/>
    </row>
    <row r="202" spans="12:16" ht="12.75">
      <c r="L202" s="129"/>
      <c r="M202" s="129"/>
      <c r="N202" s="129"/>
      <c r="O202" s="129"/>
      <c r="P202" s="129"/>
    </row>
    <row r="203" spans="12:16" ht="12.75">
      <c r="L203" s="129"/>
      <c r="M203" s="129"/>
      <c r="N203" s="129"/>
      <c r="O203" s="129"/>
      <c r="P203" s="129"/>
    </row>
    <row r="204" spans="12:16" ht="12.75">
      <c r="L204" s="129"/>
      <c r="M204" s="129"/>
      <c r="N204" s="129"/>
      <c r="O204" s="129"/>
      <c r="P204" s="129"/>
    </row>
    <row r="205" spans="12:16" ht="12.75">
      <c r="L205" s="129"/>
      <c r="M205" s="129"/>
      <c r="N205" s="129"/>
      <c r="O205" s="129"/>
      <c r="P205" s="129"/>
    </row>
    <row r="206" spans="12:16" ht="12.75">
      <c r="L206" s="129"/>
      <c r="M206" s="129"/>
      <c r="N206" s="129"/>
      <c r="O206" s="129"/>
      <c r="P206" s="129"/>
    </row>
    <row r="207" spans="12:16" ht="12.75">
      <c r="L207" s="129"/>
      <c r="M207" s="129"/>
      <c r="N207" s="129"/>
      <c r="O207" s="129"/>
      <c r="P207" s="129"/>
    </row>
    <row r="208" spans="12:16" ht="12.75">
      <c r="L208" s="129"/>
      <c r="M208" s="129"/>
      <c r="N208" s="129"/>
      <c r="O208" s="129"/>
      <c r="P208" s="129"/>
    </row>
    <row r="209" spans="12:16" ht="12.75">
      <c r="L209" s="129"/>
      <c r="M209" s="129"/>
      <c r="N209" s="129"/>
      <c r="O209" s="129"/>
      <c r="P209" s="129"/>
    </row>
    <row r="210" spans="12:16" ht="12.75">
      <c r="L210" s="129"/>
      <c r="M210" s="129"/>
      <c r="N210" s="129"/>
      <c r="O210" s="129"/>
      <c r="P210" s="129"/>
    </row>
    <row r="211" spans="12:16" ht="12.75">
      <c r="L211" s="129"/>
      <c r="M211" s="129"/>
      <c r="N211" s="129"/>
      <c r="O211" s="129"/>
      <c r="P211" s="129"/>
    </row>
    <row r="212" spans="12:16" ht="12.75">
      <c r="L212" s="129"/>
      <c r="M212" s="129"/>
      <c r="N212" s="129"/>
      <c r="O212" s="129"/>
      <c r="P212" s="129"/>
    </row>
    <row r="213" spans="12:16" ht="12.75">
      <c r="L213" s="129"/>
      <c r="M213" s="129"/>
      <c r="N213" s="129"/>
      <c r="O213" s="129"/>
      <c r="P213" s="129"/>
    </row>
    <row r="214" spans="12:16" ht="12.75">
      <c r="L214" s="129"/>
      <c r="M214" s="129"/>
      <c r="N214" s="129"/>
      <c r="O214" s="129"/>
      <c r="P214" s="129"/>
    </row>
    <row r="215" spans="12:16" ht="12.75">
      <c r="L215" s="129"/>
      <c r="M215" s="129"/>
      <c r="N215" s="129"/>
      <c r="O215" s="129"/>
      <c r="P215" s="129"/>
    </row>
    <row r="216" spans="12:16" ht="12.75">
      <c r="L216" s="129"/>
      <c r="M216" s="129"/>
      <c r="N216" s="129"/>
      <c r="O216" s="129"/>
      <c r="P216" s="129"/>
    </row>
    <row r="217" spans="12:16" ht="12.75">
      <c r="L217" s="129"/>
      <c r="M217" s="129"/>
      <c r="N217" s="129"/>
      <c r="O217" s="129"/>
      <c r="P217" s="129"/>
    </row>
    <row r="218" spans="12:16" ht="12.75">
      <c r="L218" s="129"/>
      <c r="M218" s="129"/>
      <c r="N218" s="129"/>
      <c r="O218" s="129"/>
      <c r="P218" s="129"/>
    </row>
    <row r="219" spans="12:16" ht="12.75">
      <c r="L219" s="129"/>
      <c r="M219" s="129"/>
      <c r="N219" s="129"/>
      <c r="O219" s="129"/>
      <c r="P219" s="129"/>
    </row>
    <row r="220" spans="12:16" ht="12.75">
      <c r="L220" s="129"/>
      <c r="M220" s="129"/>
      <c r="N220" s="129"/>
      <c r="O220" s="129"/>
      <c r="P220" s="129"/>
    </row>
    <row r="221" spans="12:16" ht="12.75">
      <c r="L221" s="129"/>
      <c r="M221" s="129"/>
      <c r="N221" s="129"/>
      <c r="O221" s="129"/>
      <c r="P221" s="129"/>
    </row>
    <row r="222" spans="12:16" ht="12.75">
      <c r="L222" s="129"/>
      <c r="M222" s="129"/>
      <c r="N222" s="129"/>
      <c r="O222" s="129"/>
      <c r="P222" s="129"/>
    </row>
    <row r="223" spans="12:16" ht="12.75">
      <c r="L223" s="129"/>
      <c r="M223" s="129"/>
      <c r="N223" s="129"/>
      <c r="O223" s="129"/>
      <c r="P223" s="129"/>
    </row>
    <row r="224" spans="12:16" ht="12.75">
      <c r="L224" s="129"/>
      <c r="M224" s="129"/>
      <c r="N224" s="129"/>
      <c r="O224" s="129"/>
      <c r="P224" s="129"/>
    </row>
    <row r="225" spans="12:16" ht="12.75">
      <c r="L225" s="129"/>
      <c r="M225" s="129"/>
      <c r="N225" s="129"/>
      <c r="O225" s="129"/>
      <c r="P225" s="129"/>
    </row>
    <row r="226" spans="12:16" ht="12.75">
      <c r="L226" s="129"/>
      <c r="M226" s="129"/>
      <c r="N226" s="129"/>
      <c r="O226" s="129"/>
      <c r="P226" s="129"/>
    </row>
    <row r="227" spans="12:16" ht="12.75">
      <c r="L227" s="129"/>
      <c r="M227" s="129"/>
      <c r="N227" s="129"/>
      <c r="O227" s="129"/>
      <c r="P227" s="129"/>
    </row>
    <row r="228" spans="12:16" ht="12.75">
      <c r="L228" s="129"/>
      <c r="M228" s="129"/>
      <c r="N228" s="129"/>
      <c r="O228" s="129"/>
      <c r="P228" s="129"/>
    </row>
    <row r="229" spans="12:16" ht="12.75">
      <c r="L229" s="129"/>
      <c r="M229" s="129"/>
      <c r="N229" s="129"/>
      <c r="O229" s="129"/>
      <c r="P229" s="129"/>
    </row>
    <row r="230" spans="12:16" ht="12.75">
      <c r="L230" s="129"/>
      <c r="M230" s="129"/>
      <c r="N230" s="129"/>
      <c r="O230" s="129"/>
      <c r="P230" s="129"/>
    </row>
    <row r="231" spans="12:16" ht="12.75">
      <c r="L231" s="129"/>
      <c r="M231" s="129"/>
      <c r="N231" s="129"/>
      <c r="O231" s="129"/>
      <c r="P231" s="129"/>
    </row>
    <row r="232" spans="12:16" ht="12.75">
      <c r="L232" s="129"/>
      <c r="M232" s="129"/>
      <c r="N232" s="129"/>
      <c r="O232" s="129"/>
      <c r="P232" s="129"/>
    </row>
    <row r="233" spans="12:16" ht="12.75">
      <c r="L233" s="129"/>
      <c r="M233" s="129"/>
      <c r="N233" s="129"/>
      <c r="O233" s="129"/>
      <c r="P233" s="129"/>
    </row>
    <row r="234" spans="12:16" ht="12.75">
      <c r="L234" s="129"/>
      <c r="M234" s="129"/>
      <c r="N234" s="129"/>
      <c r="O234" s="129"/>
      <c r="P234" s="129"/>
    </row>
    <row r="235" spans="12:16" ht="12.75">
      <c r="L235" s="129"/>
      <c r="M235" s="129"/>
      <c r="N235" s="129"/>
      <c r="O235" s="129"/>
      <c r="P235" s="129"/>
    </row>
    <row r="236" spans="12:16" ht="12.75">
      <c r="L236" s="129"/>
      <c r="M236" s="129"/>
      <c r="N236" s="129"/>
      <c r="O236" s="129"/>
      <c r="P236" s="129"/>
    </row>
    <row r="237" spans="12:16" ht="12.75">
      <c r="L237" s="129"/>
      <c r="M237" s="129"/>
      <c r="N237" s="129"/>
      <c r="O237" s="129"/>
      <c r="P237" s="129"/>
    </row>
    <row r="238" spans="12:16" ht="12.75">
      <c r="L238" s="129"/>
      <c r="M238" s="129"/>
      <c r="N238" s="129"/>
      <c r="O238" s="129"/>
      <c r="P238" s="129"/>
    </row>
    <row r="239" spans="12:16" ht="12.75">
      <c r="L239" s="129"/>
      <c r="M239" s="129"/>
      <c r="N239" s="129"/>
      <c r="O239" s="129"/>
      <c r="P239" s="129"/>
    </row>
    <row r="240" spans="12:16" ht="12.75">
      <c r="L240" s="129"/>
      <c r="M240" s="129"/>
      <c r="N240" s="129"/>
      <c r="O240" s="129"/>
      <c r="P240" s="129"/>
    </row>
    <row r="241" spans="12:16" ht="12.75">
      <c r="L241" s="129"/>
      <c r="M241" s="129"/>
      <c r="N241" s="129"/>
      <c r="O241" s="129"/>
      <c r="P241" s="129"/>
    </row>
    <row r="242" spans="12:16" ht="12.75">
      <c r="L242" s="129"/>
      <c r="M242" s="129"/>
      <c r="N242" s="129"/>
      <c r="O242" s="129"/>
      <c r="P242" s="129"/>
    </row>
    <row r="243" spans="12:16" ht="12.75">
      <c r="L243" s="129"/>
      <c r="M243" s="129"/>
      <c r="N243" s="129"/>
      <c r="O243" s="129"/>
      <c r="P243" s="129"/>
    </row>
    <row r="244" spans="12:16" ht="12.75">
      <c r="L244" s="129"/>
      <c r="M244" s="129"/>
      <c r="N244" s="129"/>
      <c r="O244" s="129"/>
      <c r="P244" s="129"/>
    </row>
    <row r="245" spans="12:16" ht="12.75">
      <c r="L245" s="129"/>
      <c r="M245" s="129"/>
      <c r="N245" s="129"/>
      <c r="O245" s="129"/>
      <c r="P245" s="129"/>
    </row>
    <row r="246" spans="12:16" ht="12.75">
      <c r="L246" s="129"/>
      <c r="M246" s="129"/>
      <c r="N246" s="129"/>
      <c r="O246" s="129"/>
      <c r="P246" s="129"/>
    </row>
    <row r="247" spans="12:16" ht="12.75">
      <c r="L247" s="129"/>
      <c r="M247" s="129"/>
      <c r="N247" s="129"/>
      <c r="O247" s="129"/>
      <c r="P247" s="129"/>
    </row>
    <row r="248" spans="12:16" ht="12.75">
      <c r="L248" s="129"/>
      <c r="M248" s="129"/>
      <c r="N248" s="129"/>
      <c r="O248" s="129"/>
      <c r="P248" s="129"/>
    </row>
    <row r="249" spans="12:16" ht="12.75">
      <c r="L249" s="129"/>
      <c r="M249" s="129"/>
      <c r="N249" s="129"/>
      <c r="O249" s="129"/>
      <c r="P249" s="129"/>
    </row>
    <row r="250" spans="12:16" ht="12.75">
      <c r="L250" s="129"/>
      <c r="M250" s="129"/>
      <c r="N250" s="129"/>
      <c r="O250" s="129"/>
      <c r="P250" s="129"/>
    </row>
    <row r="251" spans="12:16" ht="12.75">
      <c r="L251" s="129"/>
      <c r="M251" s="129"/>
      <c r="N251" s="129"/>
      <c r="O251" s="129"/>
      <c r="P251" s="129"/>
    </row>
    <row r="252" spans="12:16" ht="12.75">
      <c r="L252" s="129"/>
      <c r="M252" s="129"/>
      <c r="N252" s="129"/>
      <c r="O252" s="129"/>
      <c r="P252" s="129"/>
    </row>
    <row r="253" spans="12:16" ht="12.75">
      <c r="L253" s="129"/>
      <c r="M253" s="129"/>
      <c r="N253" s="129"/>
      <c r="O253" s="129"/>
      <c r="P253" s="129"/>
    </row>
    <row r="254" spans="12:16" ht="12.75">
      <c r="L254" s="129"/>
      <c r="M254" s="129"/>
      <c r="N254" s="129"/>
      <c r="O254" s="129"/>
      <c r="P254" s="129"/>
    </row>
    <row r="255" spans="12:16" ht="12.75">
      <c r="L255" s="129"/>
      <c r="M255" s="129"/>
      <c r="N255" s="129"/>
      <c r="O255" s="129"/>
      <c r="P255" s="129"/>
    </row>
    <row r="256" spans="12:16" ht="12.75">
      <c r="L256" s="129"/>
      <c r="M256" s="129"/>
      <c r="N256" s="129"/>
      <c r="O256" s="129"/>
      <c r="P256" s="129"/>
    </row>
    <row r="257" spans="12:16" ht="12.75">
      <c r="L257" s="129"/>
      <c r="M257" s="129"/>
      <c r="N257" s="129"/>
      <c r="O257" s="129"/>
      <c r="P257" s="129"/>
    </row>
    <row r="258" spans="12:16" ht="12.75">
      <c r="L258" s="129"/>
      <c r="M258" s="129"/>
      <c r="N258" s="129"/>
      <c r="O258" s="129"/>
      <c r="P258" s="129"/>
    </row>
    <row r="259" spans="12:16" ht="12.75">
      <c r="L259" s="129"/>
      <c r="M259" s="129"/>
      <c r="N259" s="129"/>
      <c r="O259" s="129"/>
      <c r="P259" s="129"/>
    </row>
    <row r="260" spans="12:16" ht="12.75">
      <c r="L260" s="129"/>
      <c r="M260" s="129"/>
      <c r="N260" s="129"/>
      <c r="O260" s="129"/>
      <c r="P260" s="129"/>
    </row>
    <row r="261" spans="12:16" ht="12.75">
      <c r="L261" s="129"/>
      <c r="M261" s="129"/>
      <c r="N261" s="129"/>
      <c r="O261" s="129"/>
      <c r="P261" s="129"/>
    </row>
    <row r="262" spans="12:16" ht="12.75">
      <c r="L262" s="129"/>
      <c r="M262" s="129"/>
      <c r="N262" s="129"/>
      <c r="O262" s="129"/>
      <c r="P262" s="129"/>
    </row>
  </sheetData>
  <mergeCells count="3">
    <mergeCell ref="B2:J2"/>
    <mergeCell ref="B3:J3"/>
    <mergeCell ref="B4:J4"/>
  </mergeCells>
  <printOptions horizontalCentered="1" verticalCentered="1"/>
  <pageMargins left="0.7874015748031497" right="0.7874015748031497" top="0" bottom="0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AJ258"/>
  <sheetViews>
    <sheetView workbookViewId="0" topLeftCell="A1">
      <selection activeCell="B4" sqref="B4:J4"/>
    </sheetView>
  </sheetViews>
  <sheetFormatPr defaultColWidth="11.421875" defaultRowHeight="12.75"/>
  <cols>
    <col min="1" max="1" width="7.421875" style="2" customWidth="1"/>
    <col min="2" max="2" width="28.28125" style="2" customWidth="1"/>
    <col min="3" max="3" width="12.7109375" style="7" customWidth="1"/>
    <col min="4" max="4" width="9.7109375" style="5" customWidth="1"/>
    <col min="5" max="5" width="9.8515625" style="5" customWidth="1"/>
    <col min="6" max="6" width="9.7109375" style="5" customWidth="1"/>
    <col min="7" max="8" width="9.8515625" style="5" customWidth="1"/>
    <col min="9" max="10" width="9.7109375" style="2" customWidth="1"/>
    <col min="11" max="12" width="11.421875" style="2" customWidth="1"/>
    <col min="13" max="13" width="16.140625" style="2" bestFit="1" customWidth="1"/>
    <col min="14" max="14" width="22.140625" style="2" customWidth="1"/>
    <col min="15" max="15" width="27.421875" style="2" customWidth="1"/>
    <col min="16" max="16384" width="11.421875" style="2" customWidth="1"/>
  </cols>
  <sheetData>
    <row r="3" spans="2:10" ht="15">
      <c r="B3" s="382" t="s">
        <v>287</v>
      </c>
      <c r="C3" s="382"/>
      <c r="D3" s="382"/>
      <c r="E3" s="382"/>
      <c r="F3" s="382"/>
      <c r="G3" s="382"/>
      <c r="H3" s="382"/>
      <c r="I3" s="382"/>
      <c r="J3" s="382"/>
    </row>
    <row r="4" spans="2:10" ht="15">
      <c r="B4" s="383" t="s">
        <v>288</v>
      </c>
      <c r="C4" s="383"/>
      <c r="D4" s="383"/>
      <c r="E4" s="383"/>
      <c r="F4" s="383"/>
      <c r="G4" s="383"/>
      <c r="H4" s="383"/>
      <c r="I4" s="383"/>
      <c r="J4" s="383"/>
    </row>
    <row r="5" ht="13.5" thickBot="1">
      <c r="B5" s="165"/>
    </row>
    <row r="6" spans="2:16" s="3" customFormat="1" ht="12" customHeight="1" thickBot="1">
      <c r="B6" s="166"/>
      <c r="C6" s="328" t="s">
        <v>98</v>
      </c>
      <c r="D6" s="202">
        <v>2004</v>
      </c>
      <c r="E6" s="48">
        <v>2005</v>
      </c>
      <c r="F6" s="202">
        <v>2006</v>
      </c>
      <c r="G6" s="48">
        <v>2007</v>
      </c>
      <c r="H6" s="202">
        <v>2008</v>
      </c>
      <c r="I6" s="48">
        <v>2009</v>
      </c>
      <c r="J6" s="202">
        <v>2010</v>
      </c>
      <c r="L6" s="214"/>
      <c r="M6" s="214"/>
      <c r="N6" s="214"/>
      <c r="O6" s="74"/>
      <c r="P6" s="74"/>
    </row>
    <row r="7" spans="2:16" ht="12.75">
      <c r="B7" s="217" t="s">
        <v>212</v>
      </c>
      <c r="C7" s="215"/>
      <c r="D7" s="329"/>
      <c r="E7" s="215"/>
      <c r="F7" s="329"/>
      <c r="G7" s="215"/>
      <c r="H7" s="329"/>
      <c r="I7" s="215"/>
      <c r="J7" s="329"/>
      <c r="L7" s="6"/>
      <c r="M7" s="52"/>
      <c r="N7" s="52"/>
      <c r="O7" s="129"/>
      <c r="P7" s="129"/>
    </row>
    <row r="8" spans="2:16" ht="12.75">
      <c r="B8" s="171" t="s">
        <v>213</v>
      </c>
      <c r="C8" s="218">
        <f>+'B. GENERAL'!C41/'B. GENERAL'!C28</f>
        <v>0.5714285714285714</v>
      </c>
      <c r="D8" s="329"/>
      <c r="E8" s="215"/>
      <c r="F8" s="329"/>
      <c r="G8" s="215"/>
      <c r="H8" s="329"/>
      <c r="I8" s="215"/>
      <c r="J8" s="329"/>
      <c r="L8" s="6"/>
      <c r="M8" s="6"/>
      <c r="N8" s="6"/>
      <c r="O8" s="129"/>
      <c r="P8" s="129"/>
    </row>
    <row r="9" spans="2:16" ht="12.75">
      <c r="B9" s="171" t="s">
        <v>214</v>
      </c>
      <c r="C9" s="218">
        <f>+'B. GENERAL'!C35/'B. GENERAL'!C28</f>
        <v>0.42857142857142855</v>
      </c>
      <c r="D9" s="329"/>
      <c r="E9" s="215"/>
      <c r="F9" s="329"/>
      <c r="G9" s="215"/>
      <c r="H9" s="329"/>
      <c r="I9" s="215"/>
      <c r="J9" s="329"/>
      <c r="L9" s="6"/>
      <c r="M9" s="6"/>
      <c r="N9" s="6"/>
      <c r="O9" s="129"/>
      <c r="P9" s="129"/>
    </row>
    <row r="10" spans="2:16" s="3" customFormat="1" ht="12.75">
      <c r="B10" s="171" t="s">
        <v>215</v>
      </c>
      <c r="C10" s="218">
        <f>+DATOS!A123</f>
        <v>0.14</v>
      </c>
      <c r="D10" s="330"/>
      <c r="E10" s="216"/>
      <c r="F10" s="330"/>
      <c r="G10" s="216"/>
      <c r="H10" s="330"/>
      <c r="I10" s="216"/>
      <c r="J10" s="330"/>
      <c r="L10" s="133"/>
      <c r="M10" s="133"/>
      <c r="N10" s="133"/>
      <c r="O10" s="74"/>
      <c r="P10" s="74"/>
    </row>
    <row r="11" spans="2:16" s="3" customFormat="1" ht="7.5" customHeight="1">
      <c r="B11" s="217"/>
      <c r="C11" s="216"/>
      <c r="D11" s="330"/>
      <c r="E11" s="216"/>
      <c r="F11" s="330"/>
      <c r="G11" s="216"/>
      <c r="H11" s="330"/>
      <c r="I11" s="216"/>
      <c r="J11" s="330"/>
      <c r="L11" s="6"/>
      <c r="M11" s="6"/>
      <c r="N11" s="6"/>
      <c r="O11" s="74"/>
      <c r="P11" s="74"/>
    </row>
    <row r="12" spans="2:16" ht="12.75">
      <c r="B12" s="217" t="s">
        <v>216</v>
      </c>
      <c r="C12" s="215"/>
      <c r="D12" s="329"/>
      <c r="E12" s="215"/>
      <c r="F12" s="329"/>
      <c r="G12" s="215"/>
      <c r="H12" s="329"/>
      <c r="I12" s="215"/>
      <c r="J12" s="329"/>
      <c r="L12" s="6"/>
      <c r="M12" s="6"/>
      <c r="N12" s="6"/>
      <c r="O12" s="129"/>
      <c r="P12" s="129"/>
    </row>
    <row r="13" spans="2:16" ht="12.75">
      <c r="B13" s="219" t="s">
        <v>217</v>
      </c>
      <c r="C13" s="215"/>
      <c r="D13" s="329"/>
      <c r="E13" s="215"/>
      <c r="F13" s="329"/>
      <c r="G13" s="215"/>
      <c r="H13" s="329"/>
      <c r="I13" s="215"/>
      <c r="J13" s="329"/>
      <c r="L13" s="129"/>
      <c r="M13" s="129"/>
      <c r="N13" s="129"/>
      <c r="O13" s="129"/>
      <c r="P13" s="129"/>
    </row>
    <row r="14" spans="2:16" s="3" customFormat="1" ht="12.75">
      <c r="B14" s="220" t="s">
        <v>218</v>
      </c>
      <c r="C14" s="215">
        <f>+'B. GENERAL'!C14/'B. GENERAL'!C31</f>
        <v>5.0179942222222245</v>
      </c>
      <c r="D14" s="329">
        <f>+'B. GENERAL'!D14/'B. GENERAL'!D31</f>
        <v>0.18309974469441564</v>
      </c>
      <c r="E14" s="215">
        <f>+'B. GENERAL'!E14/'B. GENERAL'!E31</f>
        <v>2.1401243764490014</v>
      </c>
      <c r="F14" s="329"/>
      <c r="G14" s="215"/>
      <c r="H14" s="330"/>
      <c r="I14" s="216"/>
      <c r="J14" s="330"/>
      <c r="L14" s="214"/>
      <c r="M14" s="214"/>
      <c r="N14" s="214"/>
      <c r="O14" s="214"/>
      <c r="P14" s="214"/>
    </row>
    <row r="15" spans="2:16" ht="12.75">
      <c r="B15" s="219" t="s">
        <v>219</v>
      </c>
      <c r="C15" s="215"/>
      <c r="D15" s="329"/>
      <c r="E15" s="215"/>
      <c r="F15" s="329"/>
      <c r="G15" s="215"/>
      <c r="H15" s="329"/>
      <c r="I15" s="215"/>
      <c r="J15" s="329"/>
      <c r="L15" s="214"/>
      <c r="M15" s="214"/>
      <c r="N15" s="214"/>
      <c r="O15" s="214"/>
      <c r="P15" s="214"/>
    </row>
    <row r="16" spans="2:16" s="3" customFormat="1" ht="12.75">
      <c r="B16" s="220" t="s">
        <v>220</v>
      </c>
      <c r="C16" s="172">
        <f>+'B. GENERAL'!C14-'B. GENERAL'!C31</f>
        <v>52567.08338178859</v>
      </c>
      <c r="D16" s="331">
        <f>+'B. GENERAL'!D14-'B. GENERAL'!D31</f>
        <v>-12183.679235136777</v>
      </c>
      <c r="E16" s="172">
        <f>+'B. GENERAL'!E14-'B. GENERAL'!E31</f>
        <v>19385.031336053748</v>
      </c>
      <c r="F16" s="331">
        <f>+'B. GENERAL'!F14-'B. GENERAL'!F31</f>
        <v>91765.78413347492</v>
      </c>
      <c r="G16" s="215"/>
      <c r="H16" s="329"/>
      <c r="I16" s="215"/>
      <c r="J16" s="329"/>
      <c r="L16" s="6"/>
      <c r="M16" s="52"/>
      <c r="N16" s="52"/>
      <c r="O16" s="52"/>
      <c r="P16" s="52"/>
    </row>
    <row r="17" spans="2:16" ht="6.75" customHeight="1">
      <c r="B17" s="183"/>
      <c r="C17" s="215"/>
      <c r="D17" s="329"/>
      <c r="E17" s="215"/>
      <c r="F17" s="329"/>
      <c r="G17" s="215"/>
      <c r="H17" s="329"/>
      <c r="I17" s="215"/>
      <c r="J17" s="329"/>
      <c r="L17" s="6"/>
      <c r="M17" s="52"/>
      <c r="N17" s="52"/>
      <c r="O17" s="52"/>
      <c r="P17" s="52"/>
    </row>
    <row r="18" spans="2:16" ht="12.75">
      <c r="B18" s="217" t="s">
        <v>221</v>
      </c>
      <c r="C18" s="215"/>
      <c r="D18" s="329"/>
      <c r="E18" s="215"/>
      <c r="F18" s="329"/>
      <c r="G18" s="215"/>
      <c r="H18" s="329"/>
      <c r="I18" s="215"/>
      <c r="J18" s="329"/>
      <c r="L18" s="6"/>
      <c r="M18" s="52"/>
      <c r="N18" s="52"/>
      <c r="O18" s="52"/>
      <c r="P18" s="52"/>
    </row>
    <row r="19" spans="2:16" ht="12.75">
      <c r="B19" s="219" t="s">
        <v>222</v>
      </c>
      <c r="C19" s="215"/>
      <c r="D19" s="329"/>
      <c r="E19" s="215"/>
      <c r="F19" s="329"/>
      <c r="G19" s="215"/>
      <c r="H19" s="329"/>
      <c r="I19" s="215"/>
      <c r="J19" s="329"/>
      <c r="L19" s="6"/>
      <c r="M19" s="52"/>
      <c r="N19" s="52"/>
      <c r="O19" s="52"/>
      <c r="P19" s="52"/>
    </row>
    <row r="20" spans="2:16" ht="12.75">
      <c r="B20" s="220" t="s">
        <v>223</v>
      </c>
      <c r="C20" s="215"/>
      <c r="D20" s="329">
        <f>+'FLUJO FRANQUICIA'!D8/'B. GENERAL'!D26</f>
        <v>13.53393606180582</v>
      </c>
      <c r="E20" s="215">
        <f>+'FLUJO FRANQUICIA'!E8/'B. GENERAL'!E26</f>
        <v>48.038891576883444</v>
      </c>
      <c r="F20" s="329">
        <f>+'FLUJO FRANQUICIA'!F8/'B. GENERAL'!F26</f>
        <v>73.02507074846172</v>
      </c>
      <c r="G20" s="215">
        <f>+'FLUJO FRANQUICIA'!G8/'B. GENERAL'!G26</f>
        <v>129.21880870840758</v>
      </c>
      <c r="H20" s="329">
        <f>+'FLUJO FRANQUICIA'!H8/'B. GENERAL'!H26</f>
        <v>40.02991829051965</v>
      </c>
      <c r="I20" s="215">
        <f>+'FLUJO FRANQUICIA'!I8/'B. GENERAL'!I26</f>
        <v>48.532048669815126</v>
      </c>
      <c r="J20" s="329">
        <f>+'FLUJO FRANQUICIA'!J8/'B. GENERAL'!J26</f>
        <v>70.54966401519178</v>
      </c>
      <c r="K20" s="263"/>
      <c r="L20" s="6"/>
      <c r="M20" s="52"/>
      <c r="N20" s="52"/>
      <c r="O20" s="52"/>
      <c r="P20" s="52"/>
    </row>
    <row r="21" spans="2:16" ht="12.75">
      <c r="B21" s="219" t="s">
        <v>224</v>
      </c>
      <c r="C21" s="215"/>
      <c r="D21" s="329"/>
      <c r="E21" s="215"/>
      <c r="F21" s="329"/>
      <c r="G21" s="215"/>
      <c r="H21" s="329"/>
      <c r="I21" s="215"/>
      <c r="J21" s="329"/>
      <c r="K21" s="263"/>
      <c r="L21" s="6"/>
      <c r="M21" s="52"/>
      <c r="N21" s="52"/>
      <c r="O21" s="52"/>
      <c r="P21" s="52"/>
    </row>
    <row r="22" spans="2:16" s="3" customFormat="1" ht="12.75">
      <c r="B22" s="220" t="s">
        <v>225</v>
      </c>
      <c r="C22" s="215"/>
      <c r="D22" s="329">
        <f>+'FLUJO FRANQUICIA'!D8/'B. GENERAL'!D28</f>
        <v>9.879539066577923</v>
      </c>
      <c r="E22" s="215">
        <f>+'FLUJO FRANQUICIA'!E8/'B. GENERAL'!E28</f>
        <v>14.984411860917731</v>
      </c>
      <c r="F22" s="329">
        <f>+'FLUJO FRANQUICIA'!F8/'B. GENERAL'!F28</f>
        <v>10.503925213692686</v>
      </c>
      <c r="G22" s="215">
        <f>+'FLUJO FRANQUICIA'!G8/'B. GENERAL'!G28</f>
        <v>6.659255404730143</v>
      </c>
      <c r="H22" s="329">
        <f>+'FLUJO FRANQUICIA'!H8/'B. GENERAL'!H28</f>
        <v>4.853636460061581</v>
      </c>
      <c r="I22" s="215">
        <f>+'FLUJO FRANQUICIA'!I8/'B. GENERAL'!I28</f>
        <v>3.860639961556794</v>
      </c>
      <c r="J22" s="329">
        <f>+'FLUJO FRANQUICIA'!J8/'B. GENERAL'!J28</f>
        <v>3.1338957177811064</v>
      </c>
      <c r="K22" s="263"/>
      <c r="L22" s="6"/>
      <c r="M22" s="6"/>
      <c r="N22" s="6"/>
      <c r="O22" s="173"/>
      <c r="P22" s="52"/>
    </row>
    <row r="23" spans="2:16" s="3" customFormat="1" ht="12.75">
      <c r="B23" s="219" t="s">
        <v>226</v>
      </c>
      <c r="C23" s="215"/>
      <c r="D23" s="329"/>
      <c r="E23" s="215"/>
      <c r="F23" s="329"/>
      <c r="G23" s="215"/>
      <c r="H23" s="329"/>
      <c r="I23" s="215"/>
      <c r="J23" s="329"/>
      <c r="K23" s="263"/>
      <c r="L23" s="6"/>
      <c r="M23" s="6"/>
      <c r="N23" s="6"/>
      <c r="O23" s="173"/>
      <c r="P23" s="52"/>
    </row>
    <row r="24" spans="2:16" ht="12.75">
      <c r="B24" s="220" t="s">
        <v>227</v>
      </c>
      <c r="C24" s="215"/>
      <c r="D24" s="329">
        <f>+'FLUJO FRANQUICIA'!D8/'B. GENERAL'!D41</f>
        <v>93.95687331922964</v>
      </c>
      <c r="E24" s="215">
        <f>+'FLUJO FRANQUICIA'!E8/'B. GENERAL'!E41</f>
        <v>20.5340179108068</v>
      </c>
      <c r="F24" s="329">
        <f>+'FLUJO FRANQUICIA'!F8/'B. GENERAL'!F41</f>
        <v>10.50392520742637</v>
      </c>
      <c r="G24" s="215">
        <f>+'FLUJO FRANQUICIA'!G8/'B. GENERAL'!G41</f>
        <v>6.659255402376481</v>
      </c>
      <c r="H24" s="329">
        <f>+'FLUJO FRANQUICIA'!H8/'B. GENERAL'!H41</f>
        <v>4.85363645889313</v>
      </c>
      <c r="I24" s="215">
        <f>+'FLUJO FRANQUICIA'!I8/'B. GENERAL'!I41</f>
        <v>3.860639987310916</v>
      </c>
      <c r="J24" s="329">
        <f>+'FLUJO FRANQUICIA'!J8/'B. GENERAL'!J41</f>
        <v>3.133895733640296</v>
      </c>
      <c r="K24" s="263"/>
      <c r="L24" s="6"/>
      <c r="M24" s="6"/>
      <c r="N24" s="6"/>
      <c r="O24" s="185"/>
      <c r="P24" s="52"/>
    </row>
    <row r="25" spans="2:16" s="186" customFormat="1" ht="7.5" customHeight="1">
      <c r="B25" s="182"/>
      <c r="C25" s="221"/>
      <c r="D25" s="332"/>
      <c r="E25" s="221"/>
      <c r="F25" s="332"/>
      <c r="G25" s="221"/>
      <c r="H25" s="332"/>
      <c r="I25" s="221"/>
      <c r="J25" s="332"/>
      <c r="L25" s="187"/>
      <c r="M25" s="187"/>
      <c r="N25" s="187"/>
      <c r="O25" s="188"/>
      <c r="P25" s="189"/>
    </row>
    <row r="26" spans="2:16" ht="12.75">
      <c r="B26" s="169" t="s">
        <v>228</v>
      </c>
      <c r="C26" s="215"/>
      <c r="D26" s="329"/>
      <c r="E26" s="215"/>
      <c r="F26" s="329"/>
      <c r="G26" s="215"/>
      <c r="H26" s="329"/>
      <c r="I26" s="215"/>
      <c r="J26" s="329"/>
      <c r="L26" s="6"/>
      <c r="M26" s="6"/>
      <c r="N26" s="6"/>
      <c r="O26" s="173"/>
      <c r="P26" s="52"/>
    </row>
    <row r="27" spans="2:36" s="3" customFormat="1" ht="12.75">
      <c r="B27" s="219" t="s">
        <v>229</v>
      </c>
      <c r="C27" s="216"/>
      <c r="D27" s="330"/>
      <c r="E27" s="216"/>
      <c r="F27" s="330"/>
      <c r="G27" s="216"/>
      <c r="H27" s="330"/>
      <c r="I27" s="216"/>
      <c r="J27" s="33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</row>
    <row r="28" spans="2:16" ht="12.75">
      <c r="B28" s="220" t="s">
        <v>230</v>
      </c>
      <c r="C28" s="215"/>
      <c r="D28" s="333">
        <f>+'P&amp;G FRANQUICIA'!D19/'FLUJO FRANQUICIA'!D8</f>
        <v>0.2183553889869826</v>
      </c>
      <c r="E28" s="218">
        <f>+'P&amp;G FRANQUICIA'!E19/'FLUJO FRANQUICIA'!E8</f>
        <v>0.22154797803096132</v>
      </c>
      <c r="F28" s="333">
        <f>+'P&amp;G FRANQUICIA'!F19/'FLUJO FRANQUICIA'!F8</f>
        <v>0.24631687089603096</v>
      </c>
      <c r="G28" s="218">
        <f>+'P&amp;G FRANQUICIA'!G19/'FLUJO FRANQUICIA'!G8</f>
        <v>0.24885411270776656</v>
      </c>
      <c r="H28" s="333">
        <f>+'P&amp;G FRANQUICIA'!H19/'FLUJO FRANQUICIA'!H8</f>
        <v>0.2513318879145395</v>
      </c>
      <c r="I28" s="218">
        <f>+'P&amp;G FRANQUICIA'!I19/'FLUJO FRANQUICIA'!I8</f>
        <v>0.2537515902649038</v>
      </c>
      <c r="J28" s="333">
        <f>+'P&amp;G FRANQUICIA'!J19/'FLUJO FRANQUICIA'!J8</f>
        <v>0.2561145808414311</v>
      </c>
      <c r="K28" s="165"/>
      <c r="L28" s="282"/>
      <c r="M28" s="6"/>
      <c r="N28" s="6"/>
      <c r="O28" s="173"/>
      <c r="P28" s="52"/>
    </row>
    <row r="29" spans="2:16" ht="12.75">
      <c r="B29" s="219" t="s">
        <v>267</v>
      </c>
      <c r="C29" s="215"/>
      <c r="D29" s="333"/>
      <c r="E29" s="218"/>
      <c r="F29" s="333"/>
      <c r="G29" s="218"/>
      <c r="H29" s="333"/>
      <c r="I29" s="218"/>
      <c r="J29" s="333"/>
      <c r="K29" s="165"/>
      <c r="L29" s="282"/>
      <c r="M29" s="6"/>
      <c r="N29" s="6"/>
      <c r="O29" s="173"/>
      <c r="P29" s="52"/>
    </row>
    <row r="30" spans="2:16" ht="12.75">
      <c r="B30" s="220" t="s">
        <v>266</v>
      </c>
      <c r="C30" s="215"/>
      <c r="D30" s="333">
        <f>+'P&amp;G FRANQUICIA'!D43/'FLUJO FRANQUICIA'!D8</f>
        <v>-0.1596282347739188</v>
      </c>
      <c r="E30" s="218">
        <f>+'P&amp;G FRANQUICIA'!E43/'FLUJO FRANQUICIA'!E8</f>
        <v>0.08094337249152589</v>
      </c>
      <c r="F30" s="333">
        <f>+'P&amp;G FRANQUICIA'!F43/'FLUJO FRANQUICIA'!F8</f>
        <v>0.10366922252278464</v>
      </c>
      <c r="G30" s="218">
        <f>+'P&amp;G FRANQUICIA'!G43/'FLUJO FRANQUICIA'!G8</f>
        <v>0.11076793914028722</v>
      </c>
      <c r="H30" s="333">
        <f>+'P&amp;G FRANQUICIA'!H43/'FLUJO FRANQUICIA'!H8</f>
        <v>0.11891157718127449</v>
      </c>
      <c r="I30" s="218">
        <f>+'P&amp;G FRANQUICIA'!I43/'FLUJO FRANQUICIA'!I8</f>
        <v>0.12033735395480813</v>
      </c>
      <c r="J30" s="333">
        <f>+'P&amp;G FRANQUICIA'!J43/'FLUJO FRANQUICIA'!J8</f>
        <v>0.13942239186739347</v>
      </c>
      <c r="K30" s="165"/>
      <c r="L30" s="282"/>
      <c r="M30" s="6"/>
      <c r="N30" s="6"/>
      <c r="O30" s="173"/>
      <c r="P30" s="52"/>
    </row>
    <row r="31" spans="2:16" ht="12.75">
      <c r="B31" s="219" t="s">
        <v>231</v>
      </c>
      <c r="C31" s="215"/>
      <c r="D31" s="333"/>
      <c r="E31" s="218"/>
      <c r="F31" s="333"/>
      <c r="G31" s="218"/>
      <c r="H31" s="333"/>
      <c r="I31" s="218"/>
      <c r="J31" s="333"/>
      <c r="K31" s="165"/>
      <c r="L31" s="282"/>
      <c r="M31" s="52"/>
      <c r="N31" s="52"/>
      <c r="O31" s="52"/>
      <c r="P31" s="52"/>
    </row>
    <row r="32" spans="2:16" ht="12.75">
      <c r="B32" s="220" t="s">
        <v>232</v>
      </c>
      <c r="C32" s="218"/>
      <c r="D32" s="333">
        <f>+'P&amp;G FRANQUICIA'!D43/'B. GENERAL'!D41</f>
        <v>-14.998169832825337</v>
      </c>
      <c r="E32" s="218">
        <f>+'P&amp;G FRANQUICIA'!E43/'B. GENERAL'!E41</f>
        <v>1.662092660502099</v>
      </c>
      <c r="F32" s="333">
        <f>+'P&amp;G FRANQUICIA'!F43/'B. GENERAL'!F41</f>
        <v>1.088933759691371</v>
      </c>
      <c r="G32" s="218">
        <f>+'P&amp;G FRANQUICIA'!G43/'B. GENERAL'!G41</f>
        <v>0.7376319971300669</v>
      </c>
      <c r="H32" s="333">
        <f>+'P&amp;G FRANQUICIA'!H43/'B. GENERAL'!H41</f>
        <v>0.5771535663915182</v>
      </c>
      <c r="I32" s="218">
        <f>+'P&amp;G FRANQUICIA'!I43/'B. GENERAL'!I41</f>
        <v>0.4645792006451197</v>
      </c>
      <c r="J32" s="333">
        <f>+'P&amp;G FRANQUICIA'!J43/'B. GENERAL'!J41</f>
        <v>0.4369352390471499</v>
      </c>
      <c r="K32" s="165"/>
      <c r="L32" s="282"/>
      <c r="M32" s="52"/>
      <c r="N32" s="52"/>
      <c r="O32" s="52"/>
      <c r="P32" s="52"/>
    </row>
    <row r="33" spans="2:16" ht="5.25" customHeight="1">
      <c r="B33" s="183"/>
      <c r="C33" s="215"/>
      <c r="D33" s="329"/>
      <c r="E33" s="215"/>
      <c r="F33" s="329"/>
      <c r="G33" s="215"/>
      <c r="H33" s="329"/>
      <c r="I33" s="215"/>
      <c r="J33" s="329"/>
      <c r="K33" s="174"/>
      <c r="L33" s="175"/>
      <c r="M33" s="52"/>
      <c r="N33" s="52"/>
      <c r="O33" s="52"/>
      <c r="P33" s="52"/>
    </row>
    <row r="34" spans="2:16" ht="12.75">
      <c r="B34" s="217" t="s">
        <v>262</v>
      </c>
      <c r="C34" s="215"/>
      <c r="D34" s="329"/>
      <c r="E34" s="215"/>
      <c r="F34" s="329"/>
      <c r="G34" s="215"/>
      <c r="H34" s="329"/>
      <c r="I34" s="215"/>
      <c r="J34" s="329"/>
      <c r="K34" s="174"/>
      <c r="L34" s="175"/>
      <c r="M34" s="52"/>
      <c r="N34" s="52"/>
      <c r="O34" s="52"/>
      <c r="P34" s="52"/>
    </row>
    <row r="35" spans="2:16" ht="12.75">
      <c r="B35" s="219" t="s">
        <v>233</v>
      </c>
      <c r="C35" s="215"/>
      <c r="D35" s="329"/>
      <c r="E35" s="215"/>
      <c r="F35" s="329"/>
      <c r="G35" s="215"/>
      <c r="H35" s="329"/>
      <c r="I35" s="215"/>
      <c r="J35" s="329"/>
      <c r="K35" s="174"/>
      <c r="L35" s="175"/>
      <c r="M35" s="52"/>
      <c r="N35" s="52"/>
      <c r="O35" s="52"/>
      <c r="P35" s="52"/>
    </row>
    <row r="36" spans="2:16" s="3" customFormat="1" ht="12.75">
      <c r="B36" s="220" t="s">
        <v>234</v>
      </c>
      <c r="C36" s="6">
        <f>+'B. GENERAL'!C35/'B. GENERAL'!C41</f>
        <v>0.75</v>
      </c>
      <c r="D36" s="334">
        <f>+'B. GENERAL'!D35/'B. GENERAL'!D41</f>
        <v>8.510248675171685</v>
      </c>
      <c r="E36" s="6">
        <f>+'B. GENERAL'!E35/'B. GENERAL'!E41</f>
        <v>0.3703586167678359</v>
      </c>
      <c r="F36" s="329"/>
      <c r="G36" s="215"/>
      <c r="H36" s="329"/>
      <c r="I36" s="215"/>
      <c r="J36" s="329"/>
      <c r="K36" s="192"/>
      <c r="L36" s="193"/>
      <c r="M36" s="61"/>
      <c r="N36" s="61"/>
      <c r="O36" s="61"/>
      <c r="P36" s="61"/>
    </row>
    <row r="37" spans="2:16" ht="12.75">
      <c r="B37" s="219" t="s">
        <v>235</v>
      </c>
      <c r="C37" s="218"/>
      <c r="D37" s="333"/>
      <c r="E37" s="218"/>
      <c r="F37" s="329"/>
      <c r="G37" s="215"/>
      <c r="H37" s="329"/>
      <c r="I37" s="215"/>
      <c r="J37" s="329"/>
      <c r="K37" s="174"/>
      <c r="L37" s="175"/>
      <c r="M37" s="52"/>
      <c r="N37" s="52"/>
      <c r="O37" s="52"/>
      <c r="P37" s="52"/>
    </row>
    <row r="38" spans="2:16" s="3" customFormat="1" ht="12.75">
      <c r="B38" s="220" t="s">
        <v>236</v>
      </c>
      <c r="C38" s="6">
        <f>+'B. GENERAL'!C35/'B. GENERAL'!C28</f>
        <v>0.42857142857142855</v>
      </c>
      <c r="D38" s="334">
        <f>+'B. GENERAL'!D35/'B. GENERAL'!D28</f>
        <v>0.8948502784568929</v>
      </c>
      <c r="E38" s="6">
        <f>+'B. GENERAL'!E35/'B. GENERAL'!E28</f>
        <v>0.27026401135884637</v>
      </c>
      <c r="F38" s="333"/>
      <c r="G38" s="218"/>
      <c r="H38" s="329"/>
      <c r="I38" s="215"/>
      <c r="J38" s="329"/>
      <c r="K38" s="194"/>
      <c r="L38" s="193"/>
      <c r="M38" s="61"/>
      <c r="N38" s="61"/>
      <c r="O38" s="61"/>
      <c r="P38" s="61"/>
    </row>
    <row r="39" spans="2:16" s="3" customFormat="1" ht="6" customHeight="1">
      <c r="B39" s="169"/>
      <c r="C39" s="216"/>
      <c r="D39" s="330"/>
      <c r="E39" s="216"/>
      <c r="F39" s="330"/>
      <c r="G39" s="216"/>
      <c r="H39" s="330"/>
      <c r="I39" s="216"/>
      <c r="J39" s="330"/>
      <c r="K39" s="194"/>
      <c r="L39" s="74"/>
      <c r="M39" s="74"/>
      <c r="N39" s="74"/>
      <c r="O39" s="74"/>
      <c r="P39" s="74"/>
    </row>
    <row r="40" spans="2:11" s="129" customFormat="1" ht="12.75">
      <c r="B40" s="169" t="s">
        <v>228</v>
      </c>
      <c r="C40" s="215"/>
      <c r="D40" s="329"/>
      <c r="E40" s="215"/>
      <c r="F40" s="329"/>
      <c r="G40" s="215"/>
      <c r="H40" s="329"/>
      <c r="I40" s="215"/>
      <c r="J40" s="329"/>
      <c r="K40" s="197"/>
    </row>
    <row r="41" spans="2:11" s="74" customFormat="1" ht="12.75">
      <c r="B41" s="171" t="s">
        <v>124</v>
      </c>
      <c r="C41" s="280">
        <f>+'FLUJO FRANQUICIA'!C52</f>
        <v>0</v>
      </c>
      <c r="D41" s="330"/>
      <c r="E41" s="216"/>
      <c r="F41" s="330"/>
      <c r="G41" s="216"/>
      <c r="H41" s="330"/>
      <c r="I41" s="216"/>
      <c r="J41" s="330"/>
      <c r="K41" s="197"/>
    </row>
    <row r="42" spans="2:10" s="129" customFormat="1" ht="12.75">
      <c r="B42" s="171" t="s">
        <v>123</v>
      </c>
      <c r="C42" s="170">
        <f>+'FLUJO FRANQUICIA'!C51</f>
        <v>0</v>
      </c>
      <c r="D42" s="329"/>
      <c r="E42" s="215"/>
      <c r="F42" s="329"/>
      <c r="G42" s="215"/>
      <c r="H42" s="329"/>
      <c r="I42" s="215"/>
      <c r="J42" s="329"/>
    </row>
    <row r="43" spans="2:10" s="129" customFormat="1" ht="13.5" thickBot="1">
      <c r="B43" s="176" t="s">
        <v>237</v>
      </c>
      <c r="C43" s="281">
        <f>+'A. SENCIBILIDAD'!C23</f>
        <v>4.061124803981522</v>
      </c>
      <c r="D43" s="335"/>
      <c r="E43" s="222"/>
      <c r="F43" s="335"/>
      <c r="G43" s="222"/>
      <c r="H43" s="335"/>
      <c r="I43" s="222"/>
      <c r="J43" s="335"/>
    </row>
    <row r="44" spans="6:16" ht="12.75">
      <c r="F44" s="177"/>
      <c r="L44" s="129"/>
      <c r="M44" s="129"/>
      <c r="N44" s="129"/>
      <c r="O44" s="129"/>
      <c r="P44" s="129"/>
    </row>
    <row r="45" spans="6:16" ht="12.75">
      <c r="F45" s="178"/>
      <c r="L45" s="129"/>
      <c r="M45" s="129"/>
      <c r="N45" s="129"/>
      <c r="O45" s="129"/>
      <c r="P45" s="129"/>
    </row>
    <row r="46" spans="6:16" ht="12.75">
      <c r="F46" s="177"/>
      <c r="L46" s="129"/>
      <c r="M46" s="129"/>
      <c r="N46" s="129"/>
      <c r="O46" s="129"/>
      <c r="P46" s="129"/>
    </row>
    <row r="47" spans="12:16" ht="12.75">
      <c r="L47" s="129"/>
      <c r="M47" s="129"/>
      <c r="N47" s="129"/>
      <c r="O47" s="129"/>
      <c r="P47" s="129"/>
    </row>
    <row r="48" spans="6:16" ht="21" customHeight="1">
      <c r="F48" s="200"/>
      <c r="G48" s="201"/>
      <c r="L48" s="129"/>
      <c r="M48" s="129"/>
      <c r="N48" s="129"/>
      <c r="O48" s="129"/>
      <c r="P48" s="129"/>
    </row>
    <row r="49" spans="6:16" ht="12.75">
      <c r="F49" s="139"/>
      <c r="L49" s="129"/>
      <c r="M49" s="129"/>
      <c r="N49" s="129"/>
      <c r="O49" s="129"/>
      <c r="P49" s="129"/>
    </row>
    <row r="50" spans="6:16" ht="12.75">
      <c r="F50" s="139"/>
      <c r="L50" s="129"/>
      <c r="M50" s="129"/>
      <c r="N50" s="129"/>
      <c r="O50" s="129"/>
      <c r="P50" s="129"/>
    </row>
    <row r="51" spans="6:16" ht="12.75">
      <c r="F51" s="139"/>
      <c r="L51" s="129"/>
      <c r="M51" s="129"/>
      <c r="N51" s="129"/>
      <c r="O51" s="129"/>
      <c r="P51" s="129"/>
    </row>
    <row r="52" spans="6:16" ht="12.75">
      <c r="F52" s="139"/>
      <c r="L52" s="129"/>
      <c r="M52" s="129"/>
      <c r="N52" s="129"/>
      <c r="O52" s="129"/>
      <c r="P52" s="129"/>
    </row>
    <row r="53" spans="6:16" ht="12.75">
      <c r="F53" s="139"/>
      <c r="L53" s="129"/>
      <c r="M53" s="129"/>
      <c r="N53" s="129"/>
      <c r="O53" s="129"/>
      <c r="P53" s="129"/>
    </row>
    <row r="54" spans="6:16" ht="12.75">
      <c r="F54" s="143"/>
      <c r="L54" s="129"/>
      <c r="M54" s="129"/>
      <c r="N54" s="129"/>
      <c r="O54" s="129"/>
      <c r="P54" s="129"/>
    </row>
    <row r="55" spans="12:16" ht="12.75">
      <c r="L55" s="129"/>
      <c r="M55" s="129"/>
      <c r="N55" s="129"/>
      <c r="O55" s="129"/>
      <c r="P55" s="129"/>
    </row>
    <row r="56" spans="12:16" ht="12.75">
      <c r="L56" s="129"/>
      <c r="M56" s="129"/>
      <c r="N56" s="129"/>
      <c r="O56" s="129"/>
      <c r="P56" s="129"/>
    </row>
    <row r="57" spans="12:16" ht="12.75">
      <c r="L57" s="129"/>
      <c r="M57" s="129"/>
      <c r="N57" s="129"/>
      <c r="O57" s="129"/>
      <c r="P57" s="129"/>
    </row>
    <row r="58" spans="12:16" ht="12.75">
      <c r="L58" s="129"/>
      <c r="M58" s="129"/>
      <c r="N58" s="129"/>
      <c r="O58" s="129"/>
      <c r="P58" s="129"/>
    </row>
    <row r="59" spans="12:16" ht="12.75">
      <c r="L59" s="129"/>
      <c r="M59" s="129"/>
      <c r="N59" s="129"/>
      <c r="O59" s="129"/>
      <c r="P59" s="129"/>
    </row>
    <row r="60" spans="12:16" ht="12.75">
      <c r="L60" s="129"/>
      <c r="M60" s="129"/>
      <c r="N60" s="129"/>
      <c r="O60" s="129"/>
      <c r="P60" s="129"/>
    </row>
    <row r="61" spans="12:16" ht="12.75">
      <c r="L61" s="129"/>
      <c r="M61" s="129"/>
      <c r="N61" s="129"/>
      <c r="O61" s="129"/>
      <c r="P61" s="129"/>
    </row>
    <row r="62" spans="12:16" ht="12.75">
      <c r="L62" s="129"/>
      <c r="M62" s="129"/>
      <c r="N62" s="129"/>
      <c r="O62" s="129"/>
      <c r="P62" s="129"/>
    </row>
    <row r="63" spans="12:16" ht="12.75">
      <c r="L63" s="129"/>
      <c r="M63" s="129"/>
      <c r="N63" s="129"/>
      <c r="O63" s="129"/>
      <c r="P63" s="129"/>
    </row>
    <row r="64" spans="12:16" ht="12.75">
      <c r="L64" s="129"/>
      <c r="M64" s="129"/>
      <c r="N64" s="129"/>
      <c r="O64" s="129"/>
      <c r="P64" s="129"/>
    </row>
    <row r="65" spans="12:16" ht="12.75">
      <c r="L65" s="129"/>
      <c r="M65" s="129"/>
      <c r="N65" s="129"/>
      <c r="O65" s="129"/>
      <c r="P65" s="129"/>
    </row>
    <row r="66" spans="12:16" ht="12.75">
      <c r="L66" s="129"/>
      <c r="M66" s="129"/>
      <c r="N66" s="129"/>
      <c r="O66" s="129"/>
      <c r="P66" s="129"/>
    </row>
    <row r="67" spans="12:16" ht="12.75">
      <c r="L67" s="129"/>
      <c r="M67" s="129"/>
      <c r="N67" s="129"/>
      <c r="O67" s="129"/>
      <c r="P67" s="129"/>
    </row>
    <row r="68" spans="12:16" ht="12.75">
      <c r="L68" s="129"/>
      <c r="M68" s="129"/>
      <c r="N68" s="129"/>
      <c r="O68" s="129"/>
      <c r="P68" s="129"/>
    </row>
    <row r="69" spans="12:16" ht="12.75">
      <c r="L69" s="129"/>
      <c r="M69" s="129"/>
      <c r="N69" s="129"/>
      <c r="O69" s="129"/>
      <c r="P69" s="129"/>
    </row>
    <row r="70" spans="12:16" ht="12.75">
      <c r="L70" s="129"/>
      <c r="M70" s="129"/>
      <c r="N70" s="129"/>
      <c r="O70" s="129"/>
      <c r="P70" s="129"/>
    </row>
    <row r="71" spans="12:16" ht="12.75">
      <c r="L71" s="129"/>
      <c r="M71" s="129"/>
      <c r="N71" s="129"/>
      <c r="O71" s="129"/>
      <c r="P71" s="129"/>
    </row>
    <row r="72" spans="12:16" ht="12.75">
      <c r="L72" s="129"/>
      <c r="M72" s="129"/>
      <c r="N72" s="129"/>
      <c r="O72" s="129"/>
      <c r="P72" s="129"/>
    </row>
    <row r="73" spans="12:16" ht="12.75">
      <c r="L73" s="129"/>
      <c r="M73" s="129"/>
      <c r="N73" s="129"/>
      <c r="O73" s="129"/>
      <c r="P73" s="129"/>
    </row>
    <row r="74" spans="12:16" ht="12.75">
      <c r="L74" s="129"/>
      <c r="M74" s="129"/>
      <c r="N74" s="129"/>
      <c r="O74" s="129"/>
      <c r="P74" s="129"/>
    </row>
    <row r="75" spans="12:16" ht="12.75">
      <c r="L75" s="129"/>
      <c r="M75" s="129"/>
      <c r="N75" s="129"/>
      <c r="O75" s="129"/>
      <c r="P75" s="129"/>
    </row>
    <row r="76" spans="12:16" ht="12.75">
      <c r="L76" s="129"/>
      <c r="M76" s="129"/>
      <c r="N76" s="129"/>
      <c r="O76" s="129"/>
      <c r="P76" s="129"/>
    </row>
    <row r="77" spans="12:16" ht="12.75">
      <c r="L77" s="129"/>
      <c r="M77" s="129"/>
      <c r="N77" s="129"/>
      <c r="O77" s="129"/>
      <c r="P77" s="129"/>
    </row>
    <row r="78" spans="12:16" ht="12.75">
      <c r="L78" s="129"/>
      <c r="M78" s="129"/>
      <c r="N78" s="129"/>
      <c r="O78" s="129"/>
      <c r="P78" s="129"/>
    </row>
    <row r="79" spans="12:16" ht="12.75">
      <c r="L79" s="129"/>
      <c r="M79" s="129"/>
      <c r="N79" s="129"/>
      <c r="O79" s="129"/>
      <c r="P79" s="129"/>
    </row>
    <row r="80" spans="12:16" ht="12.75">
      <c r="L80" s="129"/>
      <c r="M80" s="129"/>
      <c r="N80" s="129"/>
      <c r="O80" s="129"/>
      <c r="P80" s="129"/>
    </row>
    <row r="81" spans="12:16" ht="12.75">
      <c r="L81" s="129"/>
      <c r="M81" s="129"/>
      <c r="N81" s="129"/>
      <c r="O81" s="129"/>
      <c r="P81" s="129"/>
    </row>
    <row r="82" spans="12:16" ht="12.75">
      <c r="L82" s="129"/>
      <c r="M82" s="129"/>
      <c r="N82" s="129"/>
      <c r="O82" s="129"/>
      <c r="P82" s="129"/>
    </row>
    <row r="83" spans="12:16" ht="12.75">
      <c r="L83" s="129"/>
      <c r="M83" s="129"/>
      <c r="N83" s="129"/>
      <c r="O83" s="129"/>
      <c r="P83" s="129"/>
    </row>
    <row r="84" spans="12:16" ht="12.75">
      <c r="L84" s="129"/>
      <c r="M84" s="129"/>
      <c r="N84" s="129"/>
      <c r="O84" s="129"/>
      <c r="P84" s="129"/>
    </row>
    <row r="85" spans="12:16" ht="12.75">
      <c r="L85" s="129"/>
      <c r="M85" s="129"/>
      <c r="N85" s="129"/>
      <c r="O85" s="129"/>
      <c r="P85" s="129"/>
    </row>
    <row r="86" spans="12:16" ht="12.75">
      <c r="L86" s="129"/>
      <c r="M86" s="129"/>
      <c r="N86" s="129"/>
      <c r="O86" s="129"/>
      <c r="P86" s="129"/>
    </row>
    <row r="87" spans="12:16" ht="12.75">
      <c r="L87" s="129"/>
      <c r="M87" s="129"/>
      <c r="N87" s="129"/>
      <c r="O87" s="129"/>
      <c r="P87" s="129"/>
    </row>
    <row r="88" spans="12:16" ht="12.75">
      <c r="L88" s="129"/>
      <c r="M88" s="129"/>
      <c r="N88" s="129"/>
      <c r="O88" s="129"/>
      <c r="P88" s="129"/>
    </row>
    <row r="89" spans="12:16" ht="12.75">
      <c r="L89" s="129"/>
      <c r="M89" s="129"/>
      <c r="N89" s="129"/>
      <c r="O89" s="129"/>
      <c r="P89" s="129"/>
    </row>
    <row r="90" spans="12:16" ht="12.75">
      <c r="L90" s="129"/>
      <c r="M90" s="129"/>
      <c r="N90" s="129"/>
      <c r="O90" s="129"/>
      <c r="P90" s="129"/>
    </row>
    <row r="91" spans="12:16" ht="12.75">
      <c r="L91" s="129"/>
      <c r="M91" s="129"/>
      <c r="N91" s="129"/>
      <c r="O91" s="129"/>
      <c r="P91" s="129"/>
    </row>
    <row r="92" spans="12:16" ht="12.75">
      <c r="L92" s="129"/>
      <c r="M92" s="129"/>
      <c r="N92" s="129"/>
      <c r="O92" s="129"/>
      <c r="P92" s="129"/>
    </row>
    <row r="93" spans="12:16" ht="12.75">
      <c r="L93" s="129"/>
      <c r="M93" s="129"/>
      <c r="N93" s="129"/>
      <c r="O93" s="129"/>
      <c r="P93" s="129"/>
    </row>
    <row r="94" spans="12:16" ht="12.75">
      <c r="L94" s="129"/>
      <c r="M94" s="129"/>
      <c r="N94" s="129"/>
      <c r="O94" s="129"/>
      <c r="P94" s="129"/>
    </row>
    <row r="95" spans="12:16" ht="12.75">
      <c r="L95" s="129"/>
      <c r="M95" s="129"/>
      <c r="N95" s="129"/>
      <c r="O95" s="129"/>
      <c r="P95" s="129"/>
    </row>
    <row r="96" spans="12:16" ht="12.75">
      <c r="L96" s="129"/>
      <c r="M96" s="129"/>
      <c r="N96" s="129"/>
      <c r="O96" s="129"/>
      <c r="P96" s="129"/>
    </row>
    <row r="97" spans="12:16" ht="12.75">
      <c r="L97" s="129"/>
      <c r="M97" s="129"/>
      <c r="N97" s="129"/>
      <c r="O97" s="129"/>
      <c r="P97" s="129"/>
    </row>
    <row r="98" spans="12:16" ht="12.75">
      <c r="L98" s="129"/>
      <c r="M98" s="129"/>
      <c r="N98" s="129"/>
      <c r="O98" s="129"/>
      <c r="P98" s="129"/>
    </row>
    <row r="99" spans="12:16" ht="12.75">
      <c r="L99" s="129"/>
      <c r="M99" s="129"/>
      <c r="N99" s="129"/>
      <c r="O99" s="129"/>
      <c r="P99" s="129"/>
    </row>
    <row r="100" spans="12:16" ht="12.75">
      <c r="L100" s="129"/>
      <c r="M100" s="129"/>
      <c r="N100" s="129"/>
      <c r="O100" s="129"/>
      <c r="P100" s="129"/>
    </row>
    <row r="101" spans="12:16" ht="12.75">
      <c r="L101" s="129"/>
      <c r="M101" s="129"/>
      <c r="N101" s="129"/>
      <c r="O101" s="129"/>
      <c r="P101" s="129"/>
    </row>
    <row r="102" spans="12:16" ht="12.75">
      <c r="L102" s="129"/>
      <c r="M102" s="129"/>
      <c r="N102" s="129"/>
      <c r="O102" s="129"/>
      <c r="P102" s="129"/>
    </row>
    <row r="103" spans="12:16" ht="12.75">
      <c r="L103" s="129"/>
      <c r="M103" s="129"/>
      <c r="N103" s="129"/>
      <c r="O103" s="129"/>
      <c r="P103" s="129"/>
    </row>
    <row r="104" spans="12:16" ht="12.75">
      <c r="L104" s="129"/>
      <c r="M104" s="129"/>
      <c r="N104" s="129"/>
      <c r="O104" s="129"/>
      <c r="P104" s="129"/>
    </row>
    <row r="105" spans="12:16" ht="12.75">
      <c r="L105" s="129"/>
      <c r="M105" s="129"/>
      <c r="N105" s="129"/>
      <c r="O105" s="129"/>
      <c r="P105" s="129"/>
    </row>
    <row r="106" spans="12:16" ht="12.75">
      <c r="L106" s="129"/>
      <c r="M106" s="129"/>
      <c r="N106" s="129"/>
      <c r="O106" s="129"/>
      <c r="P106" s="129"/>
    </row>
    <row r="107" spans="12:16" ht="12.75">
      <c r="L107" s="129"/>
      <c r="M107" s="129"/>
      <c r="N107" s="129"/>
      <c r="O107" s="129"/>
      <c r="P107" s="129"/>
    </row>
    <row r="108" spans="12:16" ht="12.75">
      <c r="L108" s="129"/>
      <c r="M108" s="129"/>
      <c r="N108" s="129"/>
      <c r="O108" s="129"/>
      <c r="P108" s="129"/>
    </row>
    <row r="109" spans="12:16" ht="12.75">
      <c r="L109" s="129"/>
      <c r="M109" s="129"/>
      <c r="N109" s="129"/>
      <c r="O109" s="129"/>
      <c r="P109" s="129"/>
    </row>
    <row r="110" spans="12:16" ht="12.75">
      <c r="L110" s="129"/>
      <c r="M110" s="129"/>
      <c r="N110" s="129"/>
      <c r="O110" s="129"/>
      <c r="P110" s="129"/>
    </row>
    <row r="111" spans="12:16" ht="12.75">
      <c r="L111" s="129"/>
      <c r="M111" s="129"/>
      <c r="N111" s="129"/>
      <c r="O111" s="129"/>
      <c r="P111" s="129"/>
    </row>
    <row r="112" spans="12:16" ht="12.75">
      <c r="L112" s="129"/>
      <c r="M112" s="129"/>
      <c r="N112" s="129"/>
      <c r="O112" s="129"/>
      <c r="P112" s="129"/>
    </row>
    <row r="113" spans="12:16" ht="12.75">
      <c r="L113" s="129"/>
      <c r="M113" s="129"/>
      <c r="N113" s="129"/>
      <c r="O113" s="129"/>
      <c r="P113" s="129"/>
    </row>
    <row r="114" spans="12:16" ht="12.75">
      <c r="L114" s="129"/>
      <c r="M114" s="129"/>
      <c r="N114" s="129"/>
      <c r="O114" s="129"/>
      <c r="P114" s="129"/>
    </row>
    <row r="115" spans="12:16" ht="12.75">
      <c r="L115" s="129"/>
      <c r="M115" s="129"/>
      <c r="N115" s="129"/>
      <c r="O115" s="129"/>
      <c r="P115" s="129"/>
    </row>
    <row r="116" spans="12:16" ht="12.75">
      <c r="L116" s="129"/>
      <c r="M116" s="129"/>
      <c r="N116" s="129"/>
      <c r="O116" s="129"/>
      <c r="P116" s="129"/>
    </row>
    <row r="117" spans="12:16" ht="12.75">
      <c r="L117" s="129"/>
      <c r="M117" s="129"/>
      <c r="N117" s="129"/>
      <c r="O117" s="129"/>
      <c r="P117" s="129"/>
    </row>
    <row r="118" spans="12:16" ht="12.75">
      <c r="L118" s="129"/>
      <c r="M118" s="129"/>
      <c r="N118" s="129"/>
      <c r="O118" s="129"/>
      <c r="P118" s="129"/>
    </row>
    <row r="119" spans="12:16" ht="12.75">
      <c r="L119" s="129"/>
      <c r="M119" s="129"/>
      <c r="N119" s="129"/>
      <c r="O119" s="129"/>
      <c r="P119" s="129"/>
    </row>
    <row r="120" spans="12:16" ht="12.75">
      <c r="L120" s="129"/>
      <c r="M120" s="129"/>
      <c r="N120" s="129"/>
      <c r="O120" s="129"/>
      <c r="P120" s="129"/>
    </row>
    <row r="121" spans="12:16" ht="12.75">
      <c r="L121" s="129"/>
      <c r="M121" s="129"/>
      <c r="N121" s="129"/>
      <c r="O121" s="129"/>
      <c r="P121" s="129"/>
    </row>
    <row r="122" spans="12:16" ht="12.75">
      <c r="L122" s="129"/>
      <c r="M122" s="129"/>
      <c r="N122" s="129"/>
      <c r="O122" s="129"/>
      <c r="P122" s="129"/>
    </row>
    <row r="123" spans="12:16" ht="12.75">
      <c r="L123" s="129"/>
      <c r="M123" s="129"/>
      <c r="N123" s="129"/>
      <c r="O123" s="129"/>
      <c r="P123" s="129"/>
    </row>
    <row r="124" spans="12:16" ht="12.75">
      <c r="L124" s="129"/>
      <c r="M124" s="129"/>
      <c r="N124" s="129"/>
      <c r="O124" s="129"/>
      <c r="P124" s="129"/>
    </row>
    <row r="125" spans="12:16" ht="12.75">
      <c r="L125" s="129"/>
      <c r="M125" s="129"/>
      <c r="N125" s="129"/>
      <c r="O125" s="129"/>
      <c r="P125" s="129"/>
    </row>
    <row r="126" spans="12:16" ht="12.75">
      <c r="L126" s="129"/>
      <c r="M126" s="129"/>
      <c r="N126" s="129"/>
      <c r="O126" s="129"/>
      <c r="P126" s="129"/>
    </row>
    <row r="127" spans="12:16" ht="12.75">
      <c r="L127" s="129"/>
      <c r="M127" s="129"/>
      <c r="N127" s="129"/>
      <c r="O127" s="129"/>
      <c r="P127" s="129"/>
    </row>
    <row r="128" spans="12:16" ht="12.75">
      <c r="L128" s="129"/>
      <c r="M128" s="129"/>
      <c r="N128" s="129"/>
      <c r="O128" s="129"/>
      <c r="P128" s="129"/>
    </row>
    <row r="129" spans="12:16" ht="12.75">
      <c r="L129" s="129"/>
      <c r="M129" s="129"/>
      <c r="N129" s="129"/>
      <c r="O129" s="129"/>
      <c r="P129" s="129"/>
    </row>
    <row r="130" spans="12:16" ht="12.75">
      <c r="L130" s="129"/>
      <c r="M130" s="129"/>
      <c r="N130" s="129"/>
      <c r="O130" s="129"/>
      <c r="P130" s="129"/>
    </row>
    <row r="131" spans="12:16" ht="12.75">
      <c r="L131" s="129"/>
      <c r="M131" s="129"/>
      <c r="N131" s="129"/>
      <c r="O131" s="129"/>
      <c r="P131" s="129"/>
    </row>
    <row r="132" spans="12:16" ht="12.75">
      <c r="L132" s="129"/>
      <c r="M132" s="129"/>
      <c r="N132" s="129"/>
      <c r="O132" s="129"/>
      <c r="P132" s="129"/>
    </row>
    <row r="133" spans="12:16" ht="12.75">
      <c r="L133" s="129"/>
      <c r="M133" s="129"/>
      <c r="N133" s="129"/>
      <c r="O133" s="129"/>
      <c r="P133" s="129"/>
    </row>
    <row r="134" spans="12:16" ht="12.75">
      <c r="L134" s="129"/>
      <c r="M134" s="129"/>
      <c r="N134" s="129"/>
      <c r="O134" s="129"/>
      <c r="P134" s="129"/>
    </row>
    <row r="135" spans="12:16" ht="12.75">
      <c r="L135" s="129"/>
      <c r="M135" s="129"/>
      <c r="N135" s="129"/>
      <c r="O135" s="129"/>
      <c r="P135" s="129"/>
    </row>
    <row r="136" spans="12:16" ht="12.75">
      <c r="L136" s="129"/>
      <c r="M136" s="129"/>
      <c r="N136" s="129"/>
      <c r="O136" s="129"/>
      <c r="P136" s="129"/>
    </row>
    <row r="137" spans="12:16" ht="12.75">
      <c r="L137" s="129"/>
      <c r="M137" s="129"/>
      <c r="N137" s="129"/>
      <c r="O137" s="129"/>
      <c r="P137" s="129"/>
    </row>
    <row r="138" spans="12:16" ht="12.75">
      <c r="L138" s="129"/>
      <c r="M138" s="129"/>
      <c r="N138" s="129"/>
      <c r="O138" s="129"/>
      <c r="P138" s="129"/>
    </row>
    <row r="139" spans="12:16" ht="12.75">
      <c r="L139" s="129"/>
      <c r="M139" s="129"/>
      <c r="N139" s="129"/>
      <c r="O139" s="129"/>
      <c r="P139" s="129"/>
    </row>
    <row r="140" spans="12:16" ht="12.75">
      <c r="L140" s="129"/>
      <c r="M140" s="129"/>
      <c r="N140" s="129"/>
      <c r="O140" s="129"/>
      <c r="P140" s="129"/>
    </row>
    <row r="141" spans="12:16" ht="12.75">
      <c r="L141" s="129"/>
      <c r="M141" s="129"/>
      <c r="N141" s="129"/>
      <c r="O141" s="129"/>
      <c r="P141" s="129"/>
    </row>
    <row r="142" spans="12:16" ht="12.75">
      <c r="L142" s="129"/>
      <c r="M142" s="129"/>
      <c r="N142" s="129"/>
      <c r="O142" s="129"/>
      <c r="P142" s="129"/>
    </row>
    <row r="143" spans="12:16" ht="12.75">
      <c r="L143" s="129"/>
      <c r="M143" s="129"/>
      <c r="N143" s="129"/>
      <c r="O143" s="129"/>
      <c r="P143" s="129"/>
    </row>
    <row r="144" spans="12:16" ht="12.75">
      <c r="L144" s="129"/>
      <c r="M144" s="129"/>
      <c r="N144" s="129"/>
      <c r="O144" s="129"/>
      <c r="P144" s="129"/>
    </row>
    <row r="145" spans="12:16" ht="12.75">
      <c r="L145" s="129"/>
      <c r="M145" s="129"/>
      <c r="N145" s="129"/>
      <c r="O145" s="129"/>
      <c r="P145" s="129"/>
    </row>
    <row r="146" spans="12:16" ht="12.75">
      <c r="L146" s="129"/>
      <c r="M146" s="129"/>
      <c r="N146" s="129"/>
      <c r="O146" s="129"/>
      <c r="P146" s="129"/>
    </row>
    <row r="147" spans="12:16" ht="12.75">
      <c r="L147" s="129"/>
      <c r="M147" s="129"/>
      <c r="N147" s="129"/>
      <c r="O147" s="129"/>
      <c r="P147" s="129"/>
    </row>
    <row r="148" spans="12:16" ht="12.75">
      <c r="L148" s="129"/>
      <c r="M148" s="129"/>
      <c r="N148" s="129"/>
      <c r="O148" s="129"/>
      <c r="P148" s="129"/>
    </row>
    <row r="149" spans="12:16" ht="12.75">
      <c r="L149" s="129"/>
      <c r="M149" s="129"/>
      <c r="N149" s="129"/>
      <c r="O149" s="129"/>
      <c r="P149" s="129"/>
    </row>
    <row r="150" spans="12:16" ht="12.75">
      <c r="L150" s="129"/>
      <c r="M150" s="129"/>
      <c r="N150" s="129"/>
      <c r="O150" s="129"/>
      <c r="P150" s="129"/>
    </row>
    <row r="151" spans="12:16" ht="12.75">
      <c r="L151" s="129"/>
      <c r="M151" s="129"/>
      <c r="N151" s="129"/>
      <c r="O151" s="129"/>
      <c r="P151" s="129"/>
    </row>
    <row r="152" spans="12:16" ht="12.75">
      <c r="L152" s="129"/>
      <c r="M152" s="129"/>
      <c r="N152" s="129"/>
      <c r="O152" s="129"/>
      <c r="P152" s="129"/>
    </row>
    <row r="153" spans="12:16" ht="12.75">
      <c r="L153" s="129"/>
      <c r="M153" s="129"/>
      <c r="N153" s="129"/>
      <c r="O153" s="129"/>
      <c r="P153" s="129"/>
    </row>
    <row r="154" spans="12:16" ht="12.75">
      <c r="L154" s="129"/>
      <c r="M154" s="129"/>
      <c r="N154" s="129"/>
      <c r="O154" s="129"/>
      <c r="P154" s="129"/>
    </row>
    <row r="155" spans="12:16" ht="12.75">
      <c r="L155" s="129"/>
      <c r="M155" s="129"/>
      <c r="N155" s="129"/>
      <c r="O155" s="129"/>
      <c r="P155" s="129"/>
    </row>
    <row r="156" spans="12:16" ht="12.75">
      <c r="L156" s="129"/>
      <c r="M156" s="129"/>
      <c r="N156" s="129"/>
      <c r="O156" s="129"/>
      <c r="P156" s="129"/>
    </row>
    <row r="157" spans="12:16" ht="12.75">
      <c r="L157" s="129"/>
      <c r="M157" s="129"/>
      <c r="N157" s="129"/>
      <c r="O157" s="129"/>
      <c r="P157" s="129"/>
    </row>
    <row r="158" spans="12:16" ht="12.75">
      <c r="L158" s="129"/>
      <c r="M158" s="129"/>
      <c r="N158" s="129"/>
      <c r="O158" s="129"/>
      <c r="P158" s="129"/>
    </row>
    <row r="159" spans="12:16" ht="12.75">
      <c r="L159" s="129"/>
      <c r="M159" s="129"/>
      <c r="N159" s="129"/>
      <c r="O159" s="129"/>
      <c r="P159" s="129"/>
    </row>
    <row r="160" spans="12:16" ht="12.75">
      <c r="L160" s="129"/>
      <c r="M160" s="129"/>
      <c r="N160" s="129"/>
      <c r="O160" s="129"/>
      <c r="P160" s="129"/>
    </row>
    <row r="161" spans="12:16" ht="12.75">
      <c r="L161" s="129"/>
      <c r="M161" s="129"/>
      <c r="N161" s="129"/>
      <c r="O161" s="129"/>
      <c r="P161" s="129"/>
    </row>
    <row r="162" spans="12:16" ht="12.75">
      <c r="L162" s="129"/>
      <c r="M162" s="129"/>
      <c r="N162" s="129"/>
      <c r="O162" s="129"/>
      <c r="P162" s="129"/>
    </row>
    <row r="163" spans="12:16" ht="12.75">
      <c r="L163" s="129"/>
      <c r="M163" s="129"/>
      <c r="N163" s="129"/>
      <c r="O163" s="129"/>
      <c r="P163" s="129"/>
    </row>
    <row r="164" spans="12:16" ht="12.75">
      <c r="L164" s="129"/>
      <c r="M164" s="129"/>
      <c r="N164" s="129"/>
      <c r="O164" s="129"/>
      <c r="P164" s="129"/>
    </row>
    <row r="165" spans="12:16" ht="12.75">
      <c r="L165" s="129"/>
      <c r="M165" s="129"/>
      <c r="N165" s="129"/>
      <c r="O165" s="129"/>
      <c r="P165" s="129"/>
    </row>
    <row r="166" spans="12:16" ht="12.75">
      <c r="L166" s="129"/>
      <c r="M166" s="129"/>
      <c r="N166" s="129"/>
      <c r="O166" s="129"/>
      <c r="P166" s="129"/>
    </row>
    <row r="167" spans="12:16" ht="12.75">
      <c r="L167" s="129"/>
      <c r="M167" s="129"/>
      <c r="N167" s="129"/>
      <c r="O167" s="129"/>
      <c r="P167" s="129"/>
    </row>
    <row r="168" spans="12:16" ht="12.75">
      <c r="L168" s="129"/>
      <c r="M168" s="129"/>
      <c r="N168" s="129"/>
      <c r="O168" s="129"/>
      <c r="P168" s="129"/>
    </row>
    <row r="169" spans="12:16" ht="12.75">
      <c r="L169" s="129"/>
      <c r="M169" s="129"/>
      <c r="N169" s="129"/>
      <c r="O169" s="129"/>
      <c r="P169" s="129"/>
    </row>
    <row r="170" spans="12:16" ht="12.75">
      <c r="L170" s="129"/>
      <c r="M170" s="129"/>
      <c r="N170" s="129"/>
      <c r="O170" s="129"/>
      <c r="P170" s="129"/>
    </row>
    <row r="171" spans="12:16" ht="12.75">
      <c r="L171" s="129"/>
      <c r="M171" s="129"/>
      <c r="N171" s="129"/>
      <c r="O171" s="129"/>
      <c r="P171" s="129"/>
    </row>
    <row r="172" spans="12:16" ht="12.75">
      <c r="L172" s="129"/>
      <c r="M172" s="129"/>
      <c r="N172" s="129"/>
      <c r="O172" s="129"/>
      <c r="P172" s="129"/>
    </row>
    <row r="173" spans="12:16" ht="12.75">
      <c r="L173" s="129"/>
      <c r="M173" s="129"/>
      <c r="N173" s="129"/>
      <c r="O173" s="129"/>
      <c r="P173" s="129"/>
    </row>
    <row r="174" spans="12:16" ht="12.75">
      <c r="L174" s="129"/>
      <c r="M174" s="129"/>
      <c r="N174" s="129"/>
      <c r="O174" s="129"/>
      <c r="P174" s="129"/>
    </row>
    <row r="175" spans="12:16" ht="12.75">
      <c r="L175" s="129"/>
      <c r="M175" s="129"/>
      <c r="N175" s="129"/>
      <c r="O175" s="129"/>
      <c r="P175" s="129"/>
    </row>
    <row r="176" spans="12:16" ht="12.75">
      <c r="L176" s="129"/>
      <c r="M176" s="129"/>
      <c r="N176" s="129"/>
      <c r="O176" s="129"/>
      <c r="P176" s="129"/>
    </row>
    <row r="177" spans="12:16" ht="12.75">
      <c r="L177" s="129"/>
      <c r="M177" s="129"/>
      <c r="N177" s="129"/>
      <c r="O177" s="129"/>
      <c r="P177" s="129"/>
    </row>
    <row r="178" spans="12:16" ht="12.75">
      <c r="L178" s="129"/>
      <c r="M178" s="129"/>
      <c r="N178" s="129"/>
      <c r="O178" s="129"/>
      <c r="P178" s="129"/>
    </row>
    <row r="179" spans="12:16" ht="12.75">
      <c r="L179" s="129"/>
      <c r="M179" s="129"/>
      <c r="N179" s="129"/>
      <c r="O179" s="129"/>
      <c r="P179" s="129"/>
    </row>
    <row r="180" spans="12:16" ht="12.75">
      <c r="L180" s="129"/>
      <c r="M180" s="129"/>
      <c r="N180" s="129"/>
      <c r="O180" s="129"/>
      <c r="P180" s="129"/>
    </row>
    <row r="181" spans="12:16" ht="12.75">
      <c r="L181" s="129"/>
      <c r="M181" s="129"/>
      <c r="N181" s="129"/>
      <c r="O181" s="129"/>
      <c r="P181" s="129"/>
    </row>
    <row r="182" spans="12:16" ht="12.75">
      <c r="L182" s="129"/>
      <c r="M182" s="129"/>
      <c r="N182" s="129"/>
      <c r="O182" s="129"/>
      <c r="P182" s="129"/>
    </row>
    <row r="183" spans="12:16" ht="12.75">
      <c r="L183" s="129"/>
      <c r="M183" s="129"/>
      <c r="N183" s="129"/>
      <c r="O183" s="129"/>
      <c r="P183" s="129"/>
    </row>
    <row r="184" spans="12:16" ht="12.75">
      <c r="L184" s="129"/>
      <c r="M184" s="129"/>
      <c r="N184" s="129"/>
      <c r="O184" s="129"/>
      <c r="P184" s="129"/>
    </row>
    <row r="185" spans="12:16" ht="12.75">
      <c r="L185" s="129"/>
      <c r="M185" s="129"/>
      <c r="N185" s="129"/>
      <c r="O185" s="129"/>
      <c r="P185" s="129"/>
    </row>
    <row r="186" spans="12:16" ht="12.75">
      <c r="L186" s="129"/>
      <c r="M186" s="129"/>
      <c r="N186" s="129"/>
      <c r="O186" s="129"/>
      <c r="P186" s="129"/>
    </row>
    <row r="187" spans="12:16" ht="12.75">
      <c r="L187" s="129"/>
      <c r="M187" s="129"/>
      <c r="N187" s="129"/>
      <c r="O187" s="129"/>
      <c r="P187" s="129"/>
    </row>
    <row r="188" spans="12:16" ht="12.75">
      <c r="L188" s="129"/>
      <c r="M188" s="129"/>
      <c r="N188" s="129"/>
      <c r="O188" s="129"/>
      <c r="P188" s="129"/>
    </row>
    <row r="189" spans="12:16" ht="12.75">
      <c r="L189" s="129"/>
      <c r="M189" s="129"/>
      <c r="N189" s="129"/>
      <c r="O189" s="129"/>
      <c r="P189" s="129"/>
    </row>
    <row r="190" spans="12:16" ht="12.75">
      <c r="L190" s="129"/>
      <c r="M190" s="129"/>
      <c r="N190" s="129"/>
      <c r="O190" s="129"/>
      <c r="P190" s="129"/>
    </row>
    <row r="191" spans="12:16" ht="12.75">
      <c r="L191" s="129"/>
      <c r="M191" s="129"/>
      <c r="N191" s="129"/>
      <c r="O191" s="129"/>
      <c r="P191" s="129"/>
    </row>
    <row r="192" spans="12:16" ht="12.75">
      <c r="L192" s="129"/>
      <c r="M192" s="129"/>
      <c r="N192" s="129"/>
      <c r="O192" s="129"/>
      <c r="P192" s="129"/>
    </row>
    <row r="193" spans="12:16" ht="12.75">
      <c r="L193" s="129"/>
      <c r="M193" s="129"/>
      <c r="N193" s="129"/>
      <c r="O193" s="129"/>
      <c r="P193" s="129"/>
    </row>
    <row r="194" spans="12:16" ht="12.75">
      <c r="L194" s="129"/>
      <c r="M194" s="129"/>
      <c r="N194" s="129"/>
      <c r="O194" s="129"/>
      <c r="P194" s="129"/>
    </row>
    <row r="195" spans="12:16" ht="12.75">
      <c r="L195" s="129"/>
      <c r="M195" s="129"/>
      <c r="N195" s="129"/>
      <c r="O195" s="129"/>
      <c r="P195" s="129"/>
    </row>
    <row r="196" spans="12:16" ht="12.75">
      <c r="L196" s="129"/>
      <c r="M196" s="129"/>
      <c r="N196" s="129"/>
      <c r="O196" s="129"/>
      <c r="P196" s="129"/>
    </row>
    <row r="197" spans="12:16" ht="12.75">
      <c r="L197" s="129"/>
      <c r="M197" s="129"/>
      <c r="N197" s="129"/>
      <c r="O197" s="129"/>
      <c r="P197" s="129"/>
    </row>
    <row r="198" spans="12:16" ht="12.75">
      <c r="L198" s="129"/>
      <c r="M198" s="129"/>
      <c r="N198" s="129"/>
      <c r="O198" s="129"/>
      <c r="P198" s="129"/>
    </row>
    <row r="199" spans="12:16" ht="12.75">
      <c r="L199" s="129"/>
      <c r="M199" s="129"/>
      <c r="N199" s="129"/>
      <c r="O199" s="129"/>
      <c r="P199" s="129"/>
    </row>
    <row r="200" spans="12:16" ht="12.75">
      <c r="L200" s="129"/>
      <c r="M200" s="129"/>
      <c r="N200" s="129"/>
      <c r="O200" s="129"/>
      <c r="P200" s="129"/>
    </row>
    <row r="201" spans="12:16" ht="12.75">
      <c r="L201" s="129"/>
      <c r="M201" s="129"/>
      <c r="N201" s="129"/>
      <c r="O201" s="129"/>
      <c r="P201" s="129"/>
    </row>
    <row r="202" spans="12:16" ht="12.75">
      <c r="L202" s="129"/>
      <c r="M202" s="129"/>
      <c r="N202" s="129"/>
      <c r="O202" s="129"/>
      <c r="P202" s="129"/>
    </row>
    <row r="203" spans="12:16" ht="12.75">
      <c r="L203" s="129"/>
      <c r="M203" s="129"/>
      <c r="N203" s="129"/>
      <c r="O203" s="129"/>
      <c r="P203" s="129"/>
    </row>
    <row r="204" spans="12:16" ht="12.75">
      <c r="L204" s="129"/>
      <c r="M204" s="129"/>
      <c r="N204" s="129"/>
      <c r="O204" s="129"/>
      <c r="P204" s="129"/>
    </row>
    <row r="205" spans="12:16" ht="12.75">
      <c r="L205" s="129"/>
      <c r="M205" s="129"/>
      <c r="N205" s="129"/>
      <c r="O205" s="129"/>
      <c r="P205" s="129"/>
    </row>
    <row r="206" spans="12:16" ht="12.75">
      <c r="L206" s="129"/>
      <c r="M206" s="129"/>
      <c r="N206" s="129"/>
      <c r="O206" s="129"/>
      <c r="P206" s="129"/>
    </row>
    <row r="207" spans="12:16" ht="12.75">
      <c r="L207" s="129"/>
      <c r="M207" s="129"/>
      <c r="N207" s="129"/>
      <c r="O207" s="129"/>
      <c r="P207" s="129"/>
    </row>
    <row r="208" spans="12:16" ht="12.75">
      <c r="L208" s="129"/>
      <c r="M208" s="129"/>
      <c r="N208" s="129"/>
      <c r="O208" s="129"/>
      <c r="P208" s="129"/>
    </row>
    <row r="209" spans="12:16" ht="12.75">
      <c r="L209" s="129"/>
      <c r="M209" s="129"/>
      <c r="N209" s="129"/>
      <c r="O209" s="129"/>
      <c r="P209" s="129"/>
    </row>
    <row r="210" spans="12:16" ht="12.75">
      <c r="L210" s="129"/>
      <c r="M210" s="129"/>
      <c r="N210" s="129"/>
      <c r="O210" s="129"/>
      <c r="P210" s="129"/>
    </row>
    <row r="211" spans="12:16" ht="12.75">
      <c r="L211" s="129"/>
      <c r="M211" s="129"/>
      <c r="N211" s="129"/>
      <c r="O211" s="129"/>
      <c r="P211" s="129"/>
    </row>
    <row r="212" spans="12:16" ht="12.75">
      <c r="L212" s="129"/>
      <c r="M212" s="129"/>
      <c r="N212" s="129"/>
      <c r="O212" s="129"/>
      <c r="P212" s="129"/>
    </row>
    <row r="213" spans="12:16" ht="12.75">
      <c r="L213" s="129"/>
      <c r="M213" s="129"/>
      <c r="N213" s="129"/>
      <c r="O213" s="129"/>
      <c r="P213" s="129"/>
    </row>
    <row r="214" spans="12:16" ht="12.75">
      <c r="L214" s="129"/>
      <c r="M214" s="129"/>
      <c r="N214" s="129"/>
      <c r="O214" s="129"/>
      <c r="P214" s="129"/>
    </row>
    <row r="215" spans="12:16" ht="12.75">
      <c r="L215" s="129"/>
      <c r="M215" s="129"/>
      <c r="N215" s="129"/>
      <c r="O215" s="129"/>
      <c r="P215" s="129"/>
    </row>
    <row r="216" spans="12:16" ht="12.75">
      <c r="L216" s="129"/>
      <c r="M216" s="129"/>
      <c r="N216" s="129"/>
      <c r="O216" s="129"/>
      <c r="P216" s="129"/>
    </row>
    <row r="217" spans="12:16" ht="12.75">
      <c r="L217" s="129"/>
      <c r="M217" s="129"/>
      <c r="N217" s="129"/>
      <c r="O217" s="129"/>
      <c r="P217" s="129"/>
    </row>
    <row r="218" spans="12:16" ht="12.75">
      <c r="L218" s="129"/>
      <c r="M218" s="129"/>
      <c r="N218" s="129"/>
      <c r="O218" s="129"/>
      <c r="P218" s="129"/>
    </row>
    <row r="219" spans="12:16" ht="12.75">
      <c r="L219" s="129"/>
      <c r="M219" s="129"/>
      <c r="N219" s="129"/>
      <c r="O219" s="129"/>
      <c r="P219" s="129"/>
    </row>
    <row r="220" spans="12:16" ht="12.75">
      <c r="L220" s="129"/>
      <c r="M220" s="129"/>
      <c r="N220" s="129"/>
      <c r="O220" s="129"/>
      <c r="P220" s="129"/>
    </row>
    <row r="221" spans="12:16" ht="12.75">
      <c r="L221" s="129"/>
      <c r="M221" s="129"/>
      <c r="N221" s="129"/>
      <c r="O221" s="129"/>
      <c r="P221" s="129"/>
    </row>
    <row r="222" spans="12:16" ht="12.75">
      <c r="L222" s="129"/>
      <c r="M222" s="129"/>
      <c r="N222" s="129"/>
      <c r="O222" s="129"/>
      <c r="P222" s="129"/>
    </row>
    <row r="223" spans="12:16" ht="12.75">
      <c r="L223" s="129"/>
      <c r="M223" s="129"/>
      <c r="N223" s="129"/>
      <c r="O223" s="129"/>
      <c r="P223" s="129"/>
    </row>
    <row r="224" spans="12:16" ht="12.75">
      <c r="L224" s="129"/>
      <c r="M224" s="129"/>
      <c r="N224" s="129"/>
      <c r="O224" s="129"/>
      <c r="P224" s="129"/>
    </row>
    <row r="225" spans="12:16" ht="12.75">
      <c r="L225" s="129"/>
      <c r="M225" s="129"/>
      <c r="N225" s="129"/>
      <c r="O225" s="129"/>
      <c r="P225" s="129"/>
    </row>
    <row r="226" spans="12:16" ht="12.75">
      <c r="L226" s="129"/>
      <c r="M226" s="129"/>
      <c r="N226" s="129"/>
      <c r="O226" s="129"/>
      <c r="P226" s="129"/>
    </row>
    <row r="227" spans="12:16" ht="12.75">
      <c r="L227" s="129"/>
      <c r="M227" s="129"/>
      <c r="N227" s="129"/>
      <c r="O227" s="129"/>
      <c r="P227" s="129"/>
    </row>
    <row r="228" spans="12:16" ht="12.75">
      <c r="L228" s="129"/>
      <c r="M228" s="129"/>
      <c r="N228" s="129"/>
      <c r="O228" s="129"/>
      <c r="P228" s="129"/>
    </row>
    <row r="229" spans="12:16" ht="12.75">
      <c r="L229" s="129"/>
      <c r="M229" s="129"/>
      <c r="N229" s="129"/>
      <c r="O229" s="129"/>
      <c r="P229" s="129"/>
    </row>
    <row r="230" spans="12:16" ht="12.75">
      <c r="L230" s="129"/>
      <c r="M230" s="129"/>
      <c r="N230" s="129"/>
      <c r="O230" s="129"/>
      <c r="P230" s="129"/>
    </row>
    <row r="231" spans="12:16" ht="12.75">
      <c r="L231" s="129"/>
      <c r="M231" s="129"/>
      <c r="N231" s="129"/>
      <c r="O231" s="129"/>
      <c r="P231" s="129"/>
    </row>
    <row r="232" spans="12:16" ht="12.75">
      <c r="L232" s="129"/>
      <c r="M232" s="129"/>
      <c r="N232" s="129"/>
      <c r="O232" s="129"/>
      <c r="P232" s="129"/>
    </row>
    <row r="233" spans="12:16" ht="12.75">
      <c r="L233" s="129"/>
      <c r="M233" s="129"/>
      <c r="N233" s="129"/>
      <c r="O233" s="129"/>
      <c r="P233" s="129"/>
    </row>
    <row r="234" spans="12:16" ht="12.75">
      <c r="L234" s="129"/>
      <c r="M234" s="129"/>
      <c r="N234" s="129"/>
      <c r="O234" s="129"/>
      <c r="P234" s="129"/>
    </row>
    <row r="235" spans="12:16" ht="12.75">
      <c r="L235" s="129"/>
      <c r="M235" s="129"/>
      <c r="N235" s="129"/>
      <c r="O235" s="129"/>
      <c r="P235" s="129"/>
    </row>
    <row r="236" spans="12:16" ht="12.75">
      <c r="L236" s="129"/>
      <c r="M236" s="129"/>
      <c r="N236" s="129"/>
      <c r="O236" s="129"/>
      <c r="P236" s="129"/>
    </row>
    <row r="237" spans="12:16" ht="12.75">
      <c r="L237" s="129"/>
      <c r="M237" s="129"/>
      <c r="N237" s="129"/>
      <c r="O237" s="129"/>
      <c r="P237" s="129"/>
    </row>
    <row r="238" spans="12:16" ht="12.75">
      <c r="L238" s="129"/>
      <c r="M238" s="129"/>
      <c r="N238" s="129"/>
      <c r="O238" s="129"/>
      <c r="P238" s="129"/>
    </row>
    <row r="239" spans="12:16" ht="12.75">
      <c r="L239" s="129"/>
      <c r="M239" s="129"/>
      <c r="N239" s="129"/>
      <c r="O239" s="129"/>
      <c r="P239" s="129"/>
    </row>
    <row r="240" spans="12:16" ht="12.75">
      <c r="L240" s="129"/>
      <c r="M240" s="129"/>
      <c r="N240" s="129"/>
      <c r="O240" s="129"/>
      <c r="P240" s="129"/>
    </row>
    <row r="241" spans="12:16" ht="12.75">
      <c r="L241" s="129"/>
      <c r="M241" s="129"/>
      <c r="N241" s="129"/>
      <c r="O241" s="129"/>
      <c r="P241" s="129"/>
    </row>
    <row r="242" spans="12:16" ht="12.75">
      <c r="L242" s="129"/>
      <c r="M242" s="129"/>
      <c r="N242" s="129"/>
      <c r="O242" s="129"/>
      <c r="P242" s="129"/>
    </row>
    <row r="243" spans="12:16" ht="12.75">
      <c r="L243" s="129"/>
      <c r="M243" s="129"/>
      <c r="N243" s="129"/>
      <c r="O243" s="129"/>
      <c r="P243" s="129"/>
    </row>
    <row r="244" spans="12:16" ht="12.75">
      <c r="L244" s="129"/>
      <c r="M244" s="129"/>
      <c r="N244" s="129"/>
      <c r="O244" s="129"/>
      <c r="P244" s="129"/>
    </row>
    <row r="245" spans="12:16" ht="12.75">
      <c r="L245" s="129"/>
      <c r="M245" s="129"/>
      <c r="N245" s="129"/>
      <c r="O245" s="129"/>
      <c r="P245" s="129"/>
    </row>
    <row r="246" spans="12:16" ht="12.75">
      <c r="L246" s="129"/>
      <c r="M246" s="129"/>
      <c r="N246" s="129"/>
      <c r="O246" s="129"/>
      <c r="P246" s="129"/>
    </row>
    <row r="247" spans="12:16" ht="12.75">
      <c r="L247" s="129"/>
      <c r="M247" s="129"/>
      <c r="N247" s="129"/>
      <c r="O247" s="129"/>
      <c r="P247" s="129"/>
    </row>
    <row r="248" spans="12:16" ht="12.75">
      <c r="L248" s="129"/>
      <c r="M248" s="129"/>
      <c r="N248" s="129"/>
      <c r="O248" s="129"/>
      <c r="P248" s="129"/>
    </row>
    <row r="249" spans="12:16" ht="12.75">
      <c r="L249" s="129"/>
      <c r="M249" s="129"/>
      <c r="N249" s="129"/>
      <c r="O249" s="129"/>
      <c r="P249" s="129"/>
    </row>
    <row r="250" spans="12:16" ht="12.75">
      <c r="L250" s="129"/>
      <c r="M250" s="129"/>
      <c r="N250" s="129"/>
      <c r="O250" s="129"/>
      <c r="P250" s="129"/>
    </row>
    <row r="251" spans="12:16" ht="12.75">
      <c r="L251" s="129"/>
      <c r="M251" s="129"/>
      <c r="N251" s="129"/>
      <c r="O251" s="129"/>
      <c r="P251" s="129"/>
    </row>
    <row r="252" spans="12:16" ht="12.75">
      <c r="L252" s="129"/>
      <c r="M252" s="129"/>
      <c r="N252" s="129"/>
      <c r="O252" s="129"/>
      <c r="P252" s="129"/>
    </row>
    <row r="253" spans="12:16" ht="12.75">
      <c r="L253" s="129"/>
      <c r="M253" s="129"/>
      <c r="N253" s="129"/>
      <c r="O253" s="129"/>
      <c r="P253" s="129"/>
    </row>
    <row r="254" spans="12:16" ht="12.75">
      <c r="L254" s="129"/>
      <c r="M254" s="129"/>
      <c r="N254" s="129"/>
      <c r="O254" s="129"/>
      <c r="P254" s="129"/>
    </row>
    <row r="255" spans="12:16" ht="12.75">
      <c r="L255" s="129"/>
      <c r="M255" s="129"/>
      <c r="N255" s="129"/>
      <c r="O255" s="129"/>
      <c r="P255" s="129"/>
    </row>
    <row r="256" spans="12:16" ht="12.75">
      <c r="L256" s="129"/>
      <c r="M256" s="129"/>
      <c r="N256" s="129"/>
      <c r="O256" s="129"/>
      <c r="P256" s="129"/>
    </row>
    <row r="257" spans="12:16" ht="12.75">
      <c r="L257" s="129"/>
      <c r="M257" s="129"/>
      <c r="N257" s="129"/>
      <c r="O257" s="129"/>
      <c r="P257" s="129"/>
    </row>
    <row r="258" spans="12:16" ht="12.75">
      <c r="L258" s="129"/>
      <c r="M258" s="129"/>
      <c r="N258" s="129"/>
      <c r="O258" s="129"/>
      <c r="P258" s="129"/>
    </row>
  </sheetData>
  <mergeCells count="2">
    <mergeCell ref="B3:J3"/>
    <mergeCell ref="B4:J4"/>
  </mergeCells>
  <printOptions horizontalCentered="1" verticalCentered="1"/>
  <pageMargins left="0.7874015748031497" right="0.7874015748031497" top="0.12" bottom="0.11811023622047245" header="0" footer="0.118110236220472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O43"/>
  <sheetViews>
    <sheetView tabSelected="1" workbookViewId="0" topLeftCell="E31">
      <selection activeCell="J40" sqref="J40"/>
    </sheetView>
  </sheetViews>
  <sheetFormatPr defaultColWidth="11.421875" defaultRowHeight="12.75"/>
  <cols>
    <col min="1" max="1" width="4.00390625" style="2" customWidth="1"/>
    <col min="2" max="2" width="7.8515625" style="2" customWidth="1"/>
    <col min="3" max="3" width="11.8515625" style="2" bestFit="1" customWidth="1"/>
    <col min="4" max="4" width="10.00390625" style="2" bestFit="1" customWidth="1"/>
    <col min="5" max="5" width="13.28125" style="2" customWidth="1"/>
    <col min="6" max="6" width="4.421875" style="2" customWidth="1"/>
    <col min="7" max="7" width="8.28125" style="2" customWidth="1"/>
    <col min="8" max="8" width="11.8515625" style="2" bestFit="1" customWidth="1"/>
    <col min="9" max="9" width="9.57421875" style="2" customWidth="1"/>
    <col min="10" max="10" width="12.421875" style="2" customWidth="1"/>
    <col min="11" max="11" width="4.57421875" style="2" customWidth="1"/>
    <col min="12" max="12" width="7.8515625" style="2" customWidth="1"/>
    <col min="13" max="13" width="11.8515625" style="2" bestFit="1" customWidth="1"/>
    <col min="14" max="14" width="10.00390625" style="2" bestFit="1" customWidth="1"/>
    <col min="15" max="15" width="12.140625" style="2" bestFit="1" customWidth="1"/>
    <col min="16" max="16384" width="11.421875" style="2" customWidth="1"/>
  </cols>
  <sheetData>
    <row r="5" spans="2:15" ht="15">
      <c r="B5" s="382" t="s">
        <v>289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</row>
    <row r="6" spans="2:15" ht="15">
      <c r="B6" s="383" t="s">
        <v>291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</row>
    <row r="7" spans="2:15" ht="15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ht="13.5" thickBot="1"/>
    <row r="9" spans="2:15" ht="13.5" thickBot="1">
      <c r="B9" s="397" t="s">
        <v>246</v>
      </c>
      <c r="C9" s="398"/>
      <c r="D9" s="398"/>
      <c r="E9" s="399"/>
      <c r="G9" s="397" t="s">
        <v>247</v>
      </c>
      <c r="H9" s="398"/>
      <c r="I9" s="398"/>
      <c r="J9" s="399"/>
      <c r="L9" s="397" t="s">
        <v>249</v>
      </c>
      <c r="M9" s="398"/>
      <c r="N9" s="398"/>
      <c r="O9" s="399"/>
    </row>
    <row r="10" ht="13.5" thickBot="1"/>
    <row r="11" spans="2:15" s="3" customFormat="1" ht="13.5" thickBot="1">
      <c r="B11" s="239" t="s">
        <v>238</v>
      </c>
      <c r="C11" s="240" t="s">
        <v>239</v>
      </c>
      <c r="D11" s="240" t="s">
        <v>240</v>
      </c>
      <c r="E11" s="241" t="s">
        <v>243</v>
      </c>
      <c r="G11" s="239" t="s">
        <v>238</v>
      </c>
      <c r="H11" s="240" t="s">
        <v>239</v>
      </c>
      <c r="I11" s="240" t="s">
        <v>240</v>
      </c>
      <c r="J11" s="241" t="s">
        <v>243</v>
      </c>
      <c r="L11" s="239" t="s">
        <v>238</v>
      </c>
      <c r="M11" s="240" t="s">
        <v>239</v>
      </c>
      <c r="N11" s="240" t="s">
        <v>240</v>
      </c>
      <c r="O11" s="241" t="s">
        <v>243</v>
      </c>
    </row>
    <row r="12" spans="2:15" ht="12.75">
      <c r="B12" s="232">
        <v>0</v>
      </c>
      <c r="C12" s="233">
        <v>-60000</v>
      </c>
      <c r="D12" s="233">
        <f>+C12</f>
        <v>-60000</v>
      </c>
      <c r="E12" s="234">
        <f>+D12</f>
        <v>-60000</v>
      </c>
      <c r="G12" s="232">
        <v>0</v>
      </c>
      <c r="H12" s="233">
        <v>-105000</v>
      </c>
      <c r="I12" s="233">
        <f>+H12</f>
        <v>-105000</v>
      </c>
      <c r="J12" s="234">
        <f>+I12</f>
        <v>-105000</v>
      </c>
      <c r="L12" s="232">
        <v>0</v>
      </c>
      <c r="M12" s="233">
        <v>-60000</v>
      </c>
      <c r="N12" s="233">
        <f>+M12</f>
        <v>-60000</v>
      </c>
      <c r="O12" s="234">
        <f>+N12</f>
        <v>-60000</v>
      </c>
    </row>
    <row r="13" spans="2:15" ht="12.75">
      <c r="B13" s="232">
        <v>1</v>
      </c>
      <c r="C13" s="233">
        <v>-62848.87261102768</v>
      </c>
      <c r="D13" s="233">
        <f>+C13/(1+$C$24)</f>
        <v>-54732.101899353554</v>
      </c>
      <c r="E13" s="234">
        <f>+E12+D13</f>
        <v>-114732.10189935355</v>
      </c>
      <c r="G13" s="232">
        <v>1</v>
      </c>
      <c r="H13" s="233">
        <v>-43490.376394048304</v>
      </c>
      <c r="I13" s="233">
        <f>+H13/(1+$C$24)</f>
        <v>-37873.705820820614</v>
      </c>
      <c r="J13" s="234">
        <f>+J12+I13</f>
        <v>-142873.7058208206</v>
      </c>
      <c r="L13" s="232">
        <v>1</v>
      </c>
      <c r="M13" s="233">
        <v>-76620.61359109683</v>
      </c>
      <c r="N13" s="233">
        <f>+M13/(1+$C$24)</f>
        <v>-66725.25785169106</v>
      </c>
      <c r="O13" s="234">
        <f>+O12+N13</f>
        <v>-126725.25785169106</v>
      </c>
    </row>
    <row r="14" spans="2:15" ht="12.75">
      <c r="B14" s="232">
        <v>2</v>
      </c>
      <c r="C14" s="233">
        <v>33760.62375905414</v>
      </c>
      <c r="D14" s="233">
        <f>+C14/(1+$C$24)/(1+$C$24)</f>
        <v>25603.523282348466</v>
      </c>
      <c r="E14" s="234">
        <f aca="true" t="shared" si="0" ref="E14:E19">+E13+D14</f>
        <v>-89128.57861700509</v>
      </c>
      <c r="G14" s="232">
        <v>2</v>
      </c>
      <c r="H14" s="233">
        <v>51107.84057819634</v>
      </c>
      <c r="I14" s="233">
        <f>+H14/(1+$C$24)/(1+$C$24)</f>
        <v>38759.3782476685</v>
      </c>
      <c r="J14" s="234">
        <f aca="true" t="shared" si="1" ref="J14:J19">+J13+I14</f>
        <v>-104114.32757315211</v>
      </c>
      <c r="L14" s="232">
        <v>2</v>
      </c>
      <c r="M14" s="233">
        <v>13488.469746945018</v>
      </c>
      <c r="N14" s="233">
        <f>+M14/(1+$C$24)/(1+$C$24)</f>
        <v>10229.442194963618</v>
      </c>
      <c r="O14" s="234">
        <f aca="true" t="shared" si="2" ref="O14:O19">+O13+N14</f>
        <v>-116495.81565672744</v>
      </c>
    </row>
    <row r="15" spans="2:15" ht="12.75">
      <c r="B15" s="232">
        <v>3</v>
      </c>
      <c r="C15" s="233">
        <v>55511.5858619911</v>
      </c>
      <c r="D15" s="233">
        <f>+C15/(1+$C$24)/(1+$C$24)/(1+$C$24)</f>
        <v>36662.11708171984</v>
      </c>
      <c r="E15" s="234">
        <f t="shared" si="0"/>
        <v>-52466.46153528524</v>
      </c>
      <c r="G15" s="232">
        <v>3</v>
      </c>
      <c r="H15" s="233">
        <v>73782.94335869141</v>
      </c>
      <c r="I15" s="233">
        <f>+H15/(1+$C$24)/(1+$C$24)/(1+$C$24)</f>
        <v>48729.26734205217</v>
      </c>
      <c r="J15" s="234">
        <f t="shared" si="1"/>
        <v>-55385.060231099946</v>
      </c>
      <c r="L15" s="232">
        <v>3</v>
      </c>
      <c r="M15" s="233">
        <v>30308.464369457855</v>
      </c>
      <c r="N15" s="233">
        <f>+M15/(1+$C$24)/(1+$C$24)/(1+$C$24)</f>
        <v>20016.946949465913</v>
      </c>
      <c r="O15" s="234">
        <f t="shared" si="2"/>
        <v>-96478.86870726153</v>
      </c>
    </row>
    <row r="16" spans="2:15" ht="12.75">
      <c r="B16" s="232">
        <v>4</v>
      </c>
      <c r="C16" s="233">
        <v>85967.98911863405</v>
      </c>
      <c r="D16" s="233">
        <f>+C16/(1+$C$24)/(1+$C$24)/(1+$C$24)/(1+$C$24)</f>
        <v>49444.19481895259</v>
      </c>
      <c r="E16" s="234">
        <f t="shared" si="0"/>
        <v>-3022.266716332655</v>
      </c>
      <c r="G16" s="232">
        <v>4</v>
      </c>
      <c r="H16" s="233">
        <v>85918.39215681556</v>
      </c>
      <c r="I16" s="233">
        <f>+H16/(1+$C$24)/(1+$C$24)/(1+$C$24)/(1+$C$24)</f>
        <v>49415.66929604897</v>
      </c>
      <c r="J16" s="234">
        <f t="shared" si="1"/>
        <v>-5969.390935050978</v>
      </c>
      <c r="L16" s="232">
        <v>4</v>
      </c>
      <c r="M16" s="233">
        <v>59089.42404880904</v>
      </c>
      <c r="N16" s="233">
        <f>+M16/(1+$C$24)/(1+$C$24)/(1+$C$24)/(1+$C$24)</f>
        <v>33985.08007878641</v>
      </c>
      <c r="O16" s="234">
        <f t="shared" si="2"/>
        <v>-62493.78862847512</v>
      </c>
    </row>
    <row r="17" spans="2:15" ht="12.75">
      <c r="B17" s="232">
        <v>5</v>
      </c>
      <c r="C17" s="233">
        <v>66615.48282567877</v>
      </c>
      <c r="D17" s="233">
        <f>+C17/(1+$C$24)/(1+$C$24)/(1+$C$24)/(1+$C$24)/(1+$C$24)</f>
        <v>33365.55519930995</v>
      </c>
      <c r="E17" s="234">
        <f t="shared" si="0"/>
        <v>30343.288482977296</v>
      </c>
      <c r="G17" s="232">
        <v>5</v>
      </c>
      <c r="H17" s="233">
        <v>66562.41010877595</v>
      </c>
      <c r="I17" s="233">
        <f>+H17/(1+$C$24)/(1+$C$24)/(1+$C$24)/(1+$C$24)/(1+$C$24)</f>
        <v>33338.97278047449</v>
      </c>
      <c r="J17" s="234">
        <f t="shared" si="1"/>
        <v>27369.581845423512</v>
      </c>
      <c r="L17" s="232">
        <v>5</v>
      </c>
      <c r="M17" s="233">
        <v>37948.144695626135</v>
      </c>
      <c r="N17" s="233">
        <f>+M17/(1+$C$24)/(1+$C$24)/(1+$C$24)/(1+$C$24)/(1+$C$24)</f>
        <v>19007.006522292115</v>
      </c>
      <c r="O17" s="234">
        <f t="shared" si="2"/>
        <v>-43486.782106183</v>
      </c>
    </row>
    <row r="18" spans="2:15" ht="12.75">
      <c r="B18" s="232">
        <v>6</v>
      </c>
      <c r="C18" s="233">
        <v>102843.43072134344</v>
      </c>
      <c r="D18" s="233">
        <f>+C18/(1+$C$24)/(1+$C$24)/(1+$C$24)/(1+$C$24)/(1+$C$24)/(1+$C$24)</f>
        <v>44858.46068890461</v>
      </c>
      <c r="E18" s="234">
        <f t="shared" si="0"/>
        <v>75201.74917188191</v>
      </c>
      <c r="G18" s="232">
        <v>6</v>
      </c>
      <c r="H18" s="233">
        <v>102786.63866844022</v>
      </c>
      <c r="I18" s="233">
        <f>+H18/(1+$C$24)/(1+$C$24)/(1+$C$24)/(1+$C$24)/(1+$C$24)/(1+$C$24)</f>
        <v>44833.68901360428</v>
      </c>
      <c r="J18" s="234">
        <f t="shared" si="1"/>
        <v>72203.27085902779</v>
      </c>
      <c r="L18" s="232">
        <v>6</v>
      </c>
      <c r="M18" s="233">
        <v>72266.23177009638</v>
      </c>
      <c r="N18" s="233">
        <f>+M18/(1+$C$24)/(1+$C$24)/(1+$C$24)/(1+$C$24)/(1+$C$24)/(1+$C$24)</f>
        <v>31521.23469876979</v>
      </c>
      <c r="O18" s="234">
        <f t="shared" si="2"/>
        <v>-11965.547407413214</v>
      </c>
    </row>
    <row r="19" spans="2:15" ht="13.5" thickBot="1">
      <c r="B19" s="235">
        <v>7</v>
      </c>
      <c r="C19" s="237">
        <v>130502.0021378753</v>
      </c>
      <c r="D19" s="237">
        <f>+C19/(1+$C$24)/(1+$C$24)/(1+$C$24)/(1+$C$24)/(1+$C$24)/(1+$C$24)/(1+$C$24)</f>
        <v>49571.22152222313</v>
      </c>
      <c r="E19" s="238">
        <f t="shared" si="0"/>
        <v>124772.97069410504</v>
      </c>
      <c r="G19" s="235">
        <v>7</v>
      </c>
      <c r="H19" s="237">
        <v>130441.23009790457</v>
      </c>
      <c r="I19" s="237">
        <f>+H19/(1+$C$24)/(1+$C$24)/(1+$C$24)/(1+$C$24)/(1+$C$24)/(1+$C$24)/(1+$C$24)</f>
        <v>49548.137246071085</v>
      </c>
      <c r="J19" s="238">
        <f t="shared" si="1"/>
        <v>121751.40810509888</v>
      </c>
      <c r="L19" s="235">
        <v>7</v>
      </c>
      <c r="M19" s="237">
        <v>97885.56089965781</v>
      </c>
      <c r="N19" s="237">
        <f>+M19/(1+$C$24)/(1+$C$24)/(1+$C$24)/(1+$C$24)/(1+$C$24)/(1+$C$24)/(1+$C$24)</f>
        <v>37181.857317848204</v>
      </c>
      <c r="O19" s="238">
        <f t="shared" si="2"/>
        <v>25216.30991043499</v>
      </c>
    </row>
    <row r="20" ht="13.5" thickBot="1">
      <c r="D20" s="224"/>
    </row>
    <row r="21" spans="2:13" ht="12.75">
      <c r="B21" s="400" t="s">
        <v>124</v>
      </c>
      <c r="C21" s="242">
        <f>IRR(C12:C19)</f>
        <v>0.3762487670633346</v>
      </c>
      <c r="D21" s="224"/>
      <c r="G21" s="400" t="s">
        <v>124</v>
      </c>
      <c r="H21" s="242">
        <f>IRR(H12:H19)</f>
        <v>0.33568662315703696</v>
      </c>
      <c r="L21" s="400" t="s">
        <v>124</v>
      </c>
      <c r="M21" s="242">
        <f>IRR(M12:M19)</f>
        <v>0.19627226031274328</v>
      </c>
    </row>
    <row r="22" spans="2:13" ht="12.75">
      <c r="B22" s="401" t="s">
        <v>123</v>
      </c>
      <c r="C22" s="243">
        <f>NPV(C24,C13:C19)+C12</f>
        <v>124772.97069410505</v>
      </c>
      <c r="G22" s="401" t="s">
        <v>123</v>
      </c>
      <c r="H22" s="243">
        <f>NPV(H24,H13:H19)+H12</f>
        <v>121751.40810509888</v>
      </c>
      <c r="L22" s="401" t="s">
        <v>123</v>
      </c>
      <c r="M22" s="243">
        <f>NPV(M24,M13:M19)+M12</f>
        <v>25216.309910434997</v>
      </c>
    </row>
    <row r="23" spans="2:13" ht="12.75">
      <c r="B23" s="401" t="s">
        <v>241</v>
      </c>
      <c r="C23" s="245">
        <f>3+(-E15/D16)</f>
        <v>4.061124803981522</v>
      </c>
      <c r="G23" s="401" t="s">
        <v>241</v>
      </c>
      <c r="H23" s="245">
        <f>3+(-J15/I16)</f>
        <v>4.120799556498737</v>
      </c>
      <c r="L23" s="401" t="s">
        <v>241</v>
      </c>
      <c r="M23" s="245">
        <f>5+(-O17/N18)</f>
        <v>6.379602751026761</v>
      </c>
    </row>
    <row r="24" spans="2:13" ht="13.5" thickBot="1">
      <c r="B24" s="402" t="s">
        <v>242</v>
      </c>
      <c r="C24" s="244">
        <f>+'Anexos '!H12</f>
        <v>0.1483</v>
      </c>
      <c r="G24" s="402" t="s">
        <v>242</v>
      </c>
      <c r="H24" s="244">
        <f>+C24</f>
        <v>0.1483</v>
      </c>
      <c r="L24" s="402" t="s">
        <v>242</v>
      </c>
      <c r="M24" s="244">
        <f>+C24</f>
        <v>0.1483</v>
      </c>
    </row>
    <row r="25" spans="2:13" ht="12.75">
      <c r="B25" s="403"/>
      <c r="C25" s="258"/>
      <c r="G25" s="403"/>
      <c r="H25" s="258"/>
      <c r="L25" s="403"/>
      <c r="M25" s="258"/>
    </row>
    <row r="26" spans="2:13" ht="12.75">
      <c r="B26" s="74"/>
      <c r="C26" s="258"/>
      <c r="G26" s="74"/>
      <c r="H26" s="258"/>
      <c r="L26" s="74"/>
      <c r="M26" s="258"/>
    </row>
    <row r="27" ht="13.5" thickBot="1"/>
    <row r="28" spans="2:15" ht="13.5" thickBot="1">
      <c r="B28" s="397" t="s">
        <v>248</v>
      </c>
      <c r="C28" s="398"/>
      <c r="D28" s="398"/>
      <c r="E28" s="399"/>
      <c r="G28" s="397" t="s">
        <v>250</v>
      </c>
      <c r="H28" s="398"/>
      <c r="I28" s="398"/>
      <c r="J28" s="399"/>
      <c r="L28" s="397" t="s">
        <v>251</v>
      </c>
      <c r="M28" s="398"/>
      <c r="N28" s="398"/>
      <c r="O28" s="399"/>
    </row>
    <row r="29" ht="13.5" thickBot="1"/>
    <row r="30" spans="2:15" ht="13.5" thickBot="1">
      <c r="B30" s="239" t="s">
        <v>238</v>
      </c>
      <c r="C30" s="240" t="s">
        <v>239</v>
      </c>
      <c r="D30" s="240" t="s">
        <v>240</v>
      </c>
      <c r="E30" s="241" t="s">
        <v>243</v>
      </c>
      <c r="G30" s="239" t="s">
        <v>238</v>
      </c>
      <c r="H30" s="240" t="s">
        <v>239</v>
      </c>
      <c r="I30" s="240" t="s">
        <v>240</v>
      </c>
      <c r="J30" s="241" t="s">
        <v>243</v>
      </c>
      <c r="L30" s="239" t="s">
        <v>238</v>
      </c>
      <c r="M30" s="240" t="s">
        <v>239</v>
      </c>
      <c r="N30" s="240" t="s">
        <v>240</v>
      </c>
      <c r="O30" s="241" t="s">
        <v>243</v>
      </c>
    </row>
    <row r="31" spans="2:15" ht="12.75">
      <c r="B31" s="232">
        <v>0</v>
      </c>
      <c r="C31" s="233">
        <v>-60000</v>
      </c>
      <c r="D31" s="233">
        <f>+C31</f>
        <v>-60000</v>
      </c>
      <c r="E31" s="234">
        <f>+D31</f>
        <v>-60000</v>
      </c>
      <c r="G31" s="232">
        <v>0</v>
      </c>
      <c r="H31" s="233">
        <v>-60000</v>
      </c>
      <c r="I31" s="233">
        <f>+H31</f>
        <v>-60000</v>
      </c>
      <c r="J31" s="234">
        <f>+I31</f>
        <v>-60000</v>
      </c>
      <c r="L31" s="232">
        <v>0</v>
      </c>
      <c r="M31" s="233">
        <v>-60000</v>
      </c>
      <c r="N31" s="233">
        <f>+M31</f>
        <v>-60000</v>
      </c>
      <c r="O31" s="234">
        <f>+N31</f>
        <v>-60000</v>
      </c>
    </row>
    <row r="32" spans="2:15" ht="12.75">
      <c r="B32" s="232">
        <v>1</v>
      </c>
      <c r="C32" s="233">
        <v>-49494.83674253628</v>
      </c>
      <c r="D32" s="233">
        <f>+C32/(1+$C$24)</f>
        <v>-43102.70551470546</v>
      </c>
      <c r="E32" s="234">
        <f>+E31+D32</f>
        <v>-103102.70551470546</v>
      </c>
      <c r="G32" s="232">
        <v>1</v>
      </c>
      <c r="H32" s="233">
        <v>-69099.57481138688</v>
      </c>
      <c r="I32" s="233">
        <f>+H32/(1+$C$24)</f>
        <v>-60175.54194146729</v>
      </c>
      <c r="J32" s="234">
        <f>+J31+I32</f>
        <v>-120175.5419414673</v>
      </c>
      <c r="L32" s="232">
        <v>1</v>
      </c>
      <c r="M32" s="233">
        <v>-56623.81183196214</v>
      </c>
      <c r="N32" s="233">
        <f>+M32/(1+$C$24)</f>
        <v>-49310.991754734954</v>
      </c>
      <c r="O32" s="234">
        <f>+O31+N32</f>
        <v>-109310.99175473495</v>
      </c>
    </row>
    <row r="33" spans="2:15" ht="12.75">
      <c r="B33" s="232">
        <v>2</v>
      </c>
      <c r="C33" s="233">
        <v>53415.38956640617</v>
      </c>
      <c r="D33" s="233">
        <f>+C33/(1+$C$24)/(1+$C$24)</f>
        <v>40509.38691653812</v>
      </c>
      <c r="E33" s="234">
        <f aca="true" t="shared" si="3" ref="E33:E38">+E32+D33</f>
        <v>-62593.318598167345</v>
      </c>
      <c r="G33" s="232">
        <v>2</v>
      </c>
      <c r="H33" s="233">
        <v>24521.785873217625</v>
      </c>
      <c r="I33" s="233">
        <f>+H33/(1+$C$24)/(1+$C$24)</f>
        <v>18596.93470151931</v>
      </c>
      <c r="J33" s="234">
        <f aca="true" t="shared" si="4" ref="J33:J38">+J32+I33</f>
        <v>-101578.60723994799</v>
      </c>
      <c r="L33" s="232">
        <v>2</v>
      </c>
      <c r="M33" s="233">
        <v>42961.56239343036</v>
      </c>
      <c r="N33" s="233">
        <f>+M33/(1+$C$24)/(1+$C$24)</f>
        <v>32581.369670080938</v>
      </c>
      <c r="O33" s="234">
        <f aca="true" t="shared" si="5" ref="O33:O38">+O32+N33</f>
        <v>-76729.62208465401</v>
      </c>
    </row>
    <row r="34" spans="2:15" ht="12.75">
      <c r="B34" s="232">
        <v>3</v>
      </c>
      <c r="C34" s="233">
        <v>79921.92163034866</v>
      </c>
      <c r="D34" s="233">
        <f>+C34/(1+$C$24)/(1+$C$24)/(1+$C$24)</f>
        <v>52783.699163135076</v>
      </c>
      <c r="E34" s="234">
        <f t="shared" si="3"/>
        <v>-9809.61943503227</v>
      </c>
      <c r="G34" s="232">
        <v>3</v>
      </c>
      <c r="H34" s="233">
        <v>43648.031088140066</v>
      </c>
      <c r="I34" s="233">
        <f>+H34/(1+$C$24)/(1+$C$24)/(1+$C$24)</f>
        <v>28826.94128246152</v>
      </c>
      <c r="J34" s="234">
        <f t="shared" si="4"/>
        <v>-72751.66595748646</v>
      </c>
      <c r="L34" s="232">
        <v>3</v>
      </c>
      <c r="M34" s="233">
        <v>67326.47435863904</v>
      </c>
      <c r="N34" s="233">
        <f>+M34/(1+$C$24)/(1+$C$24)/(1+$C$24)</f>
        <v>44465.15168513506</v>
      </c>
      <c r="O34" s="234">
        <f t="shared" si="5"/>
        <v>-32264.47039951895</v>
      </c>
    </row>
    <row r="35" spans="2:15" ht="12.75">
      <c r="B35" s="232">
        <v>4</v>
      </c>
      <c r="C35" s="233">
        <v>111998.21004073307</v>
      </c>
      <c r="D35" s="233">
        <f>+C35/(1+$C$24)/(1+$C$24)/(1+$C$24)/(1+$C$24)</f>
        <v>64415.38732499743</v>
      </c>
      <c r="E35" s="234">
        <f t="shared" si="3"/>
        <v>54605.76788996516</v>
      </c>
      <c r="G35" s="232">
        <v>4</v>
      </c>
      <c r="H35" s="233">
        <v>73273.03642623156</v>
      </c>
      <c r="I35" s="233">
        <f>+H35/(1+$C$24)/(1+$C$24)/(1+$C$24)/(1+$C$24)</f>
        <v>42142.73621121042</v>
      </c>
      <c r="J35" s="234">
        <f t="shared" si="4"/>
        <v>-30608.929746276044</v>
      </c>
      <c r="L35" s="232">
        <v>4</v>
      </c>
      <c r="M35" s="233">
        <v>98610.86500112715</v>
      </c>
      <c r="N35" s="233">
        <f>+M35/(1+$C$24)/(1+$C$24)/(1+$C$24)/(1+$C$24)</f>
        <v>56715.701627645976</v>
      </c>
      <c r="O35" s="234">
        <f t="shared" si="5"/>
        <v>24451.231228127028</v>
      </c>
    </row>
    <row r="36" spans="2:15" ht="12.75">
      <c r="B36" s="232">
        <v>5</v>
      </c>
      <c r="C36" s="233">
        <v>94375.02485013276</v>
      </c>
      <c r="D36" s="233">
        <f>+C36/(1+$C$24)/(1+$C$24)/(1+$C$24)/(1+$C$24)/(1+$C$24)</f>
        <v>47269.4179716961</v>
      </c>
      <c r="E36" s="234">
        <f t="shared" si="3"/>
        <v>101875.18586166126</v>
      </c>
      <c r="G36" s="232">
        <v>5</v>
      </c>
      <c r="H36" s="233">
        <v>53030.86784859246</v>
      </c>
      <c r="I36" s="233">
        <f>+H36/(1+$C$24)/(1+$C$24)/(1+$C$24)/(1+$C$24)/(1+$C$24)</f>
        <v>26561.457988674334</v>
      </c>
      <c r="J36" s="234">
        <f t="shared" si="4"/>
        <v>-4047.47175760171</v>
      </c>
      <c r="L36" s="232">
        <v>5</v>
      </c>
      <c r="M36" s="233">
        <v>80144.37145001697</v>
      </c>
      <c r="N36" s="233">
        <f>+M36/(1+$C$24)/(1+$C$24)/(1+$C$24)/(1+$C$24)/(1+$C$24)</f>
        <v>40141.740870168265</v>
      </c>
      <c r="O36" s="234">
        <f t="shared" si="5"/>
        <v>64592.97209829529</v>
      </c>
    </row>
    <row r="37" spans="2:15" ht="12.75">
      <c r="B37" s="232">
        <v>6</v>
      </c>
      <c r="C37" s="233">
        <v>180895.67093484732</v>
      </c>
      <c r="D37" s="233">
        <f>+C37/(1+$C$24)/(1+$C$24)/(1+$C$24)/(1+$C$24)/(1+$C$24)/(1+$C$24)</f>
        <v>78903.44853830124</v>
      </c>
      <c r="E37" s="234">
        <f t="shared" si="3"/>
        <v>180778.6343999625</v>
      </c>
      <c r="G37" s="232">
        <v>6</v>
      </c>
      <c r="H37" s="233">
        <v>88306.80592666299</v>
      </c>
      <c r="I37" s="233">
        <f>+H37/(1+$C$24)/(1+$C$24)/(1+$C$24)/(1+$C$24)/(1+$C$24)/(1+$C$24)</f>
        <v>38517.845568154866</v>
      </c>
      <c r="J37" s="234">
        <f t="shared" si="4"/>
        <v>34470.37381055315</v>
      </c>
      <c r="L37" s="232">
        <v>6</v>
      </c>
      <c r="M37" s="233">
        <v>117320.42386047525</v>
      </c>
      <c r="N37" s="233">
        <f>+M37/(1+$C$24)/(1+$C$24)/(1+$C$24)/(1+$C$24)/(1+$C$24)/(1+$C$24)</f>
        <v>51173.065550588886</v>
      </c>
      <c r="O37" s="234">
        <f t="shared" si="5"/>
        <v>115766.03764888417</v>
      </c>
    </row>
    <row r="38" spans="2:15" ht="13.5" thickBot="1">
      <c r="B38" s="235">
        <v>7</v>
      </c>
      <c r="C38" s="237">
        <v>219064.87813768873</v>
      </c>
      <c r="D38" s="237">
        <f>+C38/(1+$C$24)/(1+$C$24)/(1+$C$24)/(1+$C$24)/(1+$C$24)/(1+$C$24)/(1+$C$24)</f>
        <v>83211.85440840459</v>
      </c>
      <c r="E38" s="238">
        <f t="shared" si="3"/>
        <v>263990.48880836705</v>
      </c>
      <c r="G38" s="235">
        <v>7</v>
      </c>
      <c r="H38" s="237">
        <v>114946.65067758376</v>
      </c>
      <c r="I38" s="237">
        <f>+H38/(1+$C$24)/(1+$C$24)/(1+$C$24)/(1+$C$24)/(1+$C$24)/(1+$C$24)/(1+$C$24)</f>
        <v>43662.51697775581</v>
      </c>
      <c r="J38" s="238">
        <f t="shared" si="4"/>
        <v>78132.89078830896</v>
      </c>
      <c r="L38" s="235">
        <v>7</v>
      </c>
      <c r="M38" s="237">
        <v>145993.54295619752</v>
      </c>
      <c r="N38" s="237">
        <f>+M38/(1+$C$24)/(1+$C$24)/(1+$C$24)/(1+$C$24)/(1+$C$24)/(1+$C$24)/(1+$C$24)</f>
        <v>55455.687576730794</v>
      </c>
      <c r="O38" s="238">
        <f t="shared" si="5"/>
        <v>171221.72522561497</v>
      </c>
    </row>
    <row r="39" ht="13.5" thickBot="1"/>
    <row r="40" spans="2:13" ht="12.75">
      <c r="B40" s="400" t="s">
        <v>124</v>
      </c>
      <c r="C40" s="242">
        <f>IRR(C31:C38)</f>
        <v>0.5724538349959816</v>
      </c>
      <c r="G40" s="400" t="s">
        <v>124</v>
      </c>
      <c r="H40" s="242">
        <f>IRR(H31:H38)</f>
        <v>0.29364006148407085</v>
      </c>
      <c r="L40" s="400" t="s">
        <v>124</v>
      </c>
      <c r="M40" s="242">
        <f>IRR(M31:M38)</f>
        <v>0.4568694455171014</v>
      </c>
    </row>
    <row r="41" spans="2:13" ht="12.75">
      <c r="B41" s="401" t="s">
        <v>123</v>
      </c>
      <c r="C41" s="243">
        <f>NPV(C43,C32:C38)+C31</f>
        <v>263990.48880836717</v>
      </c>
      <c r="G41" s="401" t="s">
        <v>123</v>
      </c>
      <c r="H41" s="243">
        <f>NPV(H43,H32:H38)+H31</f>
        <v>78132.89078830899</v>
      </c>
      <c r="L41" s="401" t="s">
        <v>123</v>
      </c>
      <c r="M41" s="243">
        <f>NPV(M43,M32:M38)+M31</f>
        <v>171221.72522561497</v>
      </c>
    </row>
    <row r="42" spans="2:13" ht="12.75">
      <c r="B42" s="401" t="s">
        <v>241</v>
      </c>
      <c r="C42" s="245">
        <f>3+(-E34/D35)</f>
        <v>3.1522868966934783</v>
      </c>
      <c r="G42" s="401" t="s">
        <v>241</v>
      </c>
      <c r="H42" s="245">
        <f>4+(-J35/I36)</f>
        <v>5.152381385062805</v>
      </c>
      <c r="L42" s="401" t="s">
        <v>241</v>
      </c>
      <c r="M42" s="245">
        <f>3+(-O34/N35)</f>
        <v>3.5688807415509727</v>
      </c>
    </row>
    <row r="43" spans="2:13" ht="13.5" thickBot="1">
      <c r="B43" s="402" t="s">
        <v>242</v>
      </c>
      <c r="C43" s="244">
        <f>+C24</f>
        <v>0.1483</v>
      </c>
      <c r="G43" s="402" t="s">
        <v>242</v>
      </c>
      <c r="H43" s="244">
        <f>+C24</f>
        <v>0.1483</v>
      </c>
      <c r="L43" s="402" t="s">
        <v>242</v>
      </c>
      <c r="M43" s="244">
        <f>+C24</f>
        <v>0.1483</v>
      </c>
    </row>
  </sheetData>
  <mergeCells count="8">
    <mergeCell ref="B5:O5"/>
    <mergeCell ref="B6:O6"/>
    <mergeCell ref="B9:E9"/>
    <mergeCell ref="G9:J9"/>
    <mergeCell ref="L9:O9"/>
    <mergeCell ref="B28:E28"/>
    <mergeCell ref="G28:J28"/>
    <mergeCell ref="L28:O28"/>
  </mergeCells>
  <printOptions/>
  <pageMargins left="0.25" right="0.24" top="0.12" bottom="0.12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Sotomayor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Sotomayor</dc:creator>
  <cp:keywords/>
  <dc:description/>
  <cp:lastModifiedBy>Javier Sotomayor</cp:lastModifiedBy>
  <cp:lastPrinted>2004-10-16T07:53:00Z</cp:lastPrinted>
  <dcterms:created xsi:type="dcterms:W3CDTF">2004-04-27T05:03:56Z</dcterms:created>
  <dcterms:modified xsi:type="dcterms:W3CDTF">2004-10-16T07:53:21Z</dcterms:modified>
  <cp:category/>
  <cp:version/>
  <cp:contentType/>
  <cp:contentStatus/>
</cp:coreProperties>
</file>