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915" activeTab="0"/>
  </bookViews>
  <sheets>
    <sheet name="Sheet1" sheetId="1" r:id="rId1"/>
    <sheet name="PFDC-mec" sheetId="2" r:id="rId2"/>
    <sheet name="PFDC-sec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<sst xmlns="http://schemas.openxmlformats.org/spreadsheetml/2006/main" count="1255" uniqueCount="167">
  <si>
    <t>Ksi</t>
  </si>
  <si>
    <t>in</t>
  </si>
  <si>
    <t>Y</t>
  </si>
  <si>
    <t>SECTION</t>
  </si>
  <si>
    <t>T. flange</t>
  </si>
  <si>
    <t>Web</t>
  </si>
  <si>
    <t>K-in</t>
  </si>
  <si>
    <t>ELASTIC RANGE</t>
  </si>
  <si>
    <t>BEAM SECTION</t>
  </si>
  <si>
    <t>Section</t>
  </si>
  <si>
    <r>
      <t>in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</si>
  <si>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3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</si>
  <si>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</si>
  <si>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</si>
  <si>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</si>
  <si>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0"/>
      </rPr>
      <t xml:space="preserve"> =</t>
    </r>
  </si>
  <si>
    <r>
      <t>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0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</si>
  <si>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</si>
  <si>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</si>
  <si>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</si>
  <si>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t>Kips</t>
  </si>
  <si>
    <t>c =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</si>
  <si>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>-c=</t>
    </r>
  </si>
  <si>
    <t>f =</t>
  </si>
  <si>
    <r>
      <t>n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</si>
  <si>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n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</si>
  <si>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</si>
  <si>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</si>
  <si>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t>B. flange</t>
  </si>
  <si>
    <r>
      <t>M</t>
    </r>
    <r>
      <rPr>
        <b/>
        <vertAlign val="subscript"/>
        <sz val="10"/>
        <rFont val="Arial"/>
        <family val="2"/>
      </rPr>
      <t>x</t>
    </r>
  </si>
  <si>
    <t>PARAMETERS TO FIND</t>
  </si>
  <si>
    <t>1/in</t>
  </si>
  <si>
    <t>CASE 1:</t>
  </si>
  <si>
    <t>CASE 2:</t>
  </si>
  <si>
    <t>YIELDING IN COMPRESSION</t>
  </si>
  <si>
    <t>YIELDING IN COMPRESSION AND IN TENSION</t>
  </si>
  <si>
    <t>CASE 3:</t>
  </si>
  <si>
    <t>CASE #</t>
  </si>
  <si>
    <t>n =</t>
  </si>
  <si>
    <t xml:space="preserve">STRAIN COMPATIBILITY ANALYIS FOR A COVER-PLATED SECTION </t>
  </si>
  <si>
    <t>COVER PLATE</t>
  </si>
  <si>
    <r>
      <t>n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</si>
  <si>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b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</si>
  <si>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</si>
  <si>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(M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b+cp</t>
    </r>
    <r>
      <rPr>
        <b/>
        <sz val="10"/>
        <rFont val="Arial"/>
        <family val="0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</si>
  <si>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uc</t>
    </r>
    <r>
      <rPr>
        <b/>
        <sz val="10"/>
        <rFont val="Arial"/>
        <family val="2"/>
      </rPr>
      <t xml:space="preserve"> =</t>
    </r>
  </si>
  <si>
    <t>A =</t>
  </si>
  <si>
    <t>OF A POST-TENSIONED FRICTION DAMPED CONNECTION (PFDC)</t>
  </si>
  <si>
    <r>
      <t>M</t>
    </r>
    <r>
      <rPr>
        <b/>
        <vertAlign val="subscript"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=</t>
    </r>
  </si>
  <si>
    <t>n' =</t>
  </si>
  <si>
    <r>
      <t>s</t>
    </r>
    <r>
      <rPr>
        <b/>
        <vertAlign val="subscript"/>
        <sz val="10"/>
        <rFont val="Arial"/>
        <family val="2"/>
      </rPr>
      <t>ycp</t>
    </r>
    <r>
      <rPr>
        <b/>
        <sz val="10"/>
        <rFont val="Arial"/>
        <family val="0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</si>
  <si>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ycp</t>
    </r>
    <r>
      <rPr>
        <b/>
        <sz val="10"/>
        <rFont val="Arial"/>
        <family val="0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</si>
  <si>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</si>
  <si>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</si>
  <si>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t>COLUMN DATA</t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</si>
  <si>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pc/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(M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b+cp</t>
    </r>
    <r>
      <rPr>
        <b/>
        <sz val="10"/>
        <rFont val="Arial"/>
        <family val="0"/>
      </rPr>
      <t xml:space="preserve"> =</t>
    </r>
  </si>
  <si>
    <t>STRONG-COLUMN/WEAK-BEAM CRITERION</t>
  </si>
  <si>
    <r>
      <t>e</t>
    </r>
    <r>
      <rPr>
        <b/>
        <vertAlign val="subscript"/>
        <sz val="10"/>
        <rFont val="Arial"/>
        <family val="2"/>
      </rPr>
      <t>tcp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</si>
  <si>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</si>
  <si>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Symbol"/>
        <family val="1"/>
      </rPr>
      <t xml:space="preserve">         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</si>
  <si>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+2t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>=</t>
    </r>
  </si>
  <si>
    <t>W14x398</t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</si>
  <si>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</si>
  <si>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0"/>
      </rPr>
      <t xml:space="preserve"> =</t>
    </r>
  </si>
  <si>
    <r>
      <t>Y</t>
    </r>
    <r>
      <rPr>
        <b/>
        <vertAlign val="subscript"/>
        <sz val="10"/>
        <rFont val="Arial"/>
        <family val="2"/>
      </rPr>
      <t>f</t>
    </r>
  </si>
  <si>
    <r>
      <t>in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</si>
  <si>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fc</t>
    </r>
  </si>
  <si>
    <t>A</t>
  </si>
  <si>
    <r>
      <t>S</t>
    </r>
    <r>
      <rPr>
        <b/>
        <sz val="10"/>
        <rFont val="Arial"/>
        <family val="0"/>
      </rPr>
      <t>A</t>
    </r>
    <r>
      <rPr>
        <b/>
        <sz val="10"/>
        <rFont val="Arial"/>
        <family val="0"/>
      </rPr>
      <t xml:space="preserve"> =</t>
    </r>
  </si>
  <si>
    <t>TABLE TO COMPUTE FIBER CROSS SECTION PROPERTIES</t>
  </si>
  <si>
    <t>W24x62</t>
  </si>
  <si>
    <r>
      <t>A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0"/>
      </rPr>
      <t xml:space="preserve"> =</t>
    </r>
  </si>
  <si>
    <t>COLUMN SECTION</t>
  </si>
  <si>
    <r>
      <t>P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</si>
  <si>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t>Kips-in</t>
  </si>
  <si>
    <r>
      <t>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</si>
  <si>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</si>
  <si>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r>
      <t>I</t>
    </r>
    <r>
      <rPr>
        <b/>
        <sz val="10"/>
        <rFont val="Arial"/>
        <family val="0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</si>
  <si>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</si>
  <si>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t>I</t>
  </si>
  <si>
    <r>
      <t>in</t>
    </r>
    <r>
      <rPr>
        <b/>
        <vertAlign val="superscript"/>
        <sz val="10"/>
        <rFont val="Arial"/>
        <family val="2"/>
      </rPr>
      <t>4</t>
    </r>
  </si>
  <si>
    <r>
      <t>A</t>
    </r>
    <r>
      <rPr>
        <b/>
        <vertAlign val="subscript"/>
        <sz val="10"/>
        <rFont val="Arial"/>
        <family val="2"/>
      </rPr>
      <t>m</t>
    </r>
  </si>
  <si>
    <r>
      <t>I</t>
    </r>
    <r>
      <rPr>
        <b/>
        <vertAlign val="subscript"/>
        <sz val="10"/>
        <rFont val="Arial"/>
        <family val="2"/>
      </rPr>
      <t>m</t>
    </r>
  </si>
  <si>
    <r>
      <t>f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</si>
  <si>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=</t>
    </r>
  </si>
  <si>
    <t>W14x311</t>
  </si>
  <si>
    <t>W14x370</t>
  </si>
  <si>
    <t>W30X90</t>
  </si>
  <si>
    <t>W33x118</t>
  </si>
  <si>
    <t>W36x135</t>
  </si>
  <si>
    <t>W36x170</t>
  </si>
  <si>
    <t>W36x182</t>
  </si>
  <si>
    <t>W36X194</t>
  </si>
  <si>
    <t>Column Sidesway M.</t>
  </si>
  <si>
    <t>Story</t>
  </si>
  <si>
    <t>Sec</t>
  </si>
  <si>
    <t>V</t>
  </si>
  <si>
    <t>W =</t>
  </si>
  <si>
    <t>V/W</t>
  </si>
  <si>
    <t xml:space="preserve">Beam-Sidesway M. </t>
  </si>
  <si>
    <t>H =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</si>
  <si>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</si>
  <si>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V =</t>
  </si>
  <si>
    <t>P =</t>
  </si>
  <si>
    <t>D</t>
  </si>
  <si>
    <r>
      <t>Z</t>
    </r>
    <r>
      <rPr>
        <b/>
        <vertAlign val="subscript"/>
        <sz val="10"/>
        <rFont val="Arial"/>
        <family val="2"/>
      </rPr>
      <t>x</t>
    </r>
  </si>
  <si>
    <r>
      <t>F</t>
    </r>
    <r>
      <rPr>
        <b/>
        <vertAlign val="subscript"/>
        <sz val="10"/>
        <rFont val="Arial"/>
        <family val="2"/>
      </rPr>
      <t>y</t>
    </r>
  </si>
  <si>
    <r>
      <t>L</t>
    </r>
    <r>
      <rPr>
        <b/>
        <vertAlign val="subscript"/>
        <sz val="10"/>
        <rFont val="Arial"/>
        <family val="2"/>
      </rPr>
      <t>b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</si>
  <si>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</si>
  <si>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%F</t>
    </r>
    <r>
      <rPr>
        <b/>
        <vertAlign val="subscript"/>
        <sz val="10"/>
        <rFont val="Arial"/>
        <family val="2"/>
      </rPr>
      <t>i</t>
    </r>
  </si>
  <si>
    <r>
      <t>h</t>
    </r>
    <r>
      <rPr>
        <b/>
        <vertAlign val="subscript"/>
        <sz val="10"/>
        <rFont val="Arial"/>
        <family val="2"/>
      </rPr>
      <t>i</t>
    </r>
  </si>
  <si>
    <r>
      <t>%F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</si>
  <si>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/H </t>
    </r>
  </si>
  <si>
    <r>
      <t>V-P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 =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</si>
  <si>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 =</t>
    </r>
  </si>
  <si>
    <t>1left</t>
  </si>
  <si>
    <t>1right</t>
  </si>
  <si>
    <t>2left</t>
  </si>
  <si>
    <t>2right</t>
  </si>
  <si>
    <t>3left</t>
  </si>
  <si>
    <t>3right</t>
  </si>
  <si>
    <t>4left</t>
  </si>
  <si>
    <t>4right</t>
  </si>
  <si>
    <t>Average</t>
  </si>
  <si>
    <t>Fy =</t>
  </si>
  <si>
    <r>
      <t>h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</si>
  <si>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sz val="10"/>
        <rFont val="Arial"/>
        <family val="0"/>
      </rPr>
      <t xml:space="preserve"> =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</si>
  <si>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</t>
    </r>
  </si>
  <si>
    <r>
      <t>V/W-P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</t>
    </r>
  </si>
  <si>
    <r>
      <t>M</t>
    </r>
    <r>
      <rPr>
        <b/>
        <vertAlign val="subscript"/>
        <sz val="10"/>
        <rFont val="Arial"/>
        <family val="2"/>
      </rPr>
      <t>p,c</t>
    </r>
  </si>
  <si>
    <r>
      <t>M</t>
    </r>
    <r>
      <rPr>
        <b/>
        <vertAlign val="subscript"/>
        <sz val="10"/>
        <rFont val="Arial"/>
        <family val="2"/>
      </rPr>
      <t>p,b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</si>
  <si>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p,b</t>
    </r>
    <r>
      <rPr>
        <b/>
        <sz val="10"/>
        <rFont val="Arial"/>
        <family val="0"/>
      </rPr>
      <t>L/L</t>
    </r>
    <r>
      <rPr>
        <b/>
        <vertAlign val="subscript"/>
        <sz val="10"/>
        <rFont val="Arial"/>
        <family val="2"/>
      </rPr>
      <t>b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</si>
  <si>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p,c</t>
    </r>
  </si>
  <si>
    <t xml:space="preserve">Summary of Connection Design Moments  </t>
  </si>
  <si>
    <t xml:space="preserve">Summary of Connection Moments from Pushover </t>
  </si>
  <si>
    <t>DBE</t>
  </si>
  <si>
    <t>MCE</t>
  </si>
  <si>
    <t>IGO</t>
  </si>
  <si>
    <r>
      <t>q</t>
    </r>
    <r>
      <rPr>
        <b/>
        <vertAlign val="subscript"/>
        <sz val="10"/>
        <rFont val="Arial"/>
        <family val="2"/>
      </rPr>
      <t>r</t>
    </r>
  </si>
  <si>
    <r>
      <t>q</t>
    </r>
    <r>
      <rPr>
        <b/>
        <vertAlign val="subscript"/>
        <sz val="10"/>
        <rFont val="Arial"/>
        <family val="2"/>
      </rPr>
      <t>roof</t>
    </r>
  </si>
  <si>
    <t>(%)</t>
  </si>
  <si>
    <t>radians</t>
  </si>
  <si>
    <r>
      <t>M/M</t>
    </r>
    <r>
      <rPr>
        <b/>
        <vertAlign val="subscript"/>
        <sz val="10"/>
        <rFont val="Arial"/>
        <family val="2"/>
      </rPr>
      <t>p,n</t>
    </r>
  </si>
  <si>
    <r>
      <t>M/M</t>
    </r>
    <r>
      <rPr>
        <b/>
        <vertAlign val="subscript"/>
        <sz val="10"/>
        <rFont val="Arial"/>
        <family val="2"/>
      </rPr>
      <t>p,b</t>
    </r>
  </si>
  <si>
    <t>Correction</t>
  </si>
  <si>
    <t>T</t>
  </si>
  <si>
    <t>M</t>
  </si>
  <si>
    <r>
      <t>T</t>
    </r>
    <r>
      <rPr>
        <b/>
        <vertAlign val="subscript"/>
        <sz val="10"/>
        <rFont val="Arial"/>
        <family val="2"/>
      </rPr>
      <t>o</t>
    </r>
  </si>
  <si>
    <r>
      <t>d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</si>
  <si>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b</t>
    </r>
  </si>
  <si>
    <r>
      <t>k</t>
    </r>
    <r>
      <rPr>
        <b/>
        <vertAlign val="subscript"/>
        <sz val="10"/>
        <rFont val="Arial"/>
        <family val="2"/>
      </rPr>
      <t>s</t>
    </r>
  </si>
  <si>
    <r>
      <t>d</t>
    </r>
    <r>
      <rPr>
        <b/>
        <vertAlign val="subscript"/>
        <sz val="10"/>
        <rFont val="Arial"/>
        <family val="2"/>
      </rPr>
      <t>1</t>
    </r>
  </si>
  <si>
    <r>
      <t>F</t>
    </r>
    <r>
      <rPr>
        <b/>
        <vertAlign val="subscript"/>
        <sz val="10"/>
        <rFont val="Arial"/>
        <family val="2"/>
      </rPr>
      <t>fd</t>
    </r>
  </si>
  <si>
    <r>
      <t>F</t>
    </r>
    <r>
      <rPr>
        <b/>
        <vertAlign val="subscript"/>
        <sz val="10"/>
        <rFont val="Arial"/>
        <family val="2"/>
      </rPr>
      <t>f</t>
    </r>
  </si>
  <si>
    <r>
      <t>q</t>
    </r>
    <r>
      <rPr>
        <b/>
        <vertAlign val="subscript"/>
        <sz val="10"/>
        <rFont val="Arial"/>
        <family val="2"/>
      </rPr>
      <t>rm</t>
    </r>
  </si>
  <si>
    <r>
      <t xml:space="preserve">With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r</t>
    </r>
  </si>
  <si>
    <r>
      <t xml:space="preserve">With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rm</t>
    </r>
  </si>
  <si>
    <r>
      <t>S</t>
    </r>
    <r>
      <rPr>
        <b/>
        <sz val="10"/>
        <rFont val="Arial"/>
        <family val="0"/>
      </rPr>
      <t>F</t>
    </r>
    <r>
      <rPr>
        <b/>
        <vertAlign val="subscript"/>
        <sz val="10"/>
        <rFont val="Arial"/>
        <family val="2"/>
      </rPr>
      <t>i</t>
    </r>
  </si>
  <si>
    <t>V/W =</t>
  </si>
  <si>
    <t>No P-delta</t>
  </si>
  <si>
    <t>P-delta</t>
  </si>
  <si>
    <t xml:space="preserve"> 5% roof d.</t>
  </si>
  <si>
    <t xml:space="preserve"> 1.93% roof d.</t>
  </si>
  <si>
    <t>Webs</t>
  </si>
  <si>
    <t>HSS50X50X25</t>
  </si>
  <si>
    <t>HSS45X45X2.2</t>
  </si>
  <si>
    <t>HSS55X55X30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</si>
</sst>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</numFmts>
  <fonts count="1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18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8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indent="1"/>
    </xf>
    <xf numFmtId="18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82" fontId="2" fillId="0" borderId="0" xfId="0" applyNumberFormat="1" applyFont="1" applyAlignment="1">
      <alignment horizontal="center"/>
    </xf>
    <xf numFmtId="0" fontId="9" fillId="0" borderId="0" xfId="15" applyFont="1" applyAlignment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8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design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Nominal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'PFDC-mec'!$B$102:$B$104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'PFDC-mec'!$C$102:$C$104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'PFDC-mec'!$B$102:$B$104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'PFDC-mec'!$D$102:$D$104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1843146"/>
        <c:axId val="39479451"/>
      </c:scatterChart>
      <c:valAx>
        <c:axId val="11843146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Rotation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crossBetween val="midCat"/>
        <c:dispUnits/>
      </c:valAx>
      <c:valAx>
        <c:axId val="3947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M/Mp,n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431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85</xdr:row>
      <xdr:rowOff>9525</xdr:rowOff>
    </xdr:from>
    <xdr:to>
      <xdr:col>9</xdr:col>
      <xdr:colOff>371475</xdr:colOff>
      <xdr:row>103</xdr:row>
      <xdr:rowOff>152400</xdr:rowOff>
    </xdr:to>
    <xdr:graphicFrame>
      <xdr:nvGraphicFramePr>
        <xdr:cNvPr id="1" name="Chart 1"/>
        <xdr:cNvGraphicFramePr/>
      </xdr:nvGraphicFramePr>
      <xdr:xfrm>
        <a:off x="3009900" y="13868400"/>
        <a:ext cx="4133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decoor%20(springs%20-%20eje%20y%20-and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G4" t="str">
            <v>W200x530</v>
          </cell>
        </row>
        <row r="12">
          <cell r="J12">
            <v>2045</v>
          </cell>
        </row>
        <row r="16">
          <cell r="J16">
            <v>48128.33</v>
          </cell>
        </row>
        <row r="17">
          <cell r="G17" t="str">
            <v>W200x540B</v>
          </cell>
        </row>
        <row r="18">
          <cell r="C18">
            <v>20</v>
          </cell>
        </row>
        <row r="30">
          <cell r="G30" t="str">
            <v>W200x540A</v>
          </cell>
        </row>
        <row r="31">
          <cell r="J31">
            <v>20</v>
          </cell>
        </row>
        <row r="32">
          <cell r="J32">
            <v>2</v>
          </cell>
        </row>
        <row r="34">
          <cell r="J34">
            <v>0.8</v>
          </cell>
        </row>
        <row r="37">
          <cell r="J37">
            <v>54</v>
          </cell>
        </row>
        <row r="38">
          <cell r="J38">
            <v>2580</v>
          </cell>
        </row>
        <row r="42">
          <cell r="J42">
            <v>62440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6">
          <cell r="H16">
            <v>7.874015748031496</v>
          </cell>
          <cell r="I16">
            <v>0.5905511811023622</v>
          </cell>
        </row>
        <row r="17">
          <cell r="E17">
            <v>20.866141732283463</v>
          </cell>
          <cell r="G17">
            <v>0.31496062992125984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Y223"/>
  <sheetViews>
    <sheetView tabSelected="1" workbookViewId="0" topLeftCell="A62">
      <selection activeCell="I79" sqref="I79"/>
    </sheetView>
  </sheetViews>
  <sheetFormatPr defaultColWidth="11.421875" defaultRowHeight="12.75"/>
  <cols>
    <col min="1" max="1" width="9.140625" style="0" customWidth="1"/>
    <col min="2" max="2" width="10.57421875" style="0" customWidth="1"/>
    <col min="3" max="3" width="9.140625" style="0" customWidth="1"/>
    <col min="4" max="4" width="9.57421875" style="0" bestFit="1" customWidth="1"/>
    <col min="5" max="7" width="9.140625" style="0" customWidth="1"/>
    <col min="8" max="8" width="9.57421875" style="0" bestFit="1" customWidth="1"/>
    <col min="9" max="10" width="9.140625" style="0" customWidth="1"/>
    <col min="11" max="11" width="10.7109375" style="0" bestFit="1" customWidth="1"/>
    <col min="12" max="12" width="10.57421875" style="0" bestFit="1" customWidth="1"/>
    <col min="13" max="15" width="9.140625" style="0" customWidth="1"/>
    <col min="16" max="16" width="12.57421875" style="0" bestFit="1" customWidth="1"/>
    <col min="17" max="25" width="9.140625" style="0" customWidth="1"/>
    <col min="26" max="26" width="9.57421875" style="0" bestFit="1" customWidth="1"/>
    <col min="27" max="16384" width="9.140625" style="0" customWidth="1"/>
  </cols>
  <sheetData>
    <row r="2" spans="3:32" ht="12.75">
      <c r="C2" s="3" t="s">
        <v>69</v>
      </c>
      <c r="D2" s="3"/>
      <c r="E2" s="3"/>
      <c r="F2" s="3"/>
      <c r="G2" s="3"/>
      <c r="H2" s="3"/>
      <c r="S2" s="3" t="s">
        <v>39</v>
      </c>
      <c r="AF2" s="3"/>
    </row>
    <row r="3" spans="3:33" ht="12.75">
      <c r="C3" s="3"/>
      <c r="D3" s="3"/>
      <c r="E3" s="3"/>
      <c r="F3" s="3"/>
      <c r="G3" s="3"/>
      <c r="H3" s="3"/>
      <c r="S3" s="3" t="s">
        <v>47</v>
      </c>
      <c r="AG3" s="30"/>
    </row>
    <row r="4" spans="1:32" ht="14.25">
      <c r="A4" s="22" t="s">
        <v>8</v>
      </c>
      <c r="B4" s="22"/>
      <c r="C4" s="22"/>
      <c r="E4" s="4" t="s">
        <v>2</v>
      </c>
      <c r="F4" s="4" t="s">
        <v>3</v>
      </c>
      <c r="G4" s="4" t="s">
        <v>64</v>
      </c>
      <c r="H4" s="4" t="s">
        <v>66</v>
      </c>
      <c r="I4" s="4" t="s">
        <v>67</v>
      </c>
      <c r="J4" s="4" t="s">
        <v>79</v>
      </c>
      <c r="K4" s="4"/>
      <c r="L4" s="4"/>
      <c r="N4" s="15"/>
      <c r="O4" s="8"/>
      <c r="P4" s="14"/>
      <c r="AF4" s="30"/>
    </row>
    <row r="5" spans="1:27" ht="14.25">
      <c r="A5" s="23"/>
      <c r="B5" s="23"/>
      <c r="C5" s="23"/>
      <c r="E5" s="4" t="s">
        <v>1</v>
      </c>
      <c r="F5" s="4"/>
      <c r="G5" s="4" t="s">
        <v>1</v>
      </c>
      <c r="H5" s="4" t="s">
        <v>1</v>
      </c>
      <c r="I5" s="6" t="s">
        <v>65</v>
      </c>
      <c r="J5" s="6" t="s">
        <v>80</v>
      </c>
      <c r="K5" s="6"/>
      <c r="L5" s="6"/>
      <c r="N5" s="15"/>
      <c r="O5" s="8"/>
      <c r="P5" s="14"/>
      <c r="S5" s="22" t="s">
        <v>32</v>
      </c>
      <c r="T5" s="22" t="s">
        <v>7</v>
      </c>
      <c r="U5" s="22"/>
      <c r="V5" s="22"/>
      <c r="W5" s="22"/>
      <c r="X5" s="22"/>
      <c r="Y5" s="23"/>
      <c r="Z5" s="22" t="s">
        <v>37</v>
      </c>
      <c r="AA5" s="24">
        <v>1</v>
      </c>
    </row>
    <row r="6" spans="1:51" ht="12.75">
      <c r="A6" s="26" t="s">
        <v>9</v>
      </c>
      <c r="B6" s="24" t="str">
        <f>'[1]Despues de estudiar exc.'!$G$30</f>
        <v>W200x540A</v>
      </c>
      <c r="C6" s="23"/>
      <c r="S6" s="22" t="s">
        <v>33</v>
      </c>
      <c r="T6" s="22" t="s">
        <v>34</v>
      </c>
      <c r="U6" s="22"/>
      <c r="V6" s="22"/>
      <c r="W6" s="22"/>
      <c r="X6" s="22"/>
      <c r="Y6" s="23"/>
      <c r="Z6" s="23"/>
      <c r="AA6" s="23"/>
      <c r="AE6" s="26" t="s">
        <v>9</v>
      </c>
      <c r="AF6" s="24" t="s">
        <v>70</v>
      </c>
      <c r="AG6" s="23"/>
      <c r="AH6" s="8"/>
      <c r="AI6" s="14"/>
      <c r="AJ6" s="29"/>
      <c r="AK6" s="21"/>
      <c r="AL6" s="14"/>
      <c r="AW6" s="6"/>
      <c r="AX6" s="4"/>
      <c r="AY6" s="9"/>
    </row>
    <row r="7" spans="1:51" ht="14.25">
      <c r="A7" s="26" t="s">
        <v>12</v>
      </c>
      <c r="B7" s="56">
        <f>'[1]Despues de estudiar exc.'!$J$31/2.54</f>
        <v>7.874015748031496</v>
      </c>
      <c r="C7" s="23" t="s">
        <v>1</v>
      </c>
      <c r="E7" s="1">
        <v>0</v>
      </c>
      <c r="F7" s="1" t="s">
        <v>4</v>
      </c>
      <c r="G7" s="7">
        <f aca="true" t="shared" si="0" ref="G7:G15">+$B$9/2-E7</f>
        <v>10.62992125984252</v>
      </c>
      <c r="H7" s="7">
        <v>0</v>
      </c>
      <c r="I7" s="7">
        <v>0</v>
      </c>
      <c r="S7" s="22" t="s">
        <v>36</v>
      </c>
      <c r="T7" s="22" t="s">
        <v>35</v>
      </c>
      <c r="U7" s="22"/>
      <c r="V7" s="22"/>
      <c r="W7" s="22"/>
      <c r="X7" s="22"/>
      <c r="Y7" s="23"/>
      <c r="Z7" s="23"/>
      <c r="AA7" s="23"/>
      <c r="AE7" s="26" t="s">
        <v>12</v>
      </c>
      <c r="AF7" s="24">
        <v>7.04</v>
      </c>
      <c r="AG7" s="23" t="s">
        <v>1</v>
      </c>
      <c r="AH7" s="8"/>
      <c r="AJ7" s="16"/>
      <c r="AK7" s="17"/>
      <c r="AL7" s="18"/>
      <c r="AX7" s="4"/>
      <c r="AY7" s="4"/>
    </row>
    <row r="8" spans="1:38" ht="14.25">
      <c r="A8" s="26" t="s">
        <v>13</v>
      </c>
      <c r="B8" s="56">
        <f>'[1]Despues de estudiar exc.'!$J$32/2.54</f>
        <v>0.7874015748031495</v>
      </c>
      <c r="C8" s="23" t="s">
        <v>1</v>
      </c>
      <c r="E8" s="7">
        <f>+B17</f>
        <v>0.39370078740157477</v>
      </c>
      <c r="F8" s="1" t="s">
        <v>4</v>
      </c>
      <c r="G8" s="7">
        <f t="shared" si="0"/>
        <v>10.236220472440946</v>
      </c>
      <c r="H8" s="42">
        <f aca="true" t="shared" si="1" ref="H8:H17">+(G7+G8)/2</f>
        <v>10.433070866141733</v>
      </c>
      <c r="I8" s="7">
        <f>+$B$7*(E8-E7)</f>
        <v>3.1000062000124</v>
      </c>
      <c r="J8" s="11">
        <f>+$B$7*($B$17)^3/12+I8*H8^2</f>
        <v>337.4725165553831</v>
      </c>
      <c r="K8" s="42"/>
      <c r="L8" s="11"/>
      <c r="S8" s="23"/>
      <c r="T8" s="23"/>
      <c r="U8" s="23"/>
      <c r="V8" s="23"/>
      <c r="W8" s="23"/>
      <c r="X8" s="23"/>
      <c r="Y8" s="23"/>
      <c r="Z8" s="23"/>
      <c r="AA8" s="23"/>
      <c r="AE8" s="26" t="s">
        <v>13</v>
      </c>
      <c r="AF8" s="24">
        <v>0.59</v>
      </c>
      <c r="AG8" s="23" t="s">
        <v>1</v>
      </c>
      <c r="AH8" s="8"/>
      <c r="AI8" s="14"/>
      <c r="AJ8" s="19"/>
      <c r="AK8" s="20"/>
      <c r="AL8" s="14"/>
    </row>
    <row r="9" spans="1:51" ht="14.25">
      <c r="A9" s="26" t="s">
        <v>14</v>
      </c>
      <c r="B9" s="56">
        <f>'[1]Despues de estudiar exc.'!$J$37/2.54</f>
        <v>21.25984251968504</v>
      </c>
      <c r="C9" s="23" t="s">
        <v>1</v>
      </c>
      <c r="E9" s="7">
        <f>2*B17</f>
        <v>0.7874015748031495</v>
      </c>
      <c r="F9" s="1" t="s">
        <v>4</v>
      </c>
      <c r="G9" s="7">
        <f t="shared" si="0"/>
        <v>9.84251968503937</v>
      </c>
      <c r="H9" s="42">
        <f t="shared" si="1"/>
        <v>10.03937007874016</v>
      </c>
      <c r="I9" s="7">
        <f>+$B$7*(E9-E8)</f>
        <v>3.1000062000124</v>
      </c>
      <c r="J9" s="11">
        <f>+$B$7*($B$17)^3/12+I9*H9^2</f>
        <v>312.4864166110833</v>
      </c>
      <c r="K9" s="42"/>
      <c r="L9" s="11"/>
      <c r="S9" s="22" t="s">
        <v>40</v>
      </c>
      <c r="T9" s="22"/>
      <c r="U9" s="22"/>
      <c r="V9" s="22" t="s">
        <v>54</v>
      </c>
      <c r="W9" s="22"/>
      <c r="X9" s="23"/>
      <c r="Y9" s="22" t="s">
        <v>30</v>
      </c>
      <c r="Z9" s="22"/>
      <c r="AA9" s="23"/>
      <c r="AE9" s="26" t="s">
        <v>14</v>
      </c>
      <c r="AF9" s="24">
        <v>23.74</v>
      </c>
      <c r="AG9" s="23" t="s">
        <v>1</v>
      </c>
      <c r="AW9" s="1"/>
      <c r="AX9" s="1"/>
      <c r="AY9" s="1"/>
    </row>
    <row r="10" spans="1:51" ht="14.25">
      <c r="A10" s="26" t="s">
        <v>15</v>
      </c>
      <c r="B10" s="56">
        <f>'[1]Despues de estudiar exc.'!$J$34/2.54</f>
        <v>0.31496062992125984</v>
      </c>
      <c r="C10" s="23" t="s">
        <v>1</v>
      </c>
      <c r="E10" s="7">
        <f aca="true" t="shared" si="2" ref="E10:E15">+E9+$B$18</f>
        <v>3.248031496062992</v>
      </c>
      <c r="F10" s="1" t="s">
        <v>5</v>
      </c>
      <c r="G10" s="7">
        <f t="shared" si="0"/>
        <v>7.381889763779528</v>
      </c>
      <c r="H10" s="42">
        <f t="shared" si="1"/>
        <v>8.612204724409448</v>
      </c>
      <c r="I10" s="7">
        <f aca="true" t="shared" si="3" ref="I10:I15">+$B$10*(E10-E9)</f>
        <v>0.7750015500031</v>
      </c>
      <c r="J10" s="11">
        <f aca="true" t="shared" si="4" ref="J10:J17">+$B$10*($B$18)^3/12+I10*H10^2</f>
        <v>57.872952845746546</v>
      </c>
      <c r="K10" s="42"/>
      <c r="L10" s="11"/>
      <c r="S10" s="23"/>
      <c r="T10" s="23"/>
      <c r="U10" s="23"/>
      <c r="V10" s="23"/>
      <c r="W10" s="23"/>
      <c r="X10" s="23"/>
      <c r="Y10" s="25" t="s">
        <v>29</v>
      </c>
      <c r="Z10" s="22"/>
      <c r="AA10" s="23"/>
      <c r="AB10" s="4"/>
      <c r="AC10" s="4"/>
      <c r="AE10" s="26" t="s">
        <v>15</v>
      </c>
      <c r="AF10" s="24">
        <v>0.43</v>
      </c>
      <c r="AG10" s="23" t="s">
        <v>1</v>
      </c>
      <c r="AW10" s="1"/>
      <c r="AX10" s="1"/>
      <c r="AY10" s="11"/>
    </row>
    <row r="11" spans="1:51" ht="15">
      <c r="A11" s="26" t="s">
        <v>16</v>
      </c>
      <c r="B11" s="56">
        <f>'[1]Despues de estudiar exc.'!$J$38/2.54/2.54/2.54</f>
        <v>157.4412597644093</v>
      </c>
      <c r="C11" s="23" t="s">
        <v>11</v>
      </c>
      <c r="E11" s="7">
        <f t="shared" si="2"/>
        <v>5.708661417322835</v>
      </c>
      <c r="F11" s="1" t="s">
        <v>5</v>
      </c>
      <c r="G11" s="7">
        <f t="shared" si="0"/>
        <v>4.921259842519685</v>
      </c>
      <c r="H11" s="42">
        <f t="shared" si="1"/>
        <v>6.1515748031496065</v>
      </c>
      <c r="I11" s="7">
        <f t="shared" si="3"/>
        <v>0.7750015500031001</v>
      </c>
      <c r="J11" s="11">
        <f t="shared" si="4"/>
        <v>29.718543353221207</v>
      </c>
      <c r="K11" s="42"/>
      <c r="L11" s="11"/>
      <c r="R11" s="2"/>
      <c r="S11" s="26" t="s">
        <v>53</v>
      </c>
      <c r="T11" s="24">
        <v>31</v>
      </c>
      <c r="U11" s="23" t="s">
        <v>1</v>
      </c>
      <c r="V11" s="26" t="s">
        <v>9</v>
      </c>
      <c r="W11" s="24" t="s">
        <v>61</v>
      </c>
      <c r="X11" s="24"/>
      <c r="Y11" s="25" t="s">
        <v>49</v>
      </c>
      <c r="Z11" s="24">
        <v>0.5795</v>
      </c>
      <c r="AA11" s="23"/>
      <c r="AB11" s="4"/>
      <c r="AE11" s="26" t="s">
        <v>16</v>
      </c>
      <c r="AF11" s="24">
        <v>153</v>
      </c>
      <c r="AG11" s="23" t="s">
        <v>11</v>
      </c>
      <c r="AW11" s="1"/>
      <c r="AX11" s="1"/>
      <c r="AY11" s="1"/>
    </row>
    <row r="12" spans="1:51" ht="15">
      <c r="A12" s="26" t="s">
        <v>63</v>
      </c>
      <c r="B12" s="56">
        <f>B14/(B9/2)</f>
        <v>141.12305856574383</v>
      </c>
      <c r="C12" s="23" t="s">
        <v>11</v>
      </c>
      <c r="E12" s="7">
        <f t="shared" si="2"/>
        <v>8.169291338582678</v>
      </c>
      <c r="F12" s="1" t="s">
        <v>5</v>
      </c>
      <c r="G12" s="7">
        <f t="shared" si="0"/>
        <v>2.4606299212598426</v>
      </c>
      <c r="H12" s="42">
        <f t="shared" si="1"/>
        <v>3.690944881889764</v>
      </c>
      <c r="I12" s="7">
        <f t="shared" si="3"/>
        <v>0.7750015500031</v>
      </c>
      <c r="J12" s="11">
        <f t="shared" si="4"/>
        <v>10.94893702487097</v>
      </c>
      <c r="K12" s="42"/>
      <c r="L12" s="11"/>
      <c r="R12" s="2"/>
      <c r="S12" s="26" t="s">
        <v>42</v>
      </c>
      <c r="T12" s="24">
        <v>12</v>
      </c>
      <c r="U12" s="23" t="s">
        <v>1</v>
      </c>
      <c r="V12" s="26" t="s">
        <v>16</v>
      </c>
      <c r="W12" s="24">
        <v>801</v>
      </c>
      <c r="X12" s="23" t="s">
        <v>11</v>
      </c>
      <c r="AE12" s="26" t="s">
        <v>63</v>
      </c>
      <c r="AF12" s="24">
        <v>131</v>
      </c>
      <c r="AG12" s="23" t="s">
        <v>11</v>
      </c>
      <c r="AW12" s="1"/>
      <c r="AX12" s="1"/>
      <c r="AY12" s="1"/>
    </row>
    <row r="13" spans="1:51" ht="14.25">
      <c r="A13" s="26" t="s">
        <v>62</v>
      </c>
      <c r="B13" s="56">
        <v>36</v>
      </c>
      <c r="C13" s="23" t="s">
        <v>0</v>
      </c>
      <c r="E13" s="7">
        <f t="shared" si="2"/>
        <v>10.62992125984252</v>
      </c>
      <c r="F13" s="1" t="s">
        <v>5</v>
      </c>
      <c r="G13" s="7">
        <f t="shared" si="0"/>
        <v>0</v>
      </c>
      <c r="H13" s="42">
        <f t="shared" si="1"/>
        <v>1.2303149606299213</v>
      </c>
      <c r="I13" s="7">
        <f t="shared" si="3"/>
        <v>0.7750015500031</v>
      </c>
      <c r="J13" s="11">
        <f t="shared" si="4"/>
        <v>1.564133860695853</v>
      </c>
      <c r="K13" s="42"/>
      <c r="L13" s="11"/>
      <c r="R13" s="2"/>
      <c r="S13" s="26" t="s">
        <v>43</v>
      </c>
      <c r="T13" s="24">
        <v>2</v>
      </c>
      <c r="U13" s="23" t="s">
        <v>1</v>
      </c>
      <c r="V13" s="25" t="s">
        <v>45</v>
      </c>
      <c r="W13" s="24">
        <v>1000</v>
      </c>
      <c r="X13" s="23" t="s">
        <v>20</v>
      </c>
      <c r="Y13" s="28" t="s">
        <v>41</v>
      </c>
      <c r="Z13" s="8">
        <v>4</v>
      </c>
      <c r="AA13" s="14"/>
      <c r="AE13" s="26" t="s">
        <v>62</v>
      </c>
      <c r="AF13" s="24">
        <v>50</v>
      </c>
      <c r="AG13" s="23" t="s">
        <v>0</v>
      </c>
      <c r="AW13" s="1"/>
      <c r="AX13" s="1"/>
      <c r="AY13" s="1"/>
    </row>
    <row r="14" spans="1:51" ht="15">
      <c r="A14" s="26" t="s">
        <v>77</v>
      </c>
      <c r="B14" s="56">
        <f>'[1]Despues de estudiar exc.'!$J$42/2.54/2.54/2.54/2.54</f>
        <v>1500.1270005020015</v>
      </c>
      <c r="C14" s="23" t="s">
        <v>78</v>
      </c>
      <c r="E14" s="7">
        <f t="shared" si="2"/>
        <v>13.090551181102363</v>
      </c>
      <c r="F14" s="1" t="s">
        <v>5</v>
      </c>
      <c r="G14" s="7">
        <f t="shared" si="0"/>
        <v>-2.4606299212598426</v>
      </c>
      <c r="H14" s="42">
        <f t="shared" si="1"/>
        <v>-1.2303149606299213</v>
      </c>
      <c r="I14" s="7">
        <f t="shared" si="3"/>
        <v>0.7750015500031</v>
      </c>
      <c r="J14" s="11">
        <f t="shared" si="4"/>
        <v>1.564133860695853</v>
      </c>
      <c r="K14" s="42"/>
      <c r="L14" s="11"/>
      <c r="R14" s="2"/>
      <c r="S14" s="27" t="s">
        <v>50</v>
      </c>
      <c r="T14" s="24">
        <v>50</v>
      </c>
      <c r="U14" s="23" t="s">
        <v>0</v>
      </c>
      <c r="V14" s="27" t="s">
        <v>19</v>
      </c>
      <c r="W14" s="24">
        <v>50</v>
      </c>
      <c r="X14" s="23" t="s">
        <v>0</v>
      </c>
      <c r="Y14" s="5" t="s">
        <v>58</v>
      </c>
      <c r="Z14" s="8">
        <f>+T13/Z13</f>
        <v>0.5</v>
      </c>
      <c r="AA14" s="14" t="s">
        <v>1</v>
      </c>
      <c r="AB14" s="1"/>
      <c r="AC14" s="11"/>
      <c r="AE14" s="26" t="s">
        <v>77</v>
      </c>
      <c r="AF14" s="24">
        <v>1550</v>
      </c>
      <c r="AG14" s="23" t="s">
        <v>78</v>
      </c>
      <c r="AW14" s="1"/>
      <c r="AX14" s="1"/>
      <c r="AY14" s="1"/>
    </row>
    <row r="15" spans="1:51" ht="15">
      <c r="A15" s="28" t="s">
        <v>24</v>
      </c>
      <c r="B15" s="8">
        <v>2</v>
      </c>
      <c r="C15" s="14"/>
      <c r="E15" s="7">
        <f t="shared" si="2"/>
        <v>15.551181102362206</v>
      </c>
      <c r="F15" s="1" t="s">
        <v>5</v>
      </c>
      <c r="G15" s="7">
        <f t="shared" si="0"/>
        <v>-4.921259842519685</v>
      </c>
      <c r="H15" s="42">
        <f t="shared" si="1"/>
        <v>-3.690944881889764</v>
      </c>
      <c r="I15" s="7">
        <f t="shared" si="3"/>
        <v>0.7750015500031</v>
      </c>
      <c r="J15" s="11">
        <f t="shared" si="4"/>
        <v>10.94893702487097</v>
      </c>
      <c r="K15" s="42"/>
      <c r="L15" s="11"/>
      <c r="R15" s="2"/>
      <c r="S15" s="27" t="s">
        <v>51</v>
      </c>
      <c r="T15" s="24">
        <f>+T14/B14</f>
        <v>0.03333051133888533</v>
      </c>
      <c r="U15" s="23"/>
      <c r="V15" s="25" t="s">
        <v>46</v>
      </c>
      <c r="W15" s="24">
        <v>117</v>
      </c>
      <c r="X15" s="23" t="s">
        <v>10</v>
      </c>
      <c r="Y15" s="5" t="s">
        <v>57</v>
      </c>
      <c r="Z15" s="8">
        <f>-T15*Z11</f>
        <v>-0.01931503132088405</v>
      </c>
      <c r="AA15" s="14"/>
      <c r="AB15" s="1"/>
      <c r="AC15" s="11"/>
      <c r="AE15" s="28" t="s">
        <v>24</v>
      </c>
      <c r="AF15" s="8">
        <v>2</v>
      </c>
      <c r="AG15" s="14"/>
      <c r="AW15" s="1"/>
      <c r="AX15" s="1"/>
      <c r="AY15" s="1"/>
    </row>
    <row r="16" spans="1:51" ht="14.25">
      <c r="A16" s="28" t="s">
        <v>25</v>
      </c>
      <c r="B16" s="8">
        <v>8</v>
      </c>
      <c r="C16" s="14"/>
      <c r="E16" s="7">
        <f>+E15+$B$18</f>
        <v>18.011811023622048</v>
      </c>
      <c r="F16" s="1" t="s">
        <v>5</v>
      </c>
      <c r="G16" s="7">
        <f>+$B$9/2-E16</f>
        <v>-7.381889763779528</v>
      </c>
      <c r="H16" s="42">
        <f t="shared" si="1"/>
        <v>-6.1515748031496065</v>
      </c>
      <c r="I16" s="7">
        <f>+$B$10*(E16-E15)</f>
        <v>0.7750015500031</v>
      </c>
      <c r="J16" s="11">
        <f t="shared" si="4"/>
        <v>29.718543353221204</v>
      </c>
      <c r="K16" s="42"/>
      <c r="L16" s="11"/>
      <c r="R16" s="2"/>
      <c r="S16" s="26" t="s">
        <v>60</v>
      </c>
      <c r="T16" s="24">
        <f>+B9+2*T13</f>
        <v>25.25984251968504</v>
      </c>
      <c r="U16" s="23" t="s">
        <v>1</v>
      </c>
      <c r="V16" s="23"/>
      <c r="W16" s="23"/>
      <c r="X16" s="23"/>
      <c r="Y16" s="28" t="s">
        <v>38</v>
      </c>
      <c r="Z16" s="21" t="e">
        <f>+(Z17-T13)*Z11*T15/(Z17*#REF!)</f>
        <v>#REF!</v>
      </c>
      <c r="AA16" s="14"/>
      <c r="AB16" s="1"/>
      <c r="AC16" s="11"/>
      <c r="AE16" s="28" t="s">
        <v>25</v>
      </c>
      <c r="AF16" s="8">
        <v>8</v>
      </c>
      <c r="AG16" s="14"/>
      <c r="AW16" s="1"/>
      <c r="AX16" s="1"/>
      <c r="AY16" s="1"/>
    </row>
    <row r="17" spans="1:51" ht="14.25">
      <c r="A17" s="5" t="s">
        <v>26</v>
      </c>
      <c r="B17" s="21">
        <f>+B8/B15</f>
        <v>0.39370078740157477</v>
      </c>
      <c r="C17" s="14" t="s">
        <v>1</v>
      </c>
      <c r="E17" s="7">
        <f>+E16+$B$18</f>
        <v>20.47244094488189</v>
      </c>
      <c r="F17" s="1" t="s">
        <v>5</v>
      </c>
      <c r="G17" s="7">
        <f>+$B$9/2-E17</f>
        <v>-9.842519685039369</v>
      </c>
      <c r="H17" s="42">
        <f t="shared" si="1"/>
        <v>-8.612204724409448</v>
      </c>
      <c r="I17" s="7">
        <f>+$B$10*(E17-E16)</f>
        <v>0.7750015500030994</v>
      </c>
      <c r="J17" s="11">
        <f t="shared" si="4"/>
        <v>57.872952845746504</v>
      </c>
      <c r="K17" s="42"/>
      <c r="L17" s="11"/>
      <c r="R17" s="2"/>
      <c r="S17" s="34" t="s">
        <v>56</v>
      </c>
      <c r="T17" s="14"/>
      <c r="U17" s="14"/>
      <c r="V17" s="14"/>
      <c r="W17" s="14"/>
      <c r="X17" s="14"/>
      <c r="Y17" s="28" t="s">
        <v>21</v>
      </c>
      <c r="Z17" s="20">
        <v>31.763788473624743</v>
      </c>
      <c r="AA17" s="14" t="s">
        <v>1</v>
      </c>
      <c r="AB17" s="1"/>
      <c r="AC17" s="11"/>
      <c r="AE17" s="5" t="s">
        <v>26</v>
      </c>
      <c r="AF17" s="8">
        <f>+AF8/AF15</f>
        <v>0.295</v>
      </c>
      <c r="AG17" s="14" t="s">
        <v>1</v>
      </c>
      <c r="AW17" s="1"/>
      <c r="AX17" s="1"/>
      <c r="AY17" s="1"/>
    </row>
    <row r="18" spans="1:51" ht="14.25">
      <c r="A18" s="5" t="s">
        <v>27</v>
      </c>
      <c r="B18" s="21">
        <f>+(B9-2*B8)/B16</f>
        <v>2.4606299212598426</v>
      </c>
      <c r="C18" s="14" t="s">
        <v>1</v>
      </c>
      <c r="E18" s="7">
        <f>+E17+$B$17</f>
        <v>20.866141732283463</v>
      </c>
      <c r="F18" s="1" t="s">
        <v>28</v>
      </c>
      <c r="G18" s="7">
        <f>+$B$9/2-E18</f>
        <v>-10.236220472440943</v>
      </c>
      <c r="H18" s="42">
        <f>+(G17+G18)/2</f>
        <v>-10.039370078740156</v>
      </c>
      <c r="I18" s="7">
        <f>+$B$7*(E18-E17)</f>
        <v>3.1000062000123947</v>
      </c>
      <c r="J18" s="11">
        <f>+$B$7*($B$17)^3/12+I18*H18^2</f>
        <v>312.4864166110825</v>
      </c>
      <c r="K18" s="42"/>
      <c r="L18" s="11"/>
      <c r="R18" s="2"/>
      <c r="S18" s="15" t="s">
        <v>52</v>
      </c>
      <c r="T18" s="8">
        <f>2*T14*(T12*T13)*(B9/2+T13/2)</f>
        <v>27911.81102362205</v>
      </c>
      <c r="U18" s="14" t="s">
        <v>6</v>
      </c>
      <c r="V18" s="14"/>
      <c r="W18" s="14"/>
      <c r="X18" s="14"/>
      <c r="Y18" s="15" t="s">
        <v>22</v>
      </c>
      <c r="Z18" s="20">
        <f>+T16-Z17</f>
        <v>-6.503945953939702</v>
      </c>
      <c r="AA18" s="14" t="s">
        <v>1</v>
      </c>
      <c r="AB18" s="1"/>
      <c r="AC18" s="11"/>
      <c r="AE18" s="5" t="s">
        <v>27</v>
      </c>
      <c r="AF18" s="20">
        <f>+(AF9-2*AF8)/AF16</f>
        <v>2.82</v>
      </c>
      <c r="AG18" s="14" t="s">
        <v>1</v>
      </c>
      <c r="AW18" s="1"/>
      <c r="AX18" s="1"/>
      <c r="AY18" s="1"/>
    </row>
    <row r="19" spans="1:51" ht="15">
      <c r="A19" s="15" t="s">
        <v>17</v>
      </c>
      <c r="B19" s="21">
        <f>+B7*B8</f>
        <v>6.2000124000248</v>
      </c>
      <c r="C19" s="31" t="s">
        <v>59</v>
      </c>
      <c r="E19" s="7">
        <f>+E18+$B$17</f>
        <v>21.259842519685037</v>
      </c>
      <c r="F19" s="1" t="s">
        <v>28</v>
      </c>
      <c r="G19" s="7">
        <f>+$B$9/2-E19</f>
        <v>-10.629921259842517</v>
      </c>
      <c r="H19" s="42">
        <f>+(G18+G19)/2</f>
        <v>-10.43307086614173</v>
      </c>
      <c r="I19" s="7">
        <f>+$B$7*(E19-E18)</f>
        <v>3.1000062000123947</v>
      </c>
      <c r="J19" s="11">
        <f>+$B$7*($B$17)^3/12+I19*H19^2</f>
        <v>337.47251655538224</v>
      </c>
      <c r="K19" s="42"/>
      <c r="L19" s="11"/>
      <c r="S19" s="15" t="s">
        <v>44</v>
      </c>
      <c r="T19" s="8">
        <f>+B21+T18</f>
        <v>33579.69637514078</v>
      </c>
      <c r="U19" s="14" t="s">
        <v>6</v>
      </c>
      <c r="V19" s="35" t="s">
        <v>55</v>
      </c>
      <c r="W19" s="14"/>
      <c r="X19" s="21">
        <f>+T20/T19</f>
        <v>0.9888072179957866</v>
      </c>
      <c r="Y19" s="5" t="s">
        <v>23</v>
      </c>
      <c r="Z19" s="32">
        <f>+ABS(Z15/Z17)</f>
        <v>0.0006080833631329085</v>
      </c>
      <c r="AA19" s="14" t="s">
        <v>31</v>
      </c>
      <c r="AB19" s="1"/>
      <c r="AC19" s="11"/>
      <c r="AE19" s="15" t="s">
        <v>17</v>
      </c>
      <c r="AF19" s="21">
        <f>+AF7*AF8</f>
        <v>4.1536</v>
      </c>
      <c r="AG19" s="31" t="s">
        <v>59</v>
      </c>
      <c r="AW19" s="1"/>
      <c r="AX19" s="1"/>
      <c r="AY19" s="1"/>
    </row>
    <row r="20" spans="1:51" ht="15">
      <c r="A20" s="15" t="s">
        <v>18</v>
      </c>
      <c r="B20" s="21">
        <f>+(B9-2*B8)*B10</f>
        <v>6.2000124000248</v>
      </c>
      <c r="C20" s="14" t="s">
        <v>10</v>
      </c>
      <c r="D20" s="16"/>
      <c r="J20" s="11"/>
      <c r="R20" s="2"/>
      <c r="S20" s="15" t="s">
        <v>48</v>
      </c>
      <c r="T20" s="14">
        <f>+W12*(W14-W13/W15)</f>
        <v>33203.846153846156</v>
      </c>
      <c r="U20" s="14" t="s">
        <v>6</v>
      </c>
      <c r="V20" s="14"/>
      <c r="W20" s="14"/>
      <c r="X20" s="14"/>
      <c r="Y20" s="28"/>
      <c r="Z20" s="21"/>
      <c r="AA20" s="33"/>
      <c r="AB20" s="1"/>
      <c r="AC20" s="11"/>
      <c r="AE20" s="15" t="s">
        <v>18</v>
      </c>
      <c r="AF20" s="21">
        <f>+(AF9-2*AF8)*AF10</f>
        <v>9.7008</v>
      </c>
      <c r="AG20" s="14" t="s">
        <v>10</v>
      </c>
      <c r="AW20" s="1"/>
      <c r="AX20" s="1"/>
      <c r="AY20" s="1"/>
    </row>
    <row r="21" spans="1:51" ht="14.25">
      <c r="A21" s="15" t="s">
        <v>75</v>
      </c>
      <c r="B21" s="21">
        <f>+B11*B13</f>
        <v>5667.885351518735</v>
      </c>
      <c r="C21" s="14" t="s">
        <v>6</v>
      </c>
      <c r="E21" s="15" t="s">
        <v>73</v>
      </c>
      <c r="F21" s="11">
        <f>+B13*(I21)</f>
        <v>669.601339202678</v>
      </c>
      <c r="G21" s="41" t="s">
        <v>20</v>
      </c>
      <c r="H21" s="5" t="s">
        <v>68</v>
      </c>
      <c r="I21" s="7">
        <f>+SUM(I7:I19)</f>
        <v>18.60003720007439</v>
      </c>
      <c r="J21" s="11">
        <f>+SUM(J7:J19)</f>
        <v>1500.127000502</v>
      </c>
      <c r="K21" s="7"/>
      <c r="L21" s="11"/>
      <c r="R21" s="2"/>
      <c r="AB21" s="1"/>
      <c r="AC21" s="11"/>
      <c r="AE21" s="15" t="s">
        <v>75</v>
      </c>
      <c r="AF21" s="8">
        <f>+AF11*AF13</f>
        <v>7650</v>
      </c>
      <c r="AG21" s="14" t="s">
        <v>6</v>
      </c>
      <c r="AW21" s="1"/>
      <c r="AX21" s="1"/>
      <c r="AY21" s="1"/>
    </row>
    <row r="22" spans="2:51" ht="14.25">
      <c r="B22" s="7"/>
      <c r="C22" s="1"/>
      <c r="D22" s="1"/>
      <c r="E22" s="15" t="s">
        <v>76</v>
      </c>
      <c r="F22" s="1">
        <f>+B12*B13</f>
        <v>5080.430108366778</v>
      </c>
      <c r="G22" s="41" t="s">
        <v>74</v>
      </c>
      <c r="H22" s="15" t="s">
        <v>71</v>
      </c>
      <c r="I22" s="38">
        <f>+B9*B10</f>
        <v>6.696013392026784</v>
      </c>
      <c r="J22" s="2"/>
      <c r="K22" s="4"/>
      <c r="L22" s="4"/>
      <c r="M22" s="4"/>
      <c r="N22" s="4"/>
      <c r="O22" s="4"/>
      <c r="P22" s="4"/>
      <c r="Q22" s="10"/>
      <c r="R22" s="10"/>
      <c r="U22" s="1"/>
      <c r="V22" s="1"/>
      <c r="W22" s="1"/>
      <c r="X22" s="1"/>
      <c r="Y22" s="1"/>
      <c r="Z22" s="7"/>
      <c r="AA22" s="1"/>
      <c r="AB22" s="1"/>
      <c r="AC22" s="11"/>
      <c r="AW22" s="1"/>
      <c r="AX22" s="1"/>
      <c r="AY22" s="1"/>
    </row>
    <row r="23" spans="11:51" ht="12.75">
      <c r="K23" s="4"/>
      <c r="L23" s="4"/>
      <c r="M23" s="4"/>
      <c r="N23" s="4"/>
      <c r="O23" s="4"/>
      <c r="P23" s="4"/>
      <c r="Q23" s="4"/>
      <c r="R23" s="4"/>
      <c r="AW23" s="1"/>
      <c r="AX23" s="1"/>
      <c r="AY23" s="1"/>
    </row>
    <row r="24" spans="1:51" ht="14.25">
      <c r="A24" s="22" t="s">
        <v>8</v>
      </c>
      <c r="B24" s="22"/>
      <c r="C24" s="22"/>
      <c r="E24" s="4" t="s">
        <v>2</v>
      </c>
      <c r="F24" s="4" t="s">
        <v>3</v>
      </c>
      <c r="G24" s="4" t="s">
        <v>64</v>
      </c>
      <c r="H24" s="4" t="s">
        <v>66</v>
      </c>
      <c r="I24" s="4" t="s">
        <v>67</v>
      </c>
      <c r="J24" s="4" t="s">
        <v>79</v>
      </c>
      <c r="K24" s="4"/>
      <c r="L24" s="4"/>
      <c r="N24" s="15"/>
      <c r="O24" s="8"/>
      <c r="Q24" s="4"/>
      <c r="R24" s="3"/>
      <c r="AW24" s="1"/>
      <c r="AX24" s="1"/>
      <c r="AY24" s="1"/>
    </row>
    <row r="25" spans="1:51" ht="14.25">
      <c r="A25" s="23"/>
      <c r="B25" s="23"/>
      <c r="C25" s="23"/>
      <c r="E25" s="4" t="s">
        <v>1</v>
      </c>
      <c r="F25" s="4"/>
      <c r="G25" s="4" t="s">
        <v>1</v>
      </c>
      <c r="H25" s="4" t="s">
        <v>1</v>
      </c>
      <c r="I25" s="6" t="s">
        <v>65</v>
      </c>
      <c r="J25" s="6" t="s">
        <v>80</v>
      </c>
      <c r="K25" s="6"/>
      <c r="L25" s="6"/>
      <c r="N25" s="15"/>
      <c r="O25" s="8"/>
      <c r="P25" s="1"/>
      <c r="Q25" s="11"/>
      <c r="R25" s="11"/>
      <c r="AW25" s="1"/>
      <c r="AX25" s="1"/>
      <c r="AY25" s="1"/>
    </row>
    <row r="26" spans="1:51" ht="12.75">
      <c r="A26" s="26" t="s">
        <v>9</v>
      </c>
      <c r="B26" s="59" t="str">
        <f>'[1]Despues de estudiar exc.'!$G$17</f>
        <v>W200x540B</v>
      </c>
      <c r="C26" s="58"/>
      <c r="P26" s="11"/>
      <c r="Q26" s="11"/>
      <c r="R26" s="11"/>
      <c r="AQ26" s="4"/>
      <c r="AR26" s="4"/>
      <c r="AX26" s="1"/>
      <c r="AY26" s="1"/>
    </row>
    <row r="27" spans="1:51" ht="14.25">
      <c r="A27" s="26" t="s">
        <v>12</v>
      </c>
      <c r="B27" s="56">
        <f>'[1]Despues de estudiar exc.'!$C$18/2.54</f>
        <v>7.874015748031496</v>
      </c>
      <c r="C27" s="23" t="s">
        <v>1</v>
      </c>
      <c r="E27" s="1">
        <v>0</v>
      </c>
      <c r="F27" s="1" t="s">
        <v>4</v>
      </c>
      <c r="G27" s="7">
        <f>+$B$29/2-E27</f>
        <v>10.62992125984252</v>
      </c>
      <c r="H27" s="7">
        <v>0</v>
      </c>
      <c r="I27" s="7">
        <v>0</v>
      </c>
      <c r="P27" s="11"/>
      <c r="Q27" s="11"/>
      <c r="R27" s="11"/>
      <c r="AQ27" s="4"/>
      <c r="AR27" s="4"/>
      <c r="AW27" s="1"/>
      <c r="AX27" s="1"/>
      <c r="AY27" s="1"/>
    </row>
    <row r="28" spans="1:51" ht="14.25">
      <c r="A28" s="26" t="s">
        <v>13</v>
      </c>
      <c r="B28" s="56">
        <f>B8</f>
        <v>0.7874015748031495</v>
      </c>
      <c r="C28" s="23" t="s">
        <v>1</v>
      </c>
      <c r="E28" s="7">
        <f>+B37</f>
        <v>0.39370078740157477</v>
      </c>
      <c r="F28" s="1" t="s">
        <v>4</v>
      </c>
      <c r="G28" s="7">
        <f aca="true" t="shared" si="5" ref="G28:G35">+$B$29/2-E28</f>
        <v>10.236220472440946</v>
      </c>
      <c r="H28" s="42">
        <f aca="true" t="shared" si="6" ref="H28:H37">+(G27+G28)/2</f>
        <v>10.433070866141733</v>
      </c>
      <c r="I28" s="7">
        <f>+$B$27*(E28-E27)</f>
        <v>3.1000062000124</v>
      </c>
      <c r="J28" s="11">
        <f>+$B$27*($B$37)^3/12+I28*H28^2</f>
        <v>337.4725165553831</v>
      </c>
      <c r="K28" s="42"/>
      <c r="L28" s="11"/>
      <c r="P28" s="11"/>
      <c r="Q28" s="11"/>
      <c r="R28" s="11"/>
      <c r="T28" s="1"/>
      <c r="U28" s="1"/>
      <c r="V28" s="1"/>
      <c r="W28" s="1"/>
      <c r="X28" s="1"/>
      <c r="Y28" s="1"/>
      <c r="AX28" s="1"/>
      <c r="AY28" s="1"/>
    </row>
    <row r="29" spans="1:51" ht="14.25">
      <c r="A29" s="26" t="s">
        <v>14</v>
      </c>
      <c r="B29" s="56">
        <f>B9</f>
        <v>21.25984251968504</v>
      </c>
      <c r="C29" s="23" t="s">
        <v>1</v>
      </c>
      <c r="E29" s="7">
        <f>2*B37</f>
        <v>0.7874015748031495</v>
      </c>
      <c r="F29" s="1" t="s">
        <v>4</v>
      </c>
      <c r="G29" s="7">
        <f t="shared" si="5"/>
        <v>9.84251968503937</v>
      </c>
      <c r="H29" s="42">
        <f t="shared" si="6"/>
        <v>10.03937007874016</v>
      </c>
      <c r="I29" s="7">
        <f>+$B$27*(E29-E28)</f>
        <v>3.1000062000124</v>
      </c>
      <c r="J29" s="11">
        <f>+$B$27*($B$37)^3/12+I29*H29^2</f>
        <v>312.4864166110833</v>
      </c>
      <c r="K29" s="42"/>
      <c r="L29" s="11"/>
      <c r="P29" s="11"/>
      <c r="Q29" s="11"/>
      <c r="R29" s="11"/>
      <c r="T29" s="1"/>
      <c r="U29" s="1"/>
      <c r="V29" s="1"/>
      <c r="W29" s="1"/>
      <c r="X29" s="1"/>
      <c r="Y29" s="1"/>
      <c r="AQ29" s="1"/>
      <c r="AR29" s="11"/>
      <c r="AW29" s="1"/>
      <c r="AX29" s="1"/>
      <c r="AY29" s="1"/>
    </row>
    <row r="30" spans="1:51" ht="14.25">
      <c r="A30" s="26" t="s">
        <v>15</v>
      </c>
      <c r="B30" s="56">
        <f>B10</f>
        <v>0.31496062992125984</v>
      </c>
      <c r="C30" s="23" t="s">
        <v>1</v>
      </c>
      <c r="E30" s="7">
        <f aca="true" t="shared" si="7" ref="E30:E35">+E29+$B$38</f>
        <v>3.248031496062992</v>
      </c>
      <c r="F30" s="1" t="s">
        <v>5</v>
      </c>
      <c r="G30" s="7">
        <f t="shared" si="5"/>
        <v>7.381889763779528</v>
      </c>
      <c r="H30" s="42">
        <f t="shared" si="6"/>
        <v>8.612204724409448</v>
      </c>
      <c r="I30" s="7">
        <f aca="true" t="shared" si="8" ref="I30:I35">+$B$30*(E30-E29)</f>
        <v>0.7750015500031</v>
      </c>
      <c r="J30" s="11">
        <f>+$B$30*($B$38)^3/12+I30*H30^2</f>
        <v>57.872952845746546</v>
      </c>
      <c r="K30" s="42"/>
      <c r="L30" s="11"/>
      <c r="P30" s="11"/>
      <c r="Q30" s="11"/>
      <c r="R30" s="11"/>
      <c r="AQ30" s="1"/>
      <c r="AR30" s="11"/>
      <c r="AX30" s="1"/>
      <c r="AY30" s="1"/>
    </row>
    <row r="31" spans="1:44" ht="15">
      <c r="A31" s="26" t="s">
        <v>16</v>
      </c>
      <c r="B31" s="56">
        <v>157.44</v>
      </c>
      <c r="C31" s="23" t="s">
        <v>11</v>
      </c>
      <c r="E31" s="7">
        <f t="shared" si="7"/>
        <v>5.708661417322835</v>
      </c>
      <c r="F31" s="1" t="s">
        <v>5</v>
      </c>
      <c r="G31" s="7">
        <f t="shared" si="5"/>
        <v>4.921259842519685</v>
      </c>
      <c r="H31" s="42">
        <f t="shared" si="6"/>
        <v>6.1515748031496065</v>
      </c>
      <c r="I31" s="7">
        <f t="shared" si="8"/>
        <v>0.7750015500031001</v>
      </c>
      <c r="J31" s="11">
        <f aca="true" t="shared" si="9" ref="J31:J37">+$B$30*($B$38)^3/12+I31*H31^2</f>
        <v>29.718543353221207</v>
      </c>
      <c r="K31" s="42"/>
      <c r="L31" s="11"/>
      <c r="P31" s="11"/>
      <c r="Q31" s="11"/>
      <c r="R31" s="11"/>
      <c r="AG31" s="3"/>
      <c r="AQ31" s="1"/>
      <c r="AR31" s="11"/>
    </row>
    <row r="32" spans="1:44" ht="15">
      <c r="A32" s="26" t="s">
        <v>63</v>
      </c>
      <c r="B32" s="56">
        <f>B34/(B29/2)</f>
        <v>141.12334074074073</v>
      </c>
      <c r="C32" s="23" t="s">
        <v>11</v>
      </c>
      <c r="E32" s="7">
        <f t="shared" si="7"/>
        <v>8.169291338582678</v>
      </c>
      <c r="F32" s="1" t="s">
        <v>5</v>
      </c>
      <c r="G32" s="7">
        <f t="shared" si="5"/>
        <v>2.4606299212598426</v>
      </c>
      <c r="H32" s="42">
        <f t="shared" si="6"/>
        <v>3.690944881889764</v>
      </c>
      <c r="I32" s="7">
        <f t="shared" si="8"/>
        <v>0.7750015500031</v>
      </c>
      <c r="J32" s="11">
        <f t="shared" si="9"/>
        <v>10.94893702487097</v>
      </c>
      <c r="K32" s="42"/>
      <c r="L32" s="11"/>
      <c r="P32" s="11"/>
      <c r="Q32" s="11"/>
      <c r="R32" s="11"/>
      <c r="T32" s="1"/>
      <c r="U32" s="1"/>
      <c r="V32" s="1"/>
      <c r="W32" s="1"/>
      <c r="X32" s="1"/>
      <c r="Y32" s="1"/>
      <c r="AG32" s="3"/>
      <c r="AQ32" s="1"/>
      <c r="AR32" s="11"/>
    </row>
    <row r="33" spans="1:44" ht="14.25">
      <c r="A33" s="26" t="s">
        <v>62</v>
      </c>
      <c r="B33" s="56">
        <v>36</v>
      </c>
      <c r="C33" s="23" t="s">
        <v>0</v>
      </c>
      <c r="E33" s="7">
        <f t="shared" si="7"/>
        <v>10.62992125984252</v>
      </c>
      <c r="F33" s="1" t="s">
        <v>5</v>
      </c>
      <c r="G33" s="7">
        <f t="shared" si="5"/>
        <v>0</v>
      </c>
      <c r="H33" s="42">
        <f t="shared" si="6"/>
        <v>1.2303149606299213</v>
      </c>
      <c r="I33" s="7">
        <f t="shared" si="8"/>
        <v>0.7750015500031</v>
      </c>
      <c r="J33" s="11">
        <f t="shared" si="9"/>
        <v>1.564133860695853</v>
      </c>
      <c r="K33" s="42"/>
      <c r="L33" s="11"/>
      <c r="P33" s="11"/>
      <c r="Q33" s="11"/>
      <c r="R33" s="11"/>
      <c r="T33" s="1"/>
      <c r="U33" s="1"/>
      <c r="V33" s="1"/>
      <c r="W33" s="1"/>
      <c r="X33" s="1"/>
      <c r="Y33" s="1"/>
      <c r="AF33" s="3"/>
      <c r="AQ33" s="1"/>
      <c r="AR33" s="11"/>
    </row>
    <row r="34" spans="1:44" ht="14.25">
      <c r="A34" s="26" t="s">
        <v>77</v>
      </c>
      <c r="B34" s="56">
        <v>1500.13</v>
      </c>
      <c r="C34" s="23" t="s">
        <v>78</v>
      </c>
      <c r="E34" s="7">
        <f t="shared" si="7"/>
        <v>13.090551181102363</v>
      </c>
      <c r="F34" s="1" t="s">
        <v>5</v>
      </c>
      <c r="G34" s="7">
        <f t="shared" si="5"/>
        <v>-2.4606299212598426</v>
      </c>
      <c r="H34" s="42">
        <f t="shared" si="6"/>
        <v>-1.2303149606299213</v>
      </c>
      <c r="I34" s="7">
        <f t="shared" si="8"/>
        <v>0.7750015500031</v>
      </c>
      <c r="J34" s="11">
        <f t="shared" si="9"/>
        <v>1.564133860695853</v>
      </c>
      <c r="K34" s="42"/>
      <c r="L34" s="11"/>
      <c r="P34" s="11"/>
      <c r="Q34" s="11"/>
      <c r="R34" s="11"/>
      <c r="T34" s="1"/>
      <c r="U34" s="1"/>
      <c r="V34" s="1"/>
      <c r="W34" s="1"/>
      <c r="X34" s="1"/>
      <c r="Y34" s="1"/>
      <c r="AQ34" s="1"/>
      <c r="AR34" s="11"/>
    </row>
    <row r="35" spans="1:44" ht="14.25">
      <c r="A35" s="28" t="s">
        <v>24</v>
      </c>
      <c r="B35" s="21">
        <v>2</v>
      </c>
      <c r="C35" s="14"/>
      <c r="E35" s="7">
        <f t="shared" si="7"/>
        <v>15.551181102362206</v>
      </c>
      <c r="F35" s="1" t="s">
        <v>5</v>
      </c>
      <c r="G35" s="7">
        <f t="shared" si="5"/>
        <v>-4.921259842519685</v>
      </c>
      <c r="H35" s="42">
        <f t="shared" si="6"/>
        <v>-3.690944881889764</v>
      </c>
      <c r="I35" s="7">
        <f t="shared" si="8"/>
        <v>0.7750015500031</v>
      </c>
      <c r="J35" s="11">
        <f t="shared" si="9"/>
        <v>10.94893702487097</v>
      </c>
      <c r="K35" s="42"/>
      <c r="L35" s="11"/>
      <c r="P35" s="11"/>
      <c r="Q35" s="11"/>
      <c r="R35" s="11"/>
      <c r="T35" s="1"/>
      <c r="U35" s="1"/>
      <c r="V35" s="1"/>
      <c r="W35" s="1"/>
      <c r="X35" s="1"/>
      <c r="Y35" s="1"/>
      <c r="AQ35" s="1"/>
      <c r="AR35" s="11"/>
    </row>
    <row r="36" spans="1:44" ht="14.25">
      <c r="A36" s="28" t="s">
        <v>25</v>
      </c>
      <c r="B36" s="21">
        <v>8</v>
      </c>
      <c r="C36" s="14"/>
      <c r="E36" s="7">
        <f>+E35+$B$38</f>
        <v>18.011811023622048</v>
      </c>
      <c r="F36" s="1" t="s">
        <v>5</v>
      </c>
      <c r="G36" s="7">
        <f>+$B$29/2-E36</f>
        <v>-7.381889763779528</v>
      </c>
      <c r="H36" s="42">
        <f t="shared" si="6"/>
        <v>-6.1515748031496065</v>
      </c>
      <c r="I36" s="7">
        <f>+$B$30*(E36-E35)</f>
        <v>0.7750015500031</v>
      </c>
      <c r="J36" s="11">
        <f t="shared" si="9"/>
        <v>29.718543353221204</v>
      </c>
      <c r="K36" s="42"/>
      <c r="L36" s="11"/>
      <c r="P36" s="11"/>
      <c r="Q36" s="11"/>
      <c r="R36" s="11"/>
      <c r="T36" s="1"/>
      <c r="U36" s="1"/>
      <c r="V36" s="1"/>
      <c r="W36" s="1"/>
      <c r="X36" s="1"/>
      <c r="Y36" s="1"/>
      <c r="AQ36" s="1"/>
      <c r="AR36" s="11"/>
    </row>
    <row r="37" spans="1:44" ht="14.25">
      <c r="A37" s="5" t="s">
        <v>26</v>
      </c>
      <c r="B37" s="21">
        <f>+B28/B35</f>
        <v>0.39370078740157477</v>
      </c>
      <c r="C37" s="14" t="s">
        <v>1</v>
      </c>
      <c r="E37" s="7">
        <f>+E36+$B$38</f>
        <v>20.47244094488189</v>
      </c>
      <c r="F37" s="1" t="s">
        <v>5</v>
      </c>
      <c r="G37" s="7">
        <f>+$B$29/2-E37</f>
        <v>-9.842519685039369</v>
      </c>
      <c r="H37" s="42">
        <f t="shared" si="6"/>
        <v>-8.612204724409448</v>
      </c>
      <c r="I37" s="7">
        <f>+$B$30*(E37-E36)</f>
        <v>0.7750015500030994</v>
      </c>
      <c r="J37" s="11">
        <f t="shared" si="9"/>
        <v>57.872952845746504</v>
      </c>
      <c r="K37" s="42"/>
      <c r="L37" s="11"/>
      <c r="P37" s="11"/>
      <c r="Q37" s="11"/>
      <c r="R37" s="11"/>
      <c r="T37" s="1"/>
      <c r="U37" s="1"/>
      <c r="V37" s="1"/>
      <c r="W37" s="1"/>
      <c r="X37" s="1"/>
      <c r="Y37" s="1"/>
      <c r="AQ37" s="1"/>
      <c r="AR37" s="11"/>
    </row>
    <row r="38" spans="1:44" ht="14.25">
      <c r="A38" s="5" t="s">
        <v>27</v>
      </c>
      <c r="B38" s="21">
        <f>+(B29-2*B28)/B36</f>
        <v>2.4606299212598426</v>
      </c>
      <c r="C38" s="14" t="s">
        <v>1</v>
      </c>
      <c r="E38" s="7">
        <f>+E37+$B$37</f>
        <v>20.866141732283463</v>
      </c>
      <c r="F38" s="1" t="s">
        <v>28</v>
      </c>
      <c r="G38" s="7">
        <f>+$B$29/2-E38</f>
        <v>-10.236220472440943</v>
      </c>
      <c r="H38" s="42">
        <f>+(G37+G38)/2</f>
        <v>-10.039370078740156</v>
      </c>
      <c r="I38" s="7">
        <f>+$B$27*(E38-E37)</f>
        <v>3.1000062000123947</v>
      </c>
      <c r="J38" s="11">
        <f>+$B$27*($B$37)^3/12+I38*H38^2</f>
        <v>312.4864166110825</v>
      </c>
      <c r="K38" s="42"/>
      <c r="L38" s="11"/>
      <c r="P38" s="11"/>
      <c r="Q38" s="11"/>
      <c r="R38" s="11"/>
      <c r="T38" s="1"/>
      <c r="U38" s="1"/>
      <c r="V38" s="1"/>
      <c r="W38" s="1"/>
      <c r="X38" s="1"/>
      <c r="Y38" s="1"/>
      <c r="AQ38" s="1"/>
      <c r="AR38" s="11"/>
    </row>
    <row r="39" spans="1:44" ht="15">
      <c r="A39" s="15" t="s">
        <v>17</v>
      </c>
      <c r="B39" s="21">
        <f>+B27*B28</f>
        <v>6.2000124000248</v>
      </c>
      <c r="C39" s="31" t="s">
        <v>59</v>
      </c>
      <c r="E39" s="7">
        <f>+E38+$B$37</f>
        <v>21.259842519685037</v>
      </c>
      <c r="F39" s="1" t="s">
        <v>28</v>
      </c>
      <c r="G39" s="7">
        <f>+$B$29/2-E39</f>
        <v>-10.629921259842517</v>
      </c>
      <c r="H39" s="42">
        <f>+(G38+G39)/2</f>
        <v>-10.43307086614173</v>
      </c>
      <c r="I39" s="7">
        <f>+$B$27*(E39-E38)</f>
        <v>3.1000062000123947</v>
      </c>
      <c r="J39" s="11">
        <f>+$B$27*($B$37)^3/12+I39*H39^2</f>
        <v>337.47251655538224</v>
      </c>
      <c r="K39" s="42"/>
      <c r="L39" s="11"/>
      <c r="P39" s="11"/>
      <c r="Q39" s="11"/>
      <c r="R39" s="11"/>
      <c r="T39" s="1"/>
      <c r="U39" s="1"/>
      <c r="V39" s="1"/>
      <c r="W39" s="1"/>
      <c r="X39" s="1"/>
      <c r="Y39" s="1"/>
      <c r="AQ39" s="1"/>
      <c r="AR39" s="11"/>
    </row>
    <row r="40" spans="1:44" ht="15">
      <c r="A40" s="15" t="s">
        <v>18</v>
      </c>
      <c r="B40" s="21">
        <f>+(B29-2*B28)*B30</f>
        <v>6.2000124000248</v>
      </c>
      <c r="C40" s="14" t="s">
        <v>10</v>
      </c>
      <c r="D40" s="16"/>
      <c r="E40" s="7"/>
      <c r="F40" s="1"/>
      <c r="G40" s="1"/>
      <c r="J40" s="11"/>
      <c r="P40" s="11"/>
      <c r="Q40" s="11"/>
      <c r="R40" s="11"/>
      <c r="T40" s="1"/>
      <c r="U40" s="1"/>
      <c r="V40" s="1"/>
      <c r="W40" s="1"/>
      <c r="X40" s="1"/>
      <c r="Y40" s="1"/>
      <c r="AQ40" s="1"/>
      <c r="AR40" s="11"/>
    </row>
    <row r="41" spans="1:44" ht="14.25">
      <c r="A41" s="15" t="s">
        <v>75</v>
      </c>
      <c r="B41" s="21">
        <f>+B31*B33</f>
        <v>5667.84</v>
      </c>
      <c r="C41" s="14" t="s">
        <v>6</v>
      </c>
      <c r="E41" s="15" t="s">
        <v>73</v>
      </c>
      <c r="F41" s="11">
        <f>+B33*(K41)</f>
        <v>0</v>
      </c>
      <c r="G41" s="41" t="s">
        <v>20</v>
      </c>
      <c r="H41" s="5" t="s">
        <v>68</v>
      </c>
      <c r="I41" s="7">
        <f>+SUM(I27:I39)</f>
        <v>18.60003720007439</v>
      </c>
      <c r="J41" s="11">
        <f>+SUM(J27:J39)</f>
        <v>1500.127000502</v>
      </c>
      <c r="K41" s="7"/>
      <c r="L41" s="11"/>
      <c r="P41" s="11"/>
      <c r="Q41" s="11"/>
      <c r="R41" s="11"/>
      <c r="T41" s="1"/>
      <c r="U41" s="1"/>
      <c r="V41" s="1"/>
      <c r="W41" s="1"/>
      <c r="X41" s="1"/>
      <c r="Y41" s="1"/>
      <c r="AQ41" s="1"/>
      <c r="AR41" s="11"/>
    </row>
    <row r="42" spans="2:44" ht="14.25">
      <c r="B42" s="7"/>
      <c r="C42" s="1"/>
      <c r="D42" s="1"/>
      <c r="E42" s="15" t="s">
        <v>76</v>
      </c>
      <c r="F42" s="1">
        <f>+B32*B33</f>
        <v>5080.4402666666665</v>
      </c>
      <c r="G42" s="41" t="s">
        <v>74</v>
      </c>
      <c r="H42" s="15" t="s">
        <v>71</v>
      </c>
      <c r="I42" s="38">
        <f>+B29*B30</f>
        <v>6.696013392026784</v>
      </c>
      <c r="K42" s="7"/>
      <c r="L42" s="1"/>
      <c r="M42" s="1"/>
      <c r="N42" s="11"/>
      <c r="O42" s="11"/>
      <c r="P42" s="11"/>
      <c r="Q42" s="11"/>
      <c r="R42" s="11"/>
      <c r="T42" s="1"/>
      <c r="U42" s="1"/>
      <c r="V42" s="1"/>
      <c r="W42" s="1"/>
      <c r="X42" s="1"/>
      <c r="Y42" s="1"/>
      <c r="AQ42" s="1"/>
      <c r="AR42" s="11"/>
    </row>
    <row r="43" spans="2:44" ht="12.75">
      <c r="B43" s="7"/>
      <c r="C43" s="1"/>
      <c r="D43" s="1"/>
      <c r="E43" s="11"/>
      <c r="F43" s="11"/>
      <c r="G43" s="11"/>
      <c r="H43" s="11"/>
      <c r="I43" s="11"/>
      <c r="K43" s="7"/>
      <c r="L43" s="1"/>
      <c r="M43" s="1"/>
      <c r="N43" s="21"/>
      <c r="O43" s="21"/>
      <c r="P43" s="11"/>
      <c r="Q43" s="11"/>
      <c r="R43" s="11"/>
      <c r="T43" s="1"/>
      <c r="U43" s="1"/>
      <c r="V43" s="1"/>
      <c r="W43" s="1"/>
      <c r="X43" s="1"/>
      <c r="Y43" s="1"/>
      <c r="AQ43" s="1"/>
      <c r="AR43" s="11"/>
    </row>
    <row r="44" spans="1:44" ht="14.25">
      <c r="A44" s="22" t="s">
        <v>8</v>
      </c>
      <c r="B44" s="22"/>
      <c r="C44" s="22"/>
      <c r="E44" s="4" t="s">
        <v>2</v>
      </c>
      <c r="F44" s="4" t="s">
        <v>3</v>
      </c>
      <c r="G44" s="4" t="s">
        <v>64</v>
      </c>
      <c r="H44" s="4" t="s">
        <v>66</v>
      </c>
      <c r="I44" s="4" t="s">
        <v>67</v>
      </c>
      <c r="J44" s="4" t="s">
        <v>79</v>
      </c>
      <c r="K44" s="4"/>
      <c r="L44" s="4"/>
      <c r="N44" s="15"/>
      <c r="O44" s="8"/>
      <c r="P44" s="11"/>
      <c r="Q44" s="11"/>
      <c r="R44" s="11"/>
      <c r="T44" s="1"/>
      <c r="U44" s="1"/>
      <c r="V44" s="1"/>
      <c r="W44" s="1"/>
      <c r="X44" s="1"/>
      <c r="Y44" s="1"/>
      <c r="AQ44" s="1"/>
      <c r="AR44" s="11"/>
    </row>
    <row r="45" spans="1:44" ht="14.25">
      <c r="A45" s="23"/>
      <c r="B45" s="23"/>
      <c r="C45" s="23"/>
      <c r="E45" s="4" t="s">
        <v>1</v>
      </c>
      <c r="F45" s="4"/>
      <c r="G45" s="4" t="s">
        <v>1</v>
      </c>
      <c r="H45" s="4" t="s">
        <v>1</v>
      </c>
      <c r="I45" s="6" t="s">
        <v>65</v>
      </c>
      <c r="J45" s="6" t="s">
        <v>80</v>
      </c>
      <c r="K45" s="6"/>
      <c r="L45" s="6"/>
      <c r="N45" s="15"/>
      <c r="O45" s="8"/>
      <c r="P45" s="11"/>
      <c r="Q45" s="11"/>
      <c r="R45" s="11"/>
      <c r="T45" s="1"/>
      <c r="U45" s="1"/>
      <c r="V45" s="1"/>
      <c r="W45" s="1"/>
      <c r="X45" s="1"/>
      <c r="Y45" s="1"/>
      <c r="AQ45" s="1"/>
      <c r="AR45" s="11"/>
    </row>
    <row r="46" spans="1:44" ht="12.75">
      <c r="A46" s="26" t="s">
        <v>9</v>
      </c>
      <c r="B46" s="59" t="str">
        <f>'[1]Despues de estudiar exc.'!$G$4</f>
        <v>W200x530</v>
      </c>
      <c r="C46" s="23"/>
      <c r="P46" s="11"/>
      <c r="Q46" s="11"/>
      <c r="R46" s="11"/>
      <c r="T46" s="1"/>
      <c r="U46" s="1"/>
      <c r="V46" s="1"/>
      <c r="W46" s="1"/>
      <c r="X46" s="1"/>
      <c r="Y46" s="1"/>
      <c r="AQ46" s="1"/>
      <c r="AR46" s="11"/>
    </row>
    <row r="47" spans="1:44" ht="14.25">
      <c r="A47" s="26" t="s">
        <v>12</v>
      </c>
      <c r="B47" s="56">
        <f>'[2]Hoja1'!$H$16</f>
        <v>7.874015748031496</v>
      </c>
      <c r="C47" s="23" t="s">
        <v>1</v>
      </c>
      <c r="E47" s="1">
        <v>0</v>
      </c>
      <c r="F47" s="1" t="s">
        <v>4</v>
      </c>
      <c r="G47" s="7">
        <f aca="true" t="shared" si="10" ref="G47:G59">+$B$49/2-E47</f>
        <v>10.433070866141732</v>
      </c>
      <c r="H47" s="7">
        <v>0</v>
      </c>
      <c r="I47" s="7">
        <v>0</v>
      </c>
      <c r="P47" s="11"/>
      <c r="Q47" s="11"/>
      <c r="R47" s="11"/>
      <c r="T47" s="1"/>
      <c r="U47" s="1"/>
      <c r="V47" s="1"/>
      <c r="W47" s="1"/>
      <c r="X47" s="1"/>
      <c r="Y47" s="1"/>
      <c r="AQ47" s="1"/>
      <c r="AR47" s="11"/>
    </row>
    <row r="48" spans="1:44" ht="14.25">
      <c r="A48" s="26" t="s">
        <v>13</v>
      </c>
      <c r="B48" s="61">
        <f>'[2]Hoja1'!$I$16</f>
        <v>0.5905511811023622</v>
      </c>
      <c r="C48" s="23" t="s">
        <v>1</v>
      </c>
      <c r="E48" s="7">
        <f>+B57</f>
        <v>0.2952755905511811</v>
      </c>
      <c r="F48" s="1" t="s">
        <v>4</v>
      </c>
      <c r="G48" s="7">
        <f t="shared" si="10"/>
        <v>10.13779527559055</v>
      </c>
      <c r="H48" s="42">
        <f aca="true" t="shared" si="11" ref="H48:H57">+(G47+G48)/2</f>
        <v>10.28543307086614</v>
      </c>
      <c r="I48" s="7">
        <f>+$B$47*(E48-E47)</f>
        <v>2.3250046500093</v>
      </c>
      <c r="J48" s="11">
        <f>+B47*(B57)^3/12+I48*H48^2</f>
        <v>245.97944485429548</v>
      </c>
      <c r="K48" s="42"/>
      <c r="L48" s="11"/>
      <c r="P48" s="11"/>
      <c r="Q48" s="11"/>
      <c r="R48" s="11"/>
      <c r="T48" s="1"/>
      <c r="U48" s="1"/>
      <c r="V48" s="1"/>
      <c r="W48" s="1"/>
      <c r="X48" s="1"/>
      <c r="Y48" s="1"/>
      <c r="AQ48" s="1"/>
      <c r="AR48" s="11"/>
    </row>
    <row r="49" spans="1:44" ht="14.25">
      <c r="A49" s="26" t="s">
        <v>14</v>
      </c>
      <c r="B49" s="56">
        <f>'[2]Hoja1'!$E$17</f>
        <v>20.866141732283463</v>
      </c>
      <c r="C49" s="23" t="s">
        <v>1</v>
      </c>
      <c r="E49" s="7">
        <f>2*B57</f>
        <v>0.5905511811023622</v>
      </c>
      <c r="F49" s="1" t="s">
        <v>4</v>
      </c>
      <c r="G49" s="7">
        <f t="shared" si="10"/>
        <v>9.842519685039369</v>
      </c>
      <c r="H49" s="42">
        <f t="shared" si="11"/>
        <v>9.99015748031496</v>
      </c>
      <c r="I49" s="7">
        <f>+$B$47*(E49-E48)</f>
        <v>2.3250046500093</v>
      </c>
      <c r="J49" s="11">
        <f>+B47*(B57)^3/12+I49*H49^2</f>
        <v>232.0599048011909</v>
      </c>
      <c r="K49" s="42"/>
      <c r="L49" s="11"/>
      <c r="P49" s="11"/>
      <c r="Q49" s="11"/>
      <c r="R49" s="11"/>
      <c r="T49" s="1"/>
      <c r="U49" s="1"/>
      <c r="V49" s="1"/>
      <c r="W49" s="1"/>
      <c r="X49" s="1"/>
      <c r="Y49" s="1"/>
      <c r="AQ49" s="1"/>
      <c r="AR49" s="11"/>
    </row>
    <row r="50" spans="1:44" ht="14.25">
      <c r="A50" s="26" t="s">
        <v>15</v>
      </c>
      <c r="B50" s="56">
        <f>'[2]Hoja1'!$G$17</f>
        <v>0.31496062992125984</v>
      </c>
      <c r="C50" s="23" t="s">
        <v>1</v>
      </c>
      <c r="E50" s="7">
        <f aca="true" t="shared" si="12" ref="E50:E55">+E49+$B$58</f>
        <v>3.051181102362204</v>
      </c>
      <c r="F50" s="1" t="s">
        <v>5</v>
      </c>
      <c r="G50" s="7">
        <f t="shared" si="10"/>
        <v>7.381889763779528</v>
      </c>
      <c r="H50" s="42">
        <f t="shared" si="11"/>
        <v>8.612204724409448</v>
      </c>
      <c r="I50" s="7">
        <f aca="true" t="shared" si="13" ref="I50:I55">+$B$50*(E50-E49)</f>
        <v>0.7750015500030999</v>
      </c>
      <c r="J50" s="11">
        <f>+B50*(B58)^3/12+I50*H50^2</f>
        <v>57.87295284574653</v>
      </c>
      <c r="K50" s="42"/>
      <c r="L50" s="11"/>
      <c r="P50" s="11"/>
      <c r="Q50" s="11"/>
      <c r="R50" s="11"/>
      <c r="T50" s="1"/>
      <c r="U50" s="1"/>
      <c r="V50" s="1"/>
      <c r="W50" s="1"/>
      <c r="X50" s="1"/>
      <c r="Y50" s="1"/>
      <c r="AQ50" s="1"/>
      <c r="AR50" s="11"/>
    </row>
    <row r="51" spans="1:44" ht="15">
      <c r="A51" s="26" t="s">
        <v>16</v>
      </c>
      <c r="B51" s="56">
        <f>'[1]Despues de estudiar exc.'!$J$12/2.54/2.54/2.54</f>
        <v>124.79355667372751</v>
      </c>
      <c r="C51" s="23" t="s">
        <v>11</v>
      </c>
      <c r="E51" s="7">
        <f t="shared" si="12"/>
        <v>5.511811023622046</v>
      </c>
      <c r="F51" s="1" t="s">
        <v>5</v>
      </c>
      <c r="G51" s="7">
        <f t="shared" si="10"/>
        <v>4.921259842519685</v>
      </c>
      <c r="H51" s="42">
        <f t="shared" si="11"/>
        <v>6.1515748031496065</v>
      </c>
      <c r="I51" s="7">
        <f t="shared" si="13"/>
        <v>0.7750015500030999</v>
      </c>
      <c r="J51" s="11">
        <f>+B50*(B58)^3/12+I51*H51^2</f>
        <v>29.7185433532212</v>
      </c>
      <c r="K51" s="42"/>
      <c r="L51" s="11"/>
      <c r="P51" s="11"/>
      <c r="Q51" s="11"/>
      <c r="R51" s="11"/>
      <c r="T51" s="1"/>
      <c r="U51" s="1"/>
      <c r="V51" s="1"/>
      <c r="W51" s="1"/>
      <c r="X51" s="1"/>
      <c r="Y51" s="1"/>
      <c r="AQ51" s="1"/>
      <c r="AR51" s="11"/>
    </row>
    <row r="52" spans="1:44" ht="15">
      <c r="A52" s="26" t="s">
        <v>63</v>
      </c>
      <c r="B52" s="56">
        <f>B54/(B49/2)</f>
        <v>110.82909032554062</v>
      </c>
      <c r="C52" s="23" t="s">
        <v>11</v>
      </c>
      <c r="E52" s="7">
        <f t="shared" si="12"/>
        <v>7.972440944881889</v>
      </c>
      <c r="F52" s="1" t="s">
        <v>5</v>
      </c>
      <c r="G52" s="7">
        <f t="shared" si="10"/>
        <v>2.4606299212598426</v>
      </c>
      <c r="H52" s="42">
        <f t="shared" si="11"/>
        <v>3.690944881889764</v>
      </c>
      <c r="I52" s="7">
        <f t="shared" si="13"/>
        <v>0.7750015500031</v>
      </c>
      <c r="J52" s="11">
        <f>+B50*(B58)^3/12+I52*H52^2</f>
        <v>10.94893702487097</v>
      </c>
      <c r="K52" s="42"/>
      <c r="L52" s="11"/>
      <c r="P52" s="11"/>
      <c r="Q52" s="11"/>
      <c r="R52" s="11"/>
      <c r="T52" s="1"/>
      <c r="U52" s="1"/>
      <c r="V52" s="1"/>
      <c r="W52" s="1"/>
      <c r="X52" s="1"/>
      <c r="Y52" s="1"/>
      <c r="AQ52" s="1"/>
      <c r="AR52" s="11"/>
    </row>
    <row r="53" spans="1:44" ht="14.25">
      <c r="A53" s="26" t="s">
        <v>62</v>
      </c>
      <c r="B53" s="56">
        <v>36</v>
      </c>
      <c r="C53" s="23" t="s">
        <v>0</v>
      </c>
      <c r="E53" s="7">
        <f t="shared" si="12"/>
        <v>10.433070866141732</v>
      </c>
      <c r="F53" s="1" t="s">
        <v>5</v>
      </c>
      <c r="G53" s="7">
        <f t="shared" si="10"/>
        <v>0</v>
      </c>
      <c r="H53" s="42">
        <f t="shared" si="11"/>
        <v>1.2303149606299213</v>
      </c>
      <c r="I53" s="7">
        <f t="shared" si="13"/>
        <v>0.7750015500031</v>
      </c>
      <c r="J53" s="11">
        <f>+B50*(B58)^3/12+I53*H53^2</f>
        <v>1.5641338606958528</v>
      </c>
      <c r="K53" s="42"/>
      <c r="L53" s="11"/>
      <c r="P53" s="11"/>
      <c r="Q53" s="11"/>
      <c r="R53" s="11"/>
      <c r="T53" s="1"/>
      <c r="U53" s="1"/>
      <c r="V53" s="1"/>
      <c r="W53" s="1"/>
      <c r="X53" s="1"/>
      <c r="Y53" s="1"/>
      <c r="AQ53" s="1"/>
      <c r="AR53" s="11"/>
    </row>
    <row r="54" spans="1:44" ht="14.25">
      <c r="A54" s="26" t="s">
        <v>77</v>
      </c>
      <c r="B54" s="56">
        <f>'[1]Despues de estudiar exc.'!$J$16/2.54/2.54/2.54/2.54</f>
        <v>1156.2877533963883</v>
      </c>
      <c r="C54" s="23" t="s">
        <v>78</v>
      </c>
      <c r="E54" s="7">
        <f t="shared" si="12"/>
        <v>12.893700787401574</v>
      </c>
      <c r="F54" s="1" t="s">
        <v>5</v>
      </c>
      <c r="G54" s="7">
        <f t="shared" si="10"/>
        <v>-2.4606299212598426</v>
      </c>
      <c r="H54" s="42">
        <f t="shared" si="11"/>
        <v>-1.2303149606299213</v>
      </c>
      <c r="I54" s="7">
        <f t="shared" si="13"/>
        <v>0.7750015500031</v>
      </c>
      <c r="J54" s="11">
        <f>+B50*(B58)^3/12+I54*H54^2</f>
        <v>1.5641338606958528</v>
      </c>
      <c r="K54" s="42"/>
      <c r="L54" s="11"/>
      <c r="P54" s="11"/>
      <c r="Q54" s="11"/>
      <c r="R54" s="11"/>
      <c r="T54" s="1"/>
      <c r="U54" s="1"/>
      <c r="V54" s="1"/>
      <c r="W54" s="1"/>
      <c r="X54" s="1"/>
      <c r="Y54" s="1"/>
      <c r="AQ54" s="1"/>
      <c r="AR54" s="11"/>
    </row>
    <row r="55" spans="1:44" ht="14.25">
      <c r="A55" s="28" t="s">
        <v>24</v>
      </c>
      <c r="B55" s="21">
        <v>2</v>
      </c>
      <c r="C55" s="14"/>
      <c r="E55" s="7">
        <f t="shared" si="12"/>
        <v>15.354330708661417</v>
      </c>
      <c r="F55" s="1" t="s">
        <v>5</v>
      </c>
      <c r="G55" s="7">
        <f t="shared" si="10"/>
        <v>-4.921259842519685</v>
      </c>
      <c r="H55" s="42">
        <f t="shared" si="11"/>
        <v>-3.690944881889764</v>
      </c>
      <c r="I55" s="7">
        <f t="shared" si="13"/>
        <v>0.7750015500031</v>
      </c>
      <c r="J55" s="11">
        <f>+B50*(B58)^3/12+I55*H55^2</f>
        <v>10.94893702487097</v>
      </c>
      <c r="K55" s="42"/>
      <c r="L55" s="11"/>
      <c r="P55" s="11"/>
      <c r="Q55" s="11"/>
      <c r="R55" s="11"/>
      <c r="T55" s="1"/>
      <c r="U55" s="1"/>
      <c r="V55" s="1"/>
      <c r="W55" s="1"/>
      <c r="X55" s="1"/>
      <c r="Y55" s="1"/>
      <c r="AQ55" s="1"/>
      <c r="AR55" s="11"/>
    </row>
    <row r="56" spans="1:44" ht="14.25">
      <c r="A56" s="28" t="s">
        <v>25</v>
      </c>
      <c r="B56" s="21">
        <v>8</v>
      </c>
      <c r="C56" s="14"/>
      <c r="E56" s="7">
        <f>+E55+$B$58</f>
        <v>17.81496062992126</v>
      </c>
      <c r="F56" s="1" t="s">
        <v>5</v>
      </c>
      <c r="G56" s="7">
        <f t="shared" si="10"/>
        <v>-7.381889763779528</v>
      </c>
      <c r="H56" s="42">
        <f t="shared" si="11"/>
        <v>-6.1515748031496065</v>
      </c>
      <c r="I56" s="7">
        <f>+$B$50*(E56-E55)</f>
        <v>0.7750015500031</v>
      </c>
      <c r="J56" s="11">
        <f>+B50*(B58)^3/12+I56*H56^2</f>
        <v>29.718543353221204</v>
      </c>
      <c r="K56" s="42"/>
      <c r="L56" s="11"/>
      <c r="P56" s="11"/>
      <c r="Q56" s="11"/>
      <c r="R56" s="11"/>
      <c r="T56" s="1"/>
      <c r="U56" s="1"/>
      <c r="V56" s="1"/>
      <c r="W56" s="1"/>
      <c r="X56" s="1"/>
      <c r="Y56" s="1"/>
      <c r="AQ56" s="1"/>
      <c r="AR56" s="11"/>
    </row>
    <row r="57" spans="1:44" ht="14.25">
      <c r="A57" s="5" t="s">
        <v>26</v>
      </c>
      <c r="B57" s="21">
        <f>+B48/B55</f>
        <v>0.2952755905511811</v>
      </c>
      <c r="C57" s="14" t="s">
        <v>1</v>
      </c>
      <c r="E57" s="7">
        <f>+E56+$B$58</f>
        <v>20.2755905511811</v>
      </c>
      <c r="F57" s="1" t="s">
        <v>5</v>
      </c>
      <c r="G57" s="7">
        <f t="shared" si="10"/>
        <v>-9.842519685039369</v>
      </c>
      <c r="H57" s="42">
        <f t="shared" si="11"/>
        <v>-8.612204724409448</v>
      </c>
      <c r="I57" s="7">
        <f>+$B$50*(E57-E56)</f>
        <v>0.7750015500030994</v>
      </c>
      <c r="J57" s="11">
        <f>+B50*(B58)^3/12+I57*H57^2</f>
        <v>57.872952845746504</v>
      </c>
      <c r="K57" s="42"/>
      <c r="L57" s="11"/>
      <c r="P57" s="11"/>
      <c r="Q57" s="11"/>
      <c r="R57" s="11"/>
      <c r="AQ57" s="1"/>
      <c r="AR57" s="11"/>
    </row>
    <row r="58" spans="1:44" ht="14.25">
      <c r="A58" s="5" t="s">
        <v>27</v>
      </c>
      <c r="B58" s="21">
        <f>+(B49-2*B48)/B56</f>
        <v>2.460629921259842</v>
      </c>
      <c r="C58" s="14" t="s">
        <v>1</v>
      </c>
      <c r="E58" s="7">
        <f>+E57+$B$57</f>
        <v>20.57086614173228</v>
      </c>
      <c r="F58" s="1" t="s">
        <v>28</v>
      </c>
      <c r="G58" s="7">
        <f t="shared" si="10"/>
        <v>-10.13779527559055</v>
      </c>
      <c r="H58" s="42">
        <f>+(G57+G58)/2</f>
        <v>-9.99015748031496</v>
      </c>
      <c r="I58" s="7">
        <f>+$B$47*(E58-E57)</f>
        <v>2.325004650009303</v>
      </c>
      <c r="J58" s="11">
        <f>+B47*(B57)^3/12+I58*H58^2</f>
        <v>232.0599048011912</v>
      </c>
      <c r="K58" s="42"/>
      <c r="L58" s="11"/>
      <c r="P58" s="11"/>
      <c r="Q58" s="11"/>
      <c r="R58" s="11"/>
      <c r="AQ58" s="1"/>
      <c r="AR58" s="11"/>
    </row>
    <row r="59" spans="1:44" ht="15">
      <c r="A59" s="15" t="s">
        <v>17</v>
      </c>
      <c r="B59" s="21">
        <f>+B47*B48</f>
        <v>4.6500093000186</v>
      </c>
      <c r="C59" s="31" t="s">
        <v>59</v>
      </c>
      <c r="E59" s="7">
        <f>+E58+$B$57</f>
        <v>20.866141732283463</v>
      </c>
      <c r="F59" s="1" t="s">
        <v>28</v>
      </c>
      <c r="G59" s="7">
        <f t="shared" si="10"/>
        <v>-10.433070866141732</v>
      </c>
      <c r="H59" s="42">
        <f>+(G58+G59)/2</f>
        <v>-10.28543307086614</v>
      </c>
      <c r="I59" s="7">
        <f>+$B$47*(E59-E58)</f>
        <v>2.325004650009303</v>
      </c>
      <c r="J59" s="11">
        <f>+B47*(B57)^3/12+I59*H59^2</f>
        <v>245.9794448542958</v>
      </c>
      <c r="K59" s="42"/>
      <c r="L59" s="11"/>
      <c r="P59" s="11"/>
      <c r="Q59" s="11"/>
      <c r="R59" s="11"/>
      <c r="AQ59" s="1"/>
      <c r="AR59" s="11"/>
    </row>
    <row r="60" spans="1:44" ht="15">
      <c r="A60" s="15" t="s">
        <v>18</v>
      </c>
      <c r="B60" s="21">
        <f>+(B49-2*B48)*B50</f>
        <v>6.200012400024799</v>
      </c>
      <c r="C60" s="14" t="s">
        <v>10</v>
      </c>
      <c r="D60" s="16"/>
      <c r="E60" s="7"/>
      <c r="F60" s="1"/>
      <c r="G60" s="7"/>
      <c r="I60" s="7"/>
      <c r="J60" s="11"/>
      <c r="P60" s="11"/>
      <c r="Q60" s="11"/>
      <c r="R60" s="11"/>
      <c r="AQ60" s="1"/>
      <c r="AR60" s="11"/>
    </row>
    <row r="61" spans="1:44" ht="14.25">
      <c r="A61" s="15" t="s">
        <v>75</v>
      </c>
      <c r="B61" s="21">
        <f>+B51*B53</f>
        <v>4492.56804025419</v>
      </c>
      <c r="C61" s="14" t="s">
        <v>6</v>
      </c>
      <c r="E61" s="15" t="s">
        <v>73</v>
      </c>
      <c r="F61" s="11">
        <f>+B53*(K61)</f>
        <v>0</v>
      </c>
      <c r="G61" s="41" t="s">
        <v>20</v>
      </c>
      <c r="H61" s="5" t="s">
        <v>68</v>
      </c>
      <c r="I61" s="7">
        <f>+SUM(I47:I59)</f>
        <v>15.500031000062005</v>
      </c>
      <c r="J61" s="11">
        <f>+SUM(J47:J59)</f>
        <v>1156.2878334800423</v>
      </c>
      <c r="K61" s="7"/>
      <c r="L61" s="11"/>
      <c r="P61" s="11"/>
      <c r="Q61" s="11"/>
      <c r="R61" s="11"/>
      <c r="AQ61" s="1"/>
      <c r="AR61" s="11"/>
    </row>
    <row r="62" spans="2:44" ht="14.25">
      <c r="B62" s="7"/>
      <c r="C62" s="1"/>
      <c r="D62" s="1"/>
      <c r="E62" s="15" t="s">
        <v>76</v>
      </c>
      <c r="F62" s="1">
        <f>+B52*B53</f>
        <v>3989.8472517194623</v>
      </c>
      <c r="G62" s="41" t="s">
        <v>74</v>
      </c>
      <c r="H62" s="15" t="s">
        <v>71</v>
      </c>
      <c r="I62" s="38">
        <f>+B49*B50</f>
        <v>6.572013144026288</v>
      </c>
      <c r="K62" s="7"/>
      <c r="L62" s="1"/>
      <c r="M62" s="1"/>
      <c r="N62" s="11"/>
      <c r="O62" s="11"/>
      <c r="P62" s="11"/>
      <c r="Q62" s="11"/>
      <c r="R62" s="11"/>
      <c r="AQ62" s="1"/>
      <c r="AR62" s="11"/>
    </row>
    <row r="63" spans="2:44" ht="12.75">
      <c r="B63" s="7"/>
      <c r="C63" s="1"/>
      <c r="D63" s="1"/>
      <c r="E63" s="11"/>
      <c r="F63" s="11"/>
      <c r="G63" s="11"/>
      <c r="H63" s="11"/>
      <c r="I63" s="11"/>
      <c r="K63" s="7"/>
      <c r="L63" s="1"/>
      <c r="M63" s="1"/>
      <c r="N63" s="11"/>
      <c r="O63" s="11"/>
      <c r="P63" s="11"/>
      <c r="Q63" s="11"/>
      <c r="R63" s="11"/>
      <c r="AQ63" s="1"/>
      <c r="AR63" s="11"/>
    </row>
    <row r="64" spans="2:44" ht="12.75">
      <c r="B64" s="7"/>
      <c r="C64" s="1"/>
      <c r="D64" s="1"/>
      <c r="E64" s="11"/>
      <c r="F64" s="11"/>
      <c r="G64" s="11"/>
      <c r="H64" s="11"/>
      <c r="I64" s="11"/>
      <c r="K64" s="7"/>
      <c r="L64" s="1"/>
      <c r="M64" s="1"/>
      <c r="N64" s="11"/>
      <c r="O64" s="11"/>
      <c r="P64" s="11"/>
      <c r="Q64" s="11"/>
      <c r="R64" s="11"/>
      <c r="AQ64" s="1"/>
      <c r="AR64" s="11"/>
    </row>
    <row r="65" spans="1:44" ht="14.25">
      <c r="A65" s="22" t="s">
        <v>72</v>
      </c>
      <c r="B65" s="22"/>
      <c r="C65" s="22"/>
      <c r="E65" s="4" t="s">
        <v>2</v>
      </c>
      <c r="F65" s="4" t="s">
        <v>3</v>
      </c>
      <c r="G65" s="4" t="s">
        <v>64</v>
      </c>
      <c r="H65" s="4" t="s">
        <v>66</v>
      </c>
      <c r="I65" s="4" t="s">
        <v>67</v>
      </c>
      <c r="J65" s="4" t="s">
        <v>79</v>
      </c>
      <c r="K65" s="4"/>
      <c r="L65" s="4"/>
      <c r="N65" s="15"/>
      <c r="O65" s="8"/>
      <c r="P65" s="11"/>
      <c r="Q65" s="11"/>
      <c r="R65" s="11"/>
      <c r="AQ65" s="1"/>
      <c r="AR65" s="11"/>
    </row>
    <row r="66" spans="1:44" ht="14.25">
      <c r="A66" s="23"/>
      <c r="B66" s="23"/>
      <c r="C66" s="23"/>
      <c r="E66" s="4" t="s">
        <v>1</v>
      </c>
      <c r="F66" s="4"/>
      <c r="G66" s="4" t="s">
        <v>1</v>
      </c>
      <c r="H66" s="4" t="s">
        <v>1</v>
      </c>
      <c r="I66" s="6" t="s">
        <v>65</v>
      </c>
      <c r="J66" s="6" t="s">
        <v>80</v>
      </c>
      <c r="K66" s="6"/>
      <c r="L66" s="6"/>
      <c r="N66" s="15"/>
      <c r="O66" s="8"/>
      <c r="P66" s="11"/>
      <c r="Q66" s="11"/>
      <c r="R66" s="11"/>
      <c r="AQ66" s="1"/>
      <c r="AR66" s="11"/>
    </row>
    <row r="67" spans="1:44" ht="12.75">
      <c r="A67" s="26" t="s">
        <v>9</v>
      </c>
      <c r="B67" s="63" t="s">
        <v>165</v>
      </c>
      <c r="C67" s="63"/>
      <c r="P67" s="11"/>
      <c r="Q67" s="11"/>
      <c r="R67" s="11"/>
      <c r="AQ67" s="1"/>
      <c r="AR67" s="11"/>
    </row>
    <row r="68" spans="1:44" ht="14.25">
      <c r="A68" s="26" t="s">
        <v>12</v>
      </c>
      <c r="B68" s="56">
        <f>45/2.54</f>
        <v>17.716535433070867</v>
      </c>
      <c r="C68" s="23" t="s">
        <v>1</v>
      </c>
      <c r="E68" s="1">
        <v>0</v>
      </c>
      <c r="F68" s="1" t="s">
        <v>4</v>
      </c>
      <c r="G68" s="7">
        <f aca="true" t="shared" si="14" ref="G68:G80">+$B$70/2-E68</f>
        <v>8.858267716535433</v>
      </c>
      <c r="H68" s="7">
        <v>0</v>
      </c>
      <c r="I68" s="7">
        <v>0</v>
      </c>
      <c r="P68" s="11"/>
      <c r="Q68" s="11"/>
      <c r="R68" s="11"/>
      <c r="AQ68" s="1"/>
      <c r="AR68" s="11"/>
    </row>
    <row r="69" spans="1:44" ht="14.25">
      <c r="A69" s="26" t="s">
        <v>13</v>
      </c>
      <c r="B69" s="56">
        <f>2.2/2.54</f>
        <v>0.8661417322834646</v>
      </c>
      <c r="C69" s="23" t="s">
        <v>1</v>
      </c>
      <c r="E69" s="7">
        <f>+B78</f>
        <v>0.2887139107611549</v>
      </c>
      <c r="F69" s="1" t="s">
        <v>4</v>
      </c>
      <c r="G69" s="7">
        <f t="shared" si="14"/>
        <v>8.569553805774278</v>
      </c>
      <c r="H69" s="42">
        <f aca="true" t="shared" si="15" ref="H69:H78">+(G68+G69)/2</f>
        <v>8.713910761154857</v>
      </c>
      <c r="I69" s="42">
        <f>+$B$68*(E69-E68)</f>
        <v>5.11501023002046</v>
      </c>
      <c r="J69" s="11">
        <f>+B68*(B78)^3/12+I69*H69^2</f>
        <v>388.42971868954334</v>
      </c>
      <c r="K69" s="42"/>
      <c r="L69" s="11"/>
      <c r="P69" s="11"/>
      <c r="Q69" s="11"/>
      <c r="R69" s="11"/>
      <c r="AQ69" s="1"/>
      <c r="AR69" s="11"/>
    </row>
    <row r="70" spans="1:44" ht="14.25">
      <c r="A70" s="26" t="s">
        <v>84</v>
      </c>
      <c r="B70" s="56">
        <f>B68</f>
        <v>17.716535433070867</v>
      </c>
      <c r="C70" s="23" t="s">
        <v>1</v>
      </c>
      <c r="E70" s="7">
        <f>2*B78</f>
        <v>0.5774278215223098</v>
      </c>
      <c r="F70" s="1" t="s">
        <v>4</v>
      </c>
      <c r="G70" s="7">
        <f t="shared" si="14"/>
        <v>8.280839895013123</v>
      </c>
      <c r="H70" s="42">
        <f t="shared" si="15"/>
        <v>8.4251968503937</v>
      </c>
      <c r="I70" s="42">
        <f>+$B$68*(E70-E69)</f>
        <v>5.11501023002046</v>
      </c>
      <c r="J70" s="11">
        <f>+B68*(B78)^3/12+I70*H70^2</f>
        <v>363.11911978058214</v>
      </c>
      <c r="K70" s="42"/>
      <c r="L70" s="11"/>
      <c r="P70" s="11"/>
      <c r="Q70" s="11"/>
      <c r="R70" s="11"/>
      <c r="AQ70" s="1"/>
      <c r="AR70" s="11"/>
    </row>
    <row r="71" spans="1:44" ht="14.25">
      <c r="A71" s="26" t="s">
        <v>15</v>
      </c>
      <c r="B71" s="56">
        <f>2.2/2.54</f>
        <v>0.8661417322834646</v>
      </c>
      <c r="C71" s="23" t="s">
        <v>1</v>
      </c>
      <c r="E71" s="7">
        <f>+E70+B78</f>
        <v>0.8661417322834646</v>
      </c>
      <c r="F71" s="1" t="s">
        <v>4</v>
      </c>
      <c r="G71" s="7">
        <f t="shared" si="14"/>
        <v>7.9921259842519685</v>
      </c>
      <c r="H71" s="42">
        <f t="shared" si="15"/>
        <v>8.136482939632547</v>
      </c>
      <c r="I71" s="42">
        <f>+$B$68*(E71-E70)</f>
        <v>5.115010230020459</v>
      </c>
      <c r="J71" s="11">
        <f>2*B71*(B79)^3/12+I71*H71^2</f>
        <v>341.35508174047396</v>
      </c>
      <c r="K71" s="42"/>
      <c r="L71" s="11"/>
      <c r="P71" s="11"/>
      <c r="Q71" s="11"/>
      <c r="R71" s="11"/>
      <c r="AQ71" s="1"/>
      <c r="AR71" s="11"/>
    </row>
    <row r="72" spans="1:44" ht="15">
      <c r="A72" s="26" t="s">
        <v>16</v>
      </c>
      <c r="B72" s="56">
        <v>369.22</v>
      </c>
      <c r="C72" s="23" t="s">
        <v>11</v>
      </c>
      <c r="E72" s="7">
        <f aca="true" t="shared" si="16" ref="E71:E76">+E71+$B$79</f>
        <v>3.530183727034121</v>
      </c>
      <c r="F72" s="1" t="s">
        <v>163</v>
      </c>
      <c r="G72" s="7">
        <f t="shared" si="14"/>
        <v>5.328083989501312</v>
      </c>
      <c r="H72" s="42">
        <f t="shared" si="15"/>
        <v>6.66010498687664</v>
      </c>
      <c r="I72" s="42">
        <f aca="true" t="shared" si="17" ref="I71:I78">+$B$71*(E72-E71)*2</f>
        <v>4.61487589641846</v>
      </c>
      <c r="J72" s="11">
        <f>2*B71*(B79)^3/12+I72*H72^2</f>
        <v>207.43140349305585</v>
      </c>
      <c r="K72" s="42"/>
      <c r="L72" s="11"/>
      <c r="P72" s="11"/>
      <c r="Q72" s="11"/>
      <c r="R72" s="11"/>
      <c r="AQ72" s="1"/>
      <c r="AR72" s="11"/>
    </row>
    <row r="73" spans="1:44" ht="15">
      <c r="A73" s="26" t="s">
        <v>63</v>
      </c>
      <c r="B73" s="56">
        <f>B75/(B70/2)</f>
        <v>312.69770666666665</v>
      </c>
      <c r="C73" s="23" t="s">
        <v>11</v>
      </c>
      <c r="E73" s="7">
        <f t="shared" si="16"/>
        <v>6.194225721784777</v>
      </c>
      <c r="F73" s="1" t="s">
        <v>163</v>
      </c>
      <c r="G73" s="7">
        <f t="shared" si="14"/>
        <v>2.664041994750656</v>
      </c>
      <c r="H73" s="42">
        <f t="shared" si="15"/>
        <v>3.9960629921259843</v>
      </c>
      <c r="I73" s="42">
        <f t="shared" si="17"/>
        <v>4.61487589641846</v>
      </c>
      <c r="J73" s="11">
        <f>2*B71*(B79)^3/12+I73*H73^2</f>
        <v>76.42209602375742</v>
      </c>
      <c r="K73" s="42"/>
      <c r="L73" s="11"/>
      <c r="P73" s="11"/>
      <c r="Q73" s="11"/>
      <c r="R73" s="11"/>
      <c r="AQ73" s="1"/>
      <c r="AR73" s="11"/>
    </row>
    <row r="74" spans="1:44" ht="14.25">
      <c r="A74" s="26" t="s">
        <v>62</v>
      </c>
      <c r="B74" s="56">
        <v>48.7</v>
      </c>
      <c r="C74" s="23" t="s">
        <v>0</v>
      </c>
      <c r="E74" s="7">
        <f>+E73+$B$79</f>
        <v>8.858267716535433</v>
      </c>
      <c r="F74" s="1" t="s">
        <v>163</v>
      </c>
      <c r="G74" s="7">
        <f>+$B$70/2-E74</f>
        <v>0</v>
      </c>
      <c r="H74" s="42">
        <f>+(G73+G74)/2</f>
        <v>1.332020997375328</v>
      </c>
      <c r="I74" s="42">
        <f t="shared" si="17"/>
        <v>4.61487589641846</v>
      </c>
      <c r="J74" s="11">
        <f>2*B71*(B79)^3/12+I74*H74^2</f>
        <v>10.917442289108203</v>
      </c>
      <c r="K74" s="42"/>
      <c r="L74" s="11"/>
      <c r="P74" s="11"/>
      <c r="Q74" s="11"/>
      <c r="R74" s="11"/>
      <c r="AQ74" s="1"/>
      <c r="AR74" s="11"/>
    </row>
    <row r="75" spans="1:44" ht="14.25">
      <c r="A75" s="26" t="s">
        <v>77</v>
      </c>
      <c r="B75" s="56">
        <v>2769.96</v>
      </c>
      <c r="C75" s="23" t="s">
        <v>78</v>
      </c>
      <c r="E75" s="7">
        <f t="shared" si="16"/>
        <v>11.52230971128609</v>
      </c>
      <c r="F75" s="1" t="s">
        <v>163</v>
      </c>
      <c r="G75" s="7">
        <f t="shared" si="14"/>
        <v>-2.664041994750656</v>
      </c>
      <c r="H75" s="42">
        <f t="shared" si="15"/>
        <v>-1.332020997375328</v>
      </c>
      <c r="I75" s="42">
        <f t="shared" si="17"/>
        <v>4.61487589641846</v>
      </c>
      <c r="J75" s="11">
        <f>2*B71*(B79)^3/12+I75*H75^2</f>
        <v>10.917442289108203</v>
      </c>
      <c r="K75" s="42"/>
      <c r="L75" s="11"/>
      <c r="P75" s="11"/>
      <c r="Q75" s="11"/>
      <c r="R75" s="11"/>
      <c r="AQ75" s="1"/>
      <c r="AR75" s="11"/>
    </row>
    <row r="76" spans="1:44" ht="14.25">
      <c r="A76" s="28" t="s">
        <v>24</v>
      </c>
      <c r="B76" s="8">
        <v>3</v>
      </c>
      <c r="C76" s="14"/>
      <c r="E76" s="7">
        <f t="shared" si="16"/>
        <v>14.186351706036746</v>
      </c>
      <c r="F76" s="1" t="s">
        <v>163</v>
      </c>
      <c r="G76" s="7">
        <f t="shared" si="14"/>
        <v>-5.328083989501312</v>
      </c>
      <c r="H76" s="42">
        <f t="shared" si="15"/>
        <v>-3.9960629921259843</v>
      </c>
      <c r="I76" s="42">
        <f t="shared" si="17"/>
        <v>4.61487589641846</v>
      </c>
      <c r="J76" s="11">
        <f>2*B71*(B79)^3/12+I76*H76^2</f>
        <v>76.42209602375742</v>
      </c>
      <c r="K76" s="42"/>
      <c r="L76" s="11"/>
      <c r="P76" s="11"/>
      <c r="Q76" s="11"/>
      <c r="R76" s="11"/>
      <c r="AQ76" s="1"/>
      <c r="AR76" s="11"/>
    </row>
    <row r="77" spans="1:44" ht="14.25">
      <c r="A77" s="28" t="s">
        <v>25</v>
      </c>
      <c r="B77" s="8">
        <v>6</v>
      </c>
      <c r="C77" s="14"/>
      <c r="E77" s="7">
        <f>+E76+$B$79</f>
        <v>16.8503937007874</v>
      </c>
      <c r="F77" s="1" t="s">
        <v>163</v>
      </c>
      <c r="G77" s="7">
        <f t="shared" si="14"/>
        <v>-7.992125984251967</v>
      </c>
      <c r="H77" s="42">
        <f t="shared" si="15"/>
        <v>-6.6601049868766395</v>
      </c>
      <c r="I77" s="42">
        <f t="shared" si="17"/>
        <v>4.614875896418456</v>
      </c>
      <c r="J77" s="11">
        <f>2*B71*(B79)^3/12+I77*H77^2</f>
        <v>207.43140349305563</v>
      </c>
      <c r="K77" s="42"/>
      <c r="L77" s="11"/>
      <c r="P77" s="11"/>
      <c r="Q77" s="11"/>
      <c r="R77" s="11"/>
      <c r="AQ77" s="1"/>
      <c r="AR77" s="11"/>
    </row>
    <row r="78" spans="1:44" ht="14.25">
      <c r="A78" s="5" t="s">
        <v>26</v>
      </c>
      <c r="B78" s="8">
        <f>+B69/B76</f>
        <v>0.2887139107611549</v>
      </c>
      <c r="C78" s="14" t="s">
        <v>1</v>
      </c>
      <c r="E78" s="7">
        <f>+E77+B78</f>
        <v>17.139107611548553</v>
      </c>
      <c r="F78" s="1" t="s">
        <v>28</v>
      </c>
      <c r="G78" s="7">
        <f t="shared" si="14"/>
        <v>-8.28083989501312</v>
      </c>
      <c r="H78" s="42">
        <f t="shared" si="15"/>
        <v>-8.136482939632543</v>
      </c>
      <c r="I78" s="42">
        <f>+$B$68*(E78-E77)</f>
        <v>5.11501023002043</v>
      </c>
      <c r="J78" s="11">
        <f>2*B71*(B79)^3/12+I78*H78^2</f>
        <v>341.35508174047175</v>
      </c>
      <c r="K78" s="42"/>
      <c r="L78" s="11"/>
      <c r="P78" s="11"/>
      <c r="Q78" s="11"/>
      <c r="R78" s="11"/>
      <c r="AQ78" s="1"/>
      <c r="AR78" s="11"/>
    </row>
    <row r="79" spans="1:44" ht="14.25">
      <c r="A79" s="5" t="s">
        <v>27</v>
      </c>
      <c r="B79" s="20">
        <f>+(B70-2*B69)/B77</f>
        <v>2.664041994750656</v>
      </c>
      <c r="C79" s="14" t="s">
        <v>1</v>
      </c>
      <c r="E79" s="7">
        <f>+E78+$B$78</f>
        <v>17.427821522309706</v>
      </c>
      <c r="F79" s="1" t="s">
        <v>28</v>
      </c>
      <c r="G79" s="7">
        <f t="shared" si="14"/>
        <v>-8.569553805774273</v>
      </c>
      <c r="H79" s="42">
        <f>+(G78+G79)/2</f>
        <v>-8.425196850393696</v>
      </c>
      <c r="I79" s="42">
        <f>+$B$68*(E79-E78)</f>
        <v>5.11501023002043</v>
      </c>
      <c r="J79" s="11">
        <f>+B68*(B78)^3/12+I79*H79^2</f>
        <v>363.11911978057975</v>
      </c>
      <c r="K79" s="42"/>
      <c r="L79" s="11"/>
      <c r="P79" s="11"/>
      <c r="Q79" s="11"/>
      <c r="R79" s="11"/>
      <c r="AQ79" s="1"/>
      <c r="AR79" s="11"/>
    </row>
    <row r="80" spans="1:44" ht="15">
      <c r="A80" s="15" t="s">
        <v>17</v>
      </c>
      <c r="B80" s="21">
        <f>+B68*B69</f>
        <v>15.34503069006138</v>
      </c>
      <c r="C80" s="31" t="s">
        <v>59</v>
      </c>
      <c r="E80" s="7">
        <f>+E79+$B$78</f>
        <v>17.71653543307086</v>
      </c>
      <c r="F80" s="1" t="s">
        <v>28</v>
      </c>
      <c r="G80" s="7">
        <f t="shared" si="14"/>
        <v>-8.858267716535426</v>
      </c>
      <c r="H80" s="42">
        <f>+(G79+G80)/2</f>
        <v>-8.71391076115485</v>
      </c>
      <c r="I80" s="42">
        <f>+$B$68*(E80-E79)</f>
        <v>5.11501023002043</v>
      </c>
      <c r="J80" s="11">
        <f>+B68*(B78)^3/12+I80*H80^2</f>
        <v>388.4297186895405</v>
      </c>
      <c r="K80" s="42"/>
      <c r="L80" s="11"/>
      <c r="P80" s="11"/>
      <c r="Q80" s="11"/>
      <c r="R80" s="11"/>
      <c r="AQ80" s="1"/>
      <c r="AR80" s="11"/>
    </row>
    <row r="81" spans="1:44" ht="15">
      <c r="A81" s="15" t="s">
        <v>18</v>
      </c>
      <c r="B81" s="21">
        <f>B69*(B68-2*B69)*2</f>
        <v>27.689255378510758</v>
      </c>
      <c r="C81" s="14" t="s">
        <v>10</v>
      </c>
      <c r="D81" s="16"/>
      <c r="E81" s="7"/>
      <c r="F81" s="1"/>
      <c r="G81" s="7"/>
      <c r="I81" s="7"/>
      <c r="J81" s="11"/>
      <c r="P81" s="11"/>
      <c r="Q81" s="11"/>
      <c r="R81" s="11"/>
      <c r="AQ81" s="1"/>
      <c r="AR81" s="11"/>
    </row>
    <row r="82" spans="1:44" ht="14.25">
      <c r="A82" s="15" t="s">
        <v>75</v>
      </c>
      <c r="B82" s="8">
        <f>+B72*B74</f>
        <v>17981.014000000003</v>
      </c>
      <c r="C82" s="14" t="s">
        <v>6</v>
      </c>
      <c r="E82" s="15" t="s">
        <v>73</v>
      </c>
      <c r="F82" s="11">
        <f>+B74*(K82)</f>
        <v>0</v>
      </c>
      <c r="G82" s="41" t="s">
        <v>20</v>
      </c>
      <c r="H82" s="5" t="s">
        <v>68</v>
      </c>
      <c r="I82" s="7">
        <f>+SUM(I68:I80)</f>
        <v>58.37931675863343</v>
      </c>
      <c r="J82" s="11">
        <f>+SUM(J68:J80)</f>
        <v>2775.349724033034</v>
      </c>
      <c r="K82" s="7"/>
      <c r="L82" s="11"/>
      <c r="P82" s="11"/>
      <c r="Q82" s="11"/>
      <c r="R82" s="11"/>
      <c r="AQ82" s="1"/>
      <c r="AR82" s="11"/>
    </row>
    <row r="83" spans="2:44" ht="14.25">
      <c r="B83" s="7"/>
      <c r="C83" s="1"/>
      <c r="D83" s="1"/>
      <c r="E83" s="15" t="s">
        <v>76</v>
      </c>
      <c r="F83" s="1">
        <f>+B73*B74</f>
        <v>15228.378314666666</v>
      </c>
      <c r="G83" s="41" t="s">
        <v>74</v>
      </c>
      <c r="H83" s="15" t="s">
        <v>71</v>
      </c>
      <c r="I83" s="38">
        <f>+B70*B71*2</f>
        <v>30.69006138012276</v>
      </c>
      <c r="K83" s="7"/>
      <c r="L83" s="1"/>
      <c r="M83" s="1"/>
      <c r="N83" s="11"/>
      <c r="O83" s="11"/>
      <c r="P83" s="11"/>
      <c r="Q83" s="11"/>
      <c r="R83" s="11"/>
      <c r="AQ83" s="1"/>
      <c r="AR83" s="11"/>
    </row>
    <row r="84" spans="2:44" ht="12.75">
      <c r="B84" s="34">
        <f>B72*47*10</f>
        <v>173533.4</v>
      </c>
      <c r="C84" s="1"/>
      <c r="D84" s="1"/>
      <c r="E84" s="11"/>
      <c r="F84" s="11"/>
      <c r="G84" s="11"/>
      <c r="H84" s="11"/>
      <c r="I84" s="11"/>
      <c r="K84" s="7"/>
      <c r="L84" s="1"/>
      <c r="M84" s="1"/>
      <c r="N84" s="11"/>
      <c r="O84" s="11"/>
      <c r="P84" s="11"/>
      <c r="Q84" s="11"/>
      <c r="R84" s="11"/>
      <c r="AQ84" s="1"/>
      <c r="AR84" s="11"/>
    </row>
    <row r="85" spans="1:44" ht="14.25">
      <c r="A85" s="22" t="s">
        <v>72</v>
      </c>
      <c r="B85" s="22"/>
      <c r="C85" s="22"/>
      <c r="E85" s="4" t="s">
        <v>2</v>
      </c>
      <c r="F85" s="4" t="s">
        <v>3</v>
      </c>
      <c r="G85" s="4" t="s">
        <v>64</v>
      </c>
      <c r="H85" s="4" t="s">
        <v>66</v>
      </c>
      <c r="I85" s="4" t="s">
        <v>67</v>
      </c>
      <c r="J85" s="4" t="s">
        <v>79</v>
      </c>
      <c r="K85" s="6"/>
      <c r="L85" s="6"/>
      <c r="M85" s="14"/>
      <c r="N85" s="15"/>
      <c r="O85" s="8"/>
      <c r="P85" s="11"/>
      <c r="Q85" s="11"/>
      <c r="R85" s="11"/>
      <c r="AQ85" s="1"/>
      <c r="AR85" s="11"/>
    </row>
    <row r="86" spans="1:44" ht="14.25">
      <c r="A86" s="23"/>
      <c r="B86" s="23"/>
      <c r="C86" s="23"/>
      <c r="E86" s="4" t="s">
        <v>1</v>
      </c>
      <c r="F86" s="4"/>
      <c r="G86" s="4" t="s">
        <v>1</v>
      </c>
      <c r="H86" s="4" t="s">
        <v>1</v>
      </c>
      <c r="I86" s="6" t="s">
        <v>65</v>
      </c>
      <c r="J86" s="6" t="s">
        <v>80</v>
      </c>
      <c r="K86" s="6"/>
      <c r="L86" s="6"/>
      <c r="M86" s="14"/>
      <c r="N86" s="15"/>
      <c r="O86" s="8"/>
      <c r="P86" s="11"/>
      <c r="Q86" s="11"/>
      <c r="R86" s="11"/>
      <c r="AQ86" s="1"/>
      <c r="AR86" s="11"/>
    </row>
    <row r="87" spans="1:44" ht="12.75">
      <c r="A87" s="26" t="s">
        <v>9</v>
      </c>
      <c r="B87" s="63" t="s">
        <v>164</v>
      </c>
      <c r="C87" s="63"/>
      <c r="K87" s="14"/>
      <c r="L87" s="14"/>
      <c r="M87" s="14"/>
      <c r="N87" s="14"/>
      <c r="O87" s="14"/>
      <c r="P87" s="11"/>
      <c r="Q87" s="11"/>
      <c r="R87" s="11"/>
      <c r="AQ87" s="1"/>
      <c r="AR87" s="11"/>
    </row>
    <row r="88" spans="1:44" ht="14.25">
      <c r="A88" s="26" t="s">
        <v>12</v>
      </c>
      <c r="B88" s="56">
        <f>50/2.54</f>
        <v>19.68503937007874</v>
      </c>
      <c r="C88" s="23" t="s">
        <v>1</v>
      </c>
      <c r="E88" s="1">
        <v>0</v>
      </c>
      <c r="F88" s="1" t="s">
        <v>4</v>
      </c>
      <c r="G88" s="7">
        <f>+$B$90/2-E88</f>
        <v>9.84251968503937</v>
      </c>
      <c r="H88" s="7">
        <v>0</v>
      </c>
      <c r="I88" s="7">
        <v>0</v>
      </c>
      <c r="K88" s="14"/>
      <c r="L88" s="14"/>
      <c r="M88" s="14"/>
      <c r="N88" s="14"/>
      <c r="O88" s="14"/>
      <c r="P88" s="11"/>
      <c r="Q88" s="11"/>
      <c r="R88" s="11"/>
      <c r="AQ88" s="1"/>
      <c r="AR88" s="11"/>
    </row>
    <row r="89" spans="1:44" ht="14.25">
      <c r="A89" s="26" t="s">
        <v>13</v>
      </c>
      <c r="B89" s="56">
        <f>2.5/2.54</f>
        <v>0.984251968503937</v>
      </c>
      <c r="C89" s="23" t="s">
        <v>1</v>
      </c>
      <c r="E89" s="7">
        <f>+B98</f>
        <v>0.32808398950131235</v>
      </c>
      <c r="F89" s="1" t="s">
        <v>4</v>
      </c>
      <c r="G89" s="7">
        <f aca="true" t="shared" si="18" ref="G89:G100">+$B$90/2-E89</f>
        <v>9.514435695538058</v>
      </c>
      <c r="H89" s="42">
        <f aca="true" t="shared" si="19" ref="H89:H100">+(G88+G89)/2</f>
        <v>9.678477690288714</v>
      </c>
      <c r="I89" s="42">
        <f>+$B$88*(E89-E88)</f>
        <v>6.4583462500258335</v>
      </c>
      <c r="J89" s="11">
        <f>+B88*(B98)^3/12+I89*H89^2</f>
        <v>605.0301496706477</v>
      </c>
      <c r="K89" s="57"/>
      <c r="L89" s="21"/>
      <c r="M89" s="14"/>
      <c r="N89" s="14"/>
      <c r="O89" s="14"/>
      <c r="P89" s="11"/>
      <c r="Q89" s="11"/>
      <c r="R89" s="11"/>
      <c r="AQ89" s="1"/>
      <c r="AR89" s="11"/>
    </row>
    <row r="90" spans="1:44" ht="14.25">
      <c r="A90" s="26" t="s">
        <v>84</v>
      </c>
      <c r="B90" s="56">
        <f>B88</f>
        <v>19.68503937007874</v>
      </c>
      <c r="C90" s="23" t="s">
        <v>1</v>
      </c>
      <c r="E90" s="7">
        <f>2*B98</f>
        <v>0.6561679790026247</v>
      </c>
      <c r="F90" s="1" t="s">
        <v>4</v>
      </c>
      <c r="G90" s="7">
        <f t="shared" si="18"/>
        <v>9.186351706036746</v>
      </c>
      <c r="H90" s="42">
        <f t="shared" si="19"/>
        <v>9.350393700787402</v>
      </c>
      <c r="I90" s="42">
        <f>+$B$88*(E90-E89)</f>
        <v>6.4583462500258335</v>
      </c>
      <c r="J90" s="11">
        <f>+B88*(B98)^3/12+I90*H90^2</f>
        <v>564.7102545949324</v>
      </c>
      <c r="K90" s="57"/>
      <c r="L90" s="21"/>
      <c r="M90" s="14"/>
      <c r="N90" s="14"/>
      <c r="O90" s="14"/>
      <c r="P90" s="11"/>
      <c r="Q90" s="11"/>
      <c r="R90" s="11"/>
      <c r="AQ90" s="1"/>
      <c r="AR90" s="11"/>
    </row>
    <row r="91" spans="1:44" ht="14.25">
      <c r="A91" s="26" t="s">
        <v>15</v>
      </c>
      <c r="B91" s="56">
        <f>B89</f>
        <v>0.984251968503937</v>
      </c>
      <c r="C91" s="23" t="s">
        <v>1</v>
      </c>
      <c r="E91" s="7">
        <f>3*B98</f>
        <v>0.984251968503937</v>
      </c>
      <c r="F91" s="1" t="s">
        <v>4</v>
      </c>
      <c r="G91" s="7">
        <f t="shared" si="18"/>
        <v>8.858267716535433</v>
      </c>
      <c r="H91" s="42">
        <f t="shared" si="19"/>
        <v>9.02230971128609</v>
      </c>
      <c r="I91" s="42">
        <f>$B$88*(E91-E90)</f>
        <v>6.4583462500258335</v>
      </c>
      <c r="J91" s="11">
        <f>2*B91*(B99)^3/12+I91*H91^2</f>
        <v>529.9459312688738</v>
      </c>
      <c r="K91" s="57"/>
      <c r="L91" s="21"/>
      <c r="M91" s="14"/>
      <c r="N91" s="14"/>
      <c r="O91" s="14"/>
      <c r="P91" s="11"/>
      <c r="Q91" s="11"/>
      <c r="R91" s="11"/>
      <c r="AQ91" s="1"/>
      <c r="AR91" s="11"/>
    </row>
    <row r="92" spans="1:44" ht="15">
      <c r="A92" s="26" t="s">
        <v>16</v>
      </c>
      <c r="B92" s="56">
        <v>516.8</v>
      </c>
      <c r="C92" s="23" t="s">
        <v>11</v>
      </c>
      <c r="E92" s="7">
        <f aca="true" t="shared" si="20" ref="E92:E98">+E91+$B$99</f>
        <v>3.937007874015748</v>
      </c>
      <c r="F92" s="1" t="s">
        <v>163</v>
      </c>
      <c r="G92" s="7">
        <f t="shared" si="18"/>
        <v>5.905511811023622</v>
      </c>
      <c r="H92" s="42">
        <f t="shared" si="19"/>
        <v>7.381889763779528</v>
      </c>
      <c r="I92" s="42">
        <f aca="true" t="shared" si="21" ref="I92:I97">$B$91*(E92-E91)*2</f>
        <v>5.812511625023251</v>
      </c>
      <c r="J92" s="11">
        <f>2*B91*(B99)^3/12+I92*H92^2</f>
        <v>320.9602682147891</v>
      </c>
      <c r="K92" s="57"/>
      <c r="L92" s="21"/>
      <c r="M92" s="14"/>
      <c r="N92" s="14"/>
      <c r="O92" s="14"/>
      <c r="P92" s="11"/>
      <c r="Q92" s="11"/>
      <c r="R92" s="11"/>
      <c r="AQ92" s="1"/>
      <c r="AR92" s="11"/>
    </row>
    <row r="93" spans="1:44" ht="15">
      <c r="A93" s="26" t="s">
        <v>63</v>
      </c>
      <c r="B93" s="56">
        <f>B95/(B90/2)</f>
        <v>437.1848</v>
      </c>
      <c r="C93" s="23" t="s">
        <v>11</v>
      </c>
      <c r="E93" s="7">
        <f t="shared" si="20"/>
        <v>6.889763779527559</v>
      </c>
      <c r="F93" s="1" t="s">
        <v>163</v>
      </c>
      <c r="G93" s="7">
        <f t="shared" si="18"/>
        <v>2.952755905511811</v>
      </c>
      <c r="H93" s="42">
        <f t="shared" si="19"/>
        <v>4.429133858267717</v>
      </c>
      <c r="I93" s="42">
        <f t="shared" si="21"/>
        <v>5.812511625023251</v>
      </c>
      <c r="J93" s="11">
        <f>2*B91*(B99)^3/12+I93*H93^2</f>
        <v>118.24851986860651</v>
      </c>
      <c r="K93" s="57"/>
      <c r="L93" s="21"/>
      <c r="M93" s="14"/>
      <c r="N93" s="14"/>
      <c r="O93" s="14"/>
      <c r="P93" s="11"/>
      <c r="Q93" s="11"/>
      <c r="R93" s="11"/>
      <c r="AQ93" s="1"/>
      <c r="AR93" s="11"/>
    </row>
    <row r="94" spans="1:44" ht="14.25">
      <c r="A94" s="26" t="s">
        <v>62</v>
      </c>
      <c r="B94" s="56">
        <v>48.7</v>
      </c>
      <c r="C94" s="23" t="s">
        <v>0</v>
      </c>
      <c r="E94" s="7">
        <f t="shared" si="20"/>
        <v>9.84251968503937</v>
      </c>
      <c r="F94" s="1" t="s">
        <v>163</v>
      </c>
      <c r="G94" s="7">
        <f t="shared" si="18"/>
        <v>0</v>
      </c>
      <c r="H94" s="42">
        <f t="shared" si="19"/>
        <v>1.4763779527559056</v>
      </c>
      <c r="I94" s="42">
        <f t="shared" si="21"/>
        <v>5.812511625023251</v>
      </c>
      <c r="J94" s="11">
        <f>2*B91*(B99)^3/12+I94*H94^2</f>
        <v>16.892645695515213</v>
      </c>
      <c r="K94" s="57"/>
      <c r="L94" s="21"/>
      <c r="M94" s="14"/>
      <c r="N94" s="14"/>
      <c r="O94" s="14"/>
      <c r="P94" s="11"/>
      <c r="Q94" s="11"/>
      <c r="R94" s="11"/>
      <c r="AQ94" s="1"/>
      <c r="AR94" s="11"/>
    </row>
    <row r="95" spans="1:44" ht="14.25">
      <c r="A95" s="26" t="s">
        <v>77</v>
      </c>
      <c r="B95" s="56">
        <v>4303</v>
      </c>
      <c r="C95" s="23" t="s">
        <v>78</v>
      </c>
      <c r="E95" s="7">
        <f t="shared" si="20"/>
        <v>12.795275590551181</v>
      </c>
      <c r="F95" s="1" t="s">
        <v>163</v>
      </c>
      <c r="G95" s="7">
        <f t="shared" si="18"/>
        <v>-2.952755905511811</v>
      </c>
      <c r="H95" s="42">
        <f t="shared" si="19"/>
        <v>-1.4763779527559056</v>
      </c>
      <c r="I95" s="42">
        <f t="shared" si="21"/>
        <v>5.812511625023251</v>
      </c>
      <c r="J95" s="11">
        <f>2*B91*(B99)^3/12+I95*H95^2</f>
        <v>16.892645695515213</v>
      </c>
      <c r="K95" s="57"/>
      <c r="L95" s="21"/>
      <c r="M95" s="14"/>
      <c r="N95" s="14"/>
      <c r="O95" s="14"/>
      <c r="P95" s="11"/>
      <c r="Q95" s="11"/>
      <c r="R95" s="11"/>
      <c r="AQ95" s="1"/>
      <c r="AR95" s="11"/>
    </row>
    <row r="96" spans="1:44" ht="14.25">
      <c r="A96" s="28" t="s">
        <v>24</v>
      </c>
      <c r="B96" s="8">
        <v>3</v>
      </c>
      <c r="C96" s="14"/>
      <c r="E96" s="7">
        <f t="shared" si="20"/>
        <v>15.748031496062993</v>
      </c>
      <c r="F96" s="1" t="s">
        <v>163</v>
      </c>
      <c r="G96" s="7">
        <f t="shared" si="18"/>
        <v>-5.905511811023622</v>
      </c>
      <c r="H96" s="42">
        <f t="shared" si="19"/>
        <v>-4.429133858267717</v>
      </c>
      <c r="I96" s="42">
        <f t="shared" si="21"/>
        <v>5.812511625023251</v>
      </c>
      <c r="J96" s="11">
        <f>2*B91*(B99)^3/12+I96*H96^2</f>
        <v>118.24851986860651</v>
      </c>
      <c r="K96" s="57"/>
      <c r="L96" s="21"/>
      <c r="M96" s="14"/>
      <c r="N96" s="14"/>
      <c r="O96" s="14"/>
      <c r="P96" s="11"/>
      <c r="Q96" s="11"/>
      <c r="R96" s="11"/>
      <c r="AQ96" s="1"/>
      <c r="AR96" s="11"/>
    </row>
    <row r="97" spans="1:44" ht="14.25">
      <c r="A97" s="28" t="s">
        <v>25</v>
      </c>
      <c r="B97" s="8">
        <v>6</v>
      </c>
      <c r="C97" s="14"/>
      <c r="E97" s="7">
        <f t="shared" si="20"/>
        <v>18.700787401574804</v>
      </c>
      <c r="F97" s="1" t="s">
        <v>163</v>
      </c>
      <c r="G97" s="7">
        <f t="shared" si="18"/>
        <v>-8.858267716535433</v>
      </c>
      <c r="H97" s="42">
        <f t="shared" si="19"/>
        <v>-7.381889763779528</v>
      </c>
      <c r="I97" s="42">
        <f t="shared" si="21"/>
        <v>5.812511625023251</v>
      </c>
      <c r="J97" s="11">
        <f>2*B91*(B99)^3/12+I97*H97^2</f>
        <v>320.9602682147891</v>
      </c>
      <c r="K97" s="57"/>
      <c r="L97" s="21"/>
      <c r="M97" s="14"/>
      <c r="N97" s="14"/>
      <c r="O97" s="14"/>
      <c r="P97" s="11"/>
      <c r="Q97" s="11"/>
      <c r="R97" s="11"/>
      <c r="AQ97" s="1"/>
      <c r="AR97" s="11"/>
    </row>
    <row r="98" spans="1:44" ht="14.25">
      <c r="A98" s="5" t="s">
        <v>26</v>
      </c>
      <c r="B98" s="8">
        <f>+B89/B96</f>
        <v>0.32808398950131235</v>
      </c>
      <c r="C98" s="14" t="s">
        <v>1</v>
      </c>
      <c r="E98" s="7">
        <f>+E97+B98</f>
        <v>19.028871391076116</v>
      </c>
      <c r="F98" s="1" t="s">
        <v>28</v>
      </c>
      <c r="G98" s="7">
        <f t="shared" si="18"/>
        <v>-9.186351706036746</v>
      </c>
      <c r="H98" s="42">
        <f t="shared" si="19"/>
        <v>-9.02230971128609</v>
      </c>
      <c r="I98" s="42">
        <f>$B$88*(E98-E97)</f>
        <v>6.4583462500258335</v>
      </c>
      <c r="J98" s="11">
        <f>2*B91*(B99)^3/12+I98*H98^2</f>
        <v>529.9459312688738</v>
      </c>
      <c r="K98" s="57"/>
      <c r="L98" s="21"/>
      <c r="M98" s="14"/>
      <c r="N98" s="14"/>
      <c r="O98" s="14"/>
      <c r="P98" s="11"/>
      <c r="Q98" s="11"/>
      <c r="R98" s="11"/>
      <c r="AQ98" s="1"/>
      <c r="AR98" s="11"/>
    </row>
    <row r="99" spans="1:44" ht="14.25">
      <c r="A99" s="5" t="s">
        <v>27</v>
      </c>
      <c r="B99" s="20">
        <f>+(B90-2*B89)/B97</f>
        <v>2.952755905511811</v>
      </c>
      <c r="C99" s="14" t="s">
        <v>1</v>
      </c>
      <c r="E99" s="7">
        <f>+E98+B98</f>
        <v>19.35695538057743</v>
      </c>
      <c r="F99" s="1" t="s">
        <v>28</v>
      </c>
      <c r="G99" s="7">
        <f t="shared" si="18"/>
        <v>-9.514435695538058</v>
      </c>
      <c r="H99" s="42">
        <f t="shared" si="19"/>
        <v>-9.350393700787402</v>
      </c>
      <c r="I99" s="42">
        <f>+$B$88*(E99-E98)</f>
        <v>6.4583462500258335</v>
      </c>
      <c r="J99" s="11">
        <f>+B88*(B98)^3/12+I99*H99^2</f>
        <v>564.7102545949324</v>
      </c>
      <c r="K99" s="57"/>
      <c r="L99" s="21"/>
      <c r="M99" s="14"/>
      <c r="N99" s="14"/>
      <c r="O99" s="14"/>
      <c r="P99" s="11"/>
      <c r="Q99" s="11"/>
      <c r="R99" s="11"/>
      <c r="AQ99" s="1"/>
      <c r="AR99" s="11"/>
    </row>
    <row r="100" spans="1:44" ht="15">
      <c r="A100" s="15" t="s">
        <v>17</v>
      </c>
      <c r="B100" s="21">
        <f>+B88*B89</f>
        <v>19.3750387500775</v>
      </c>
      <c r="C100" s="31" t="s">
        <v>59</v>
      </c>
      <c r="E100" s="7">
        <f>+E99+B98</f>
        <v>19.68503937007874</v>
      </c>
      <c r="F100" s="1" t="s">
        <v>28</v>
      </c>
      <c r="G100" s="7">
        <f t="shared" si="18"/>
        <v>-9.84251968503937</v>
      </c>
      <c r="H100" s="42">
        <f t="shared" si="19"/>
        <v>-9.678477690288714</v>
      </c>
      <c r="I100" s="42">
        <f>+$B$88*(E100-E99)</f>
        <v>6.4583462500258335</v>
      </c>
      <c r="J100" s="11">
        <f>+B88*(B98)^3/12+I100*H100^2</f>
        <v>605.0301496706477</v>
      </c>
      <c r="K100" s="57"/>
      <c r="L100" s="21"/>
      <c r="M100" s="14"/>
      <c r="N100" s="14"/>
      <c r="O100" s="14"/>
      <c r="P100" s="11"/>
      <c r="Q100" s="11"/>
      <c r="R100" s="11"/>
      <c r="AQ100" s="1"/>
      <c r="AR100" s="11"/>
    </row>
    <row r="101" spans="1:44" ht="15">
      <c r="A101" s="15" t="s">
        <v>18</v>
      </c>
      <c r="B101" s="21">
        <f>B89*(B88-2*B89)*2</f>
        <v>34.8750697501395</v>
      </c>
      <c r="C101" s="14" t="s">
        <v>10</v>
      </c>
      <c r="D101" s="16"/>
      <c r="E101" s="7"/>
      <c r="F101" s="1"/>
      <c r="G101" s="7"/>
      <c r="I101" s="7"/>
      <c r="J101" s="11"/>
      <c r="K101" s="14"/>
      <c r="L101" s="14"/>
      <c r="M101" s="14"/>
      <c r="N101" s="14"/>
      <c r="O101" s="14"/>
      <c r="P101" s="11"/>
      <c r="Q101" s="11"/>
      <c r="R101" s="11"/>
      <c r="AQ101" s="1"/>
      <c r="AR101" s="11"/>
    </row>
    <row r="102" spans="1:44" ht="14.25">
      <c r="A102" s="15" t="s">
        <v>75</v>
      </c>
      <c r="B102" s="8">
        <f>+B92*B94</f>
        <v>25168.16</v>
      </c>
      <c r="C102" s="14" t="s">
        <v>6</v>
      </c>
      <c r="E102" s="15" t="s">
        <v>73</v>
      </c>
      <c r="F102" s="11">
        <f>+B94*(K102)</f>
        <v>0</v>
      </c>
      <c r="G102" s="41" t="s">
        <v>20</v>
      </c>
      <c r="H102" s="5" t="s">
        <v>68</v>
      </c>
      <c r="I102" s="7">
        <f>+SUM(I88:I100)</f>
        <v>73.6251472502945</v>
      </c>
      <c r="J102" s="11">
        <f>+SUM(J88:J100)</f>
        <v>4311.575538626729</v>
      </c>
      <c r="K102" s="20"/>
      <c r="L102" s="21"/>
      <c r="M102" s="14"/>
      <c r="N102" s="14"/>
      <c r="O102" s="14"/>
      <c r="P102" s="11"/>
      <c r="Q102" s="11"/>
      <c r="R102" s="11"/>
      <c r="AQ102" s="1"/>
      <c r="AR102" s="11"/>
    </row>
    <row r="103" spans="2:44" ht="14.25">
      <c r="B103" s="7"/>
      <c r="C103" s="1"/>
      <c r="D103" s="1"/>
      <c r="E103" s="15" t="s">
        <v>76</v>
      </c>
      <c r="F103" s="1">
        <f>+B93*B94</f>
        <v>21290.89976</v>
      </c>
      <c r="G103" s="41" t="s">
        <v>74</v>
      </c>
      <c r="H103" s="15" t="s">
        <v>71</v>
      </c>
      <c r="I103" s="38">
        <f>+B90*B91*2</f>
        <v>38.750077500155</v>
      </c>
      <c r="K103" s="7"/>
      <c r="L103" s="1"/>
      <c r="M103" s="1"/>
      <c r="N103" s="11"/>
      <c r="O103" s="11"/>
      <c r="P103" s="11"/>
      <c r="Q103" s="11"/>
      <c r="R103" s="11"/>
      <c r="AQ103" s="1"/>
      <c r="AR103" s="11"/>
    </row>
    <row r="104" spans="1:15" ht="12.75">
      <c r="A104" s="15"/>
      <c r="B104" s="34">
        <f>B92*47*10</f>
        <v>242896</v>
      </c>
      <c r="C104" s="14"/>
      <c r="D104" s="15"/>
      <c r="E104" s="21"/>
      <c r="F104" s="14"/>
      <c r="G104" s="14"/>
      <c r="H104" s="14"/>
      <c r="I104" s="14"/>
      <c r="K104" s="14"/>
      <c r="L104" s="14"/>
      <c r="M104" s="14"/>
      <c r="N104" s="14"/>
      <c r="O104" s="14"/>
    </row>
    <row r="105" spans="1:15" ht="14.25">
      <c r="A105" s="22" t="s">
        <v>72</v>
      </c>
      <c r="B105" s="22"/>
      <c r="C105" s="22"/>
      <c r="E105" s="4" t="s">
        <v>2</v>
      </c>
      <c r="F105" s="4" t="s">
        <v>3</v>
      </c>
      <c r="G105" s="4" t="s">
        <v>64</v>
      </c>
      <c r="H105" s="4" t="s">
        <v>66</v>
      </c>
      <c r="I105" s="4" t="s">
        <v>67</v>
      </c>
      <c r="J105" s="4" t="s">
        <v>79</v>
      </c>
      <c r="K105" s="6"/>
      <c r="L105" s="6"/>
      <c r="M105" s="14"/>
      <c r="N105" s="15"/>
      <c r="O105" s="8"/>
    </row>
    <row r="106" spans="1:15" ht="14.25">
      <c r="A106" s="23"/>
      <c r="B106" s="23"/>
      <c r="C106" s="23"/>
      <c r="E106" s="4" t="s">
        <v>1</v>
      </c>
      <c r="F106" s="4"/>
      <c r="G106" s="4" t="s">
        <v>1</v>
      </c>
      <c r="H106" s="4" t="s">
        <v>1</v>
      </c>
      <c r="I106" s="6" t="s">
        <v>65</v>
      </c>
      <c r="J106" s="6" t="s">
        <v>80</v>
      </c>
      <c r="K106" s="6"/>
      <c r="L106" s="6"/>
      <c r="M106" s="14"/>
      <c r="N106" s="15"/>
      <c r="O106" s="8"/>
    </row>
    <row r="107" spans="1:15" ht="12.75">
      <c r="A107" s="26" t="s">
        <v>9</v>
      </c>
      <c r="B107" s="63" t="s">
        <v>166</v>
      </c>
      <c r="C107" s="63"/>
      <c r="K107" s="14"/>
      <c r="L107" s="14"/>
      <c r="M107" s="14"/>
      <c r="N107" s="14"/>
      <c r="O107" s="14"/>
    </row>
    <row r="108" spans="1:15" ht="14.25">
      <c r="A108" s="26" t="s">
        <v>12</v>
      </c>
      <c r="B108" s="56">
        <f>55/2.54</f>
        <v>21.653543307086615</v>
      </c>
      <c r="C108" s="23" t="s">
        <v>1</v>
      </c>
      <c r="E108" s="1">
        <v>0</v>
      </c>
      <c r="F108" s="1" t="s">
        <v>4</v>
      </c>
      <c r="G108" s="7">
        <f>+$B$110/2-E108</f>
        <v>10.826771653543307</v>
      </c>
      <c r="H108" s="7">
        <v>0</v>
      </c>
      <c r="I108" s="60">
        <v>0</v>
      </c>
      <c r="K108" s="14"/>
      <c r="L108" s="14"/>
      <c r="M108" s="14"/>
      <c r="N108" s="14"/>
      <c r="O108" s="14"/>
    </row>
    <row r="109" spans="1:15" ht="14.25">
      <c r="A109" s="26" t="s">
        <v>13</v>
      </c>
      <c r="B109" s="56">
        <f>3/2.54</f>
        <v>1.1811023622047243</v>
      </c>
      <c r="C109" s="23" t="s">
        <v>1</v>
      </c>
      <c r="E109" s="7">
        <f>+B118</f>
        <v>0.39370078740157477</v>
      </c>
      <c r="F109" s="1" t="s">
        <v>4</v>
      </c>
      <c r="G109" s="7">
        <f aca="true" t="shared" si="22" ref="G109:G120">+$B$110/2-E109</f>
        <v>10.433070866141733</v>
      </c>
      <c r="H109" s="42">
        <f aca="true" t="shared" si="23" ref="H109:H120">+(G108+G109)/2</f>
        <v>10.62992125984252</v>
      </c>
      <c r="I109" s="42">
        <f>+$B$108*(E109-E108)</f>
        <v>8.5250170500341</v>
      </c>
      <c r="J109" s="11">
        <f>+B108*(B118)^3/12+I109*H109^2</f>
        <v>963.3963431648525</v>
      </c>
      <c r="K109" s="57"/>
      <c r="L109" s="21"/>
      <c r="M109" s="14"/>
      <c r="N109" s="14"/>
      <c r="O109" s="14"/>
    </row>
    <row r="110" spans="1:15" ht="14.25">
      <c r="A110" s="26" t="s">
        <v>84</v>
      </c>
      <c r="B110" s="56">
        <f>B108</f>
        <v>21.653543307086615</v>
      </c>
      <c r="C110" s="23" t="s">
        <v>1</v>
      </c>
      <c r="E110" s="7">
        <f>2*B118</f>
        <v>0.7874015748031495</v>
      </c>
      <c r="F110" s="1" t="s">
        <v>4</v>
      </c>
      <c r="G110" s="7">
        <f t="shared" si="22"/>
        <v>10.039370078740157</v>
      </c>
      <c r="H110" s="42">
        <f t="shared" si="23"/>
        <v>10.236220472440944</v>
      </c>
      <c r="I110" s="42">
        <f>+$B$108*(E110-E109)</f>
        <v>8.5250170500341</v>
      </c>
      <c r="J110" s="11">
        <f>+B108*(B118)^3/12+I110*H110^2</f>
        <v>893.3631880325119</v>
      </c>
      <c r="K110" s="57"/>
      <c r="L110" s="21"/>
      <c r="M110" s="14"/>
      <c r="N110" s="14"/>
      <c r="O110" s="14"/>
    </row>
    <row r="111" spans="1:15" ht="14.25">
      <c r="A111" s="26" t="s">
        <v>15</v>
      </c>
      <c r="B111" s="56">
        <f>B109</f>
        <v>1.1811023622047243</v>
      </c>
      <c r="C111" s="23" t="s">
        <v>1</v>
      </c>
      <c r="E111" s="7">
        <f>3*B118</f>
        <v>1.1811023622047243</v>
      </c>
      <c r="F111" s="1" t="s">
        <v>4</v>
      </c>
      <c r="G111" s="7">
        <f t="shared" si="22"/>
        <v>9.645669291338583</v>
      </c>
      <c r="H111" s="42">
        <f t="shared" si="23"/>
        <v>9.84251968503937</v>
      </c>
      <c r="I111" s="42">
        <f>+$B$108*(E111-E110)</f>
        <v>8.5250170500341</v>
      </c>
      <c r="J111" s="11">
        <f>2*B111*(B119)^3/12+I111*H111^2</f>
        <v>832.405568565704</v>
      </c>
      <c r="K111" s="57"/>
      <c r="L111" s="21"/>
      <c r="M111" s="14"/>
      <c r="N111" s="14"/>
      <c r="O111" s="14"/>
    </row>
    <row r="112" spans="1:15" ht="15">
      <c r="A112" s="26" t="s">
        <v>16</v>
      </c>
      <c r="B112" s="56">
        <v>743.36</v>
      </c>
      <c r="C112" s="23" t="s">
        <v>11</v>
      </c>
      <c r="E112" s="7">
        <f aca="true" t="shared" si="24" ref="E111:E118">+E111+$B$119</f>
        <v>4.396325459317586</v>
      </c>
      <c r="F112" s="1" t="s">
        <v>163</v>
      </c>
      <c r="G112" s="7">
        <f t="shared" si="22"/>
        <v>6.430446194225722</v>
      </c>
      <c r="H112" s="42">
        <f t="shared" si="23"/>
        <v>8.038057742782152</v>
      </c>
      <c r="I112" s="42">
        <f aca="true" t="shared" si="25" ref="I112:I118">+$B$111*(E112-E111)*2</f>
        <v>7.595015190030382</v>
      </c>
      <c r="J112" s="11">
        <f>2*B111*(B119)^3/12+I112*H112^2</f>
        <v>497.2596489903107</v>
      </c>
      <c r="K112" s="57"/>
      <c r="L112" s="21"/>
      <c r="M112" s="14"/>
      <c r="N112" s="14"/>
      <c r="O112" s="14"/>
    </row>
    <row r="113" spans="1:15" ht="15">
      <c r="A113" s="26" t="s">
        <v>63</v>
      </c>
      <c r="B113" s="24">
        <f>B115/(B110/2)</f>
        <v>626.11</v>
      </c>
      <c r="C113" s="23" t="s">
        <v>11</v>
      </c>
      <c r="E113" s="7">
        <f t="shared" si="24"/>
        <v>7.6115485564304475</v>
      </c>
      <c r="F113" s="1" t="s">
        <v>163</v>
      </c>
      <c r="G113" s="7">
        <f t="shared" si="22"/>
        <v>3.21522309711286</v>
      </c>
      <c r="H113" s="42">
        <f t="shared" si="23"/>
        <v>4.822834645669291</v>
      </c>
      <c r="I113" s="42">
        <f t="shared" si="25"/>
        <v>7.595015190030382</v>
      </c>
      <c r="J113" s="11">
        <f>2*B111*(B119)^3/12+I113*H113^2</f>
        <v>183.20092331221971</v>
      </c>
      <c r="K113" s="57"/>
      <c r="L113" s="21"/>
      <c r="M113" s="14"/>
      <c r="N113" s="14"/>
      <c r="O113" s="14"/>
    </row>
    <row r="114" spans="1:15" ht="14.25">
      <c r="A114" s="26" t="s">
        <v>62</v>
      </c>
      <c r="B114" s="24">
        <v>48.7</v>
      </c>
      <c r="C114" s="23" t="s">
        <v>0</v>
      </c>
      <c r="E114" s="7">
        <f t="shared" si="24"/>
        <v>10.82677165354331</v>
      </c>
      <c r="F114" s="1" t="s">
        <v>163</v>
      </c>
      <c r="G114" s="7">
        <f t="shared" si="22"/>
        <v>0</v>
      </c>
      <c r="H114" s="42">
        <f t="shared" si="23"/>
        <v>1.60761154855643</v>
      </c>
      <c r="I114" s="42">
        <f t="shared" si="25"/>
        <v>7.595015190030382</v>
      </c>
      <c r="J114" s="11">
        <f>2*B111*(B119)^3/12+I114*H114^2</f>
        <v>26.17156047317424</v>
      </c>
      <c r="K114" s="57"/>
      <c r="L114" s="21"/>
      <c r="M114" s="14"/>
      <c r="N114" s="14"/>
      <c r="O114" s="14"/>
    </row>
    <row r="115" spans="1:15" ht="14.25">
      <c r="A115" s="26" t="s">
        <v>77</v>
      </c>
      <c r="B115" s="62">
        <v>6778.75</v>
      </c>
      <c r="C115" s="23" t="s">
        <v>78</v>
      </c>
      <c r="E115" s="7">
        <f t="shared" si="24"/>
        <v>14.04199475065617</v>
      </c>
      <c r="F115" s="1" t="s">
        <v>163</v>
      </c>
      <c r="G115" s="7">
        <f t="shared" si="22"/>
        <v>-3.2152230971128635</v>
      </c>
      <c r="H115" s="42">
        <f t="shared" si="23"/>
        <v>-1.6076115485564317</v>
      </c>
      <c r="I115" s="42">
        <f t="shared" si="25"/>
        <v>7.595015190030382</v>
      </c>
      <c r="J115" s="11">
        <f>2*B111*(B119)^3/12+I115*H115^2</f>
        <v>26.17156047317428</v>
      </c>
      <c r="K115" s="57"/>
      <c r="L115" s="21"/>
      <c r="M115" s="14"/>
      <c r="N115" s="14"/>
      <c r="O115" s="14"/>
    </row>
    <row r="116" spans="1:15" ht="14.25">
      <c r="A116" s="28" t="s">
        <v>24</v>
      </c>
      <c r="B116" s="8">
        <v>3</v>
      </c>
      <c r="C116" s="14"/>
      <c r="E116" s="7">
        <f t="shared" si="24"/>
        <v>17.25721784776903</v>
      </c>
      <c r="F116" s="1" t="s">
        <v>163</v>
      </c>
      <c r="G116" s="7">
        <f t="shared" si="22"/>
        <v>-6.430446194225723</v>
      </c>
      <c r="H116" s="42">
        <f t="shared" si="23"/>
        <v>-4.822834645669293</v>
      </c>
      <c r="I116" s="42">
        <f t="shared" si="25"/>
        <v>7.595015190030377</v>
      </c>
      <c r="J116" s="11">
        <f>2*B111*(B119)^3/12+I116*H116^2</f>
        <v>183.2009233122198</v>
      </c>
      <c r="K116" s="57"/>
      <c r="L116" s="21"/>
      <c r="M116" s="14"/>
      <c r="N116" s="14"/>
      <c r="O116" s="14"/>
    </row>
    <row r="117" spans="1:15" ht="14.25">
      <c r="A117" s="28" t="s">
        <v>25</v>
      </c>
      <c r="B117" s="8">
        <v>6</v>
      </c>
      <c r="C117" s="14"/>
      <c r="E117" s="7">
        <f t="shared" si="24"/>
        <v>20.472440944881892</v>
      </c>
      <c r="F117" s="1" t="s">
        <v>163</v>
      </c>
      <c r="G117" s="7">
        <f t="shared" si="22"/>
        <v>-9.645669291338585</v>
      </c>
      <c r="H117" s="42">
        <f t="shared" si="23"/>
        <v>-8.038057742782154</v>
      </c>
      <c r="I117" s="42">
        <f t="shared" si="25"/>
        <v>7.595015190030382</v>
      </c>
      <c r="J117" s="11">
        <f>2*B111*(B119)^3/12+I117*H117^2</f>
        <v>497.25964899031095</v>
      </c>
      <c r="K117" s="57"/>
      <c r="L117" s="21"/>
      <c r="M117" s="14"/>
      <c r="N117" s="14"/>
      <c r="O117" s="14"/>
    </row>
    <row r="118" spans="1:15" ht="14.25">
      <c r="A118" s="5" t="s">
        <v>26</v>
      </c>
      <c r="B118" s="8">
        <f>+B109/B116</f>
        <v>0.39370078740157477</v>
      </c>
      <c r="C118" s="14" t="s">
        <v>1</v>
      </c>
      <c r="E118" s="7">
        <f>+E117+$B$118</f>
        <v>20.866141732283467</v>
      </c>
      <c r="F118" s="1" t="s">
        <v>28</v>
      </c>
      <c r="G118" s="7">
        <f t="shared" si="22"/>
        <v>-10.03937007874016</v>
      </c>
      <c r="H118" s="42">
        <f t="shared" si="23"/>
        <v>-9.842519685039372</v>
      </c>
      <c r="I118" s="42">
        <f>+$B$108*(E118-E117)</f>
        <v>8.525017050034085</v>
      </c>
      <c r="J118" s="11">
        <f>2*B111*(B119)^3/12+I118*H118^2</f>
        <v>832.4055685657029</v>
      </c>
      <c r="K118" s="57"/>
      <c r="L118" s="21"/>
      <c r="M118" s="14"/>
      <c r="N118" s="14"/>
      <c r="O118" s="14"/>
    </row>
    <row r="119" spans="1:15" ht="14.25">
      <c r="A119" s="5" t="s">
        <v>27</v>
      </c>
      <c r="B119" s="20">
        <f>+(B110-2*B109)/B117</f>
        <v>3.2152230971128613</v>
      </c>
      <c r="C119" s="14" t="s">
        <v>1</v>
      </c>
      <c r="E119" s="7">
        <f>+E118+$B$118</f>
        <v>21.25984251968504</v>
      </c>
      <c r="F119" s="1" t="s">
        <v>28</v>
      </c>
      <c r="G119" s="7">
        <f t="shared" si="22"/>
        <v>-10.433070866141733</v>
      </c>
      <c r="H119" s="42">
        <f t="shared" si="23"/>
        <v>-10.236220472440946</v>
      </c>
      <c r="I119" s="42">
        <f>+$B$108*(E119-E118)</f>
        <v>8.525017050034085</v>
      </c>
      <c r="J119" s="11">
        <f>+B108*(B118)^3/12+I119*H119^2</f>
        <v>893.3631880325107</v>
      </c>
      <c r="K119" s="57"/>
      <c r="L119" s="21"/>
      <c r="M119" s="14"/>
      <c r="N119" s="14"/>
      <c r="O119" s="14"/>
    </row>
    <row r="120" spans="1:15" ht="15">
      <c r="A120" s="15" t="s">
        <v>17</v>
      </c>
      <c r="B120" s="21">
        <f>+B108*B109</f>
        <v>25.575051150102297</v>
      </c>
      <c r="C120" s="31" t="s">
        <v>59</v>
      </c>
      <c r="E120" s="7">
        <f>+E119+$B$118</f>
        <v>21.653543307086615</v>
      </c>
      <c r="F120" s="1" t="s">
        <v>28</v>
      </c>
      <c r="G120" s="7">
        <f t="shared" si="22"/>
        <v>-10.826771653543307</v>
      </c>
      <c r="H120" s="42">
        <f t="shared" si="23"/>
        <v>-10.62992125984252</v>
      </c>
      <c r="I120" s="42">
        <f>+$B$108*(E120-E119)</f>
        <v>8.525017050034085</v>
      </c>
      <c r="J120" s="11">
        <f>+B108*(B118)^3/12+I120*H120^2</f>
        <v>963.3963431648509</v>
      </c>
      <c r="K120" s="57"/>
      <c r="L120" s="21"/>
      <c r="M120" s="14"/>
      <c r="N120" s="14"/>
      <c r="O120" s="14"/>
    </row>
    <row r="121" spans="1:10" ht="15">
      <c r="A121" s="15" t="s">
        <v>18</v>
      </c>
      <c r="B121" s="21">
        <f>+(B110-2*B109)*B111</f>
        <v>22.78504557009114</v>
      </c>
      <c r="C121" s="14" t="s">
        <v>10</v>
      </c>
      <c r="D121" s="16"/>
      <c r="E121" s="7"/>
      <c r="F121" s="1"/>
      <c r="G121" s="7"/>
      <c r="I121" s="7"/>
      <c r="J121" s="11"/>
    </row>
    <row r="122" spans="1:14" ht="14.25">
      <c r="A122" s="15" t="s">
        <v>75</v>
      </c>
      <c r="B122" s="8">
        <f>+B112*B114</f>
        <v>36201.632000000005</v>
      </c>
      <c r="C122" s="14" t="s">
        <v>6</v>
      </c>
      <c r="E122" s="15" t="s">
        <v>73</v>
      </c>
      <c r="F122" s="11">
        <f>+B114*(K122)</f>
        <v>0</v>
      </c>
      <c r="G122" s="41" t="s">
        <v>20</v>
      </c>
      <c r="H122" s="5" t="s">
        <v>68</v>
      </c>
      <c r="I122" s="7">
        <f>+SUM(I108:I120)</f>
        <v>96.72019344038682</v>
      </c>
      <c r="J122" s="11">
        <f>+SUM(J108:J120)</f>
        <v>6791.594465077544</v>
      </c>
      <c r="K122" s="7"/>
      <c r="L122" s="11"/>
      <c r="M122" s="43"/>
      <c r="N122" s="43"/>
    </row>
    <row r="123" spans="2:13" ht="14.25">
      <c r="B123" s="7"/>
      <c r="C123" s="1"/>
      <c r="D123" s="1"/>
      <c r="E123" s="15" t="s">
        <v>76</v>
      </c>
      <c r="F123" s="1">
        <f>+B113*B114</f>
        <v>30491.557</v>
      </c>
      <c r="G123" s="41" t="s">
        <v>74</v>
      </c>
      <c r="H123" s="15" t="s">
        <v>71</v>
      </c>
      <c r="I123" s="38">
        <f>+B110*B111*2</f>
        <v>51.150102300204594</v>
      </c>
      <c r="K123" s="7"/>
      <c r="L123" s="1"/>
      <c r="M123" s="37"/>
    </row>
    <row r="124" spans="1:9" ht="12.75">
      <c r="A124" s="34"/>
      <c r="B124" s="34">
        <f>B112*47*10</f>
        <v>349379.19999999995</v>
      </c>
      <c r="C124" s="14"/>
      <c r="D124" s="14"/>
      <c r="E124" s="40"/>
      <c r="F124" s="14"/>
      <c r="G124" s="14"/>
      <c r="H124" s="40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34"/>
      <c r="C126" s="34"/>
      <c r="D126" s="21"/>
      <c r="E126" s="8"/>
      <c r="F126" s="21"/>
      <c r="G126" s="14"/>
      <c r="H126" s="14"/>
      <c r="I126" s="14"/>
    </row>
    <row r="127" spans="1:9" ht="12.75">
      <c r="A127" s="14"/>
      <c r="B127" s="34"/>
      <c r="C127" s="34"/>
      <c r="D127" s="21"/>
      <c r="E127" s="8"/>
      <c r="F127" s="21"/>
      <c r="G127" s="14"/>
      <c r="H127" s="14"/>
      <c r="I127" s="14"/>
    </row>
    <row r="128" spans="1:9" ht="12.75">
      <c r="A128" s="14"/>
      <c r="B128" s="34"/>
      <c r="C128" s="34"/>
      <c r="D128" s="21"/>
      <c r="E128" s="8"/>
      <c r="F128" s="21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6"/>
      <c r="G130" s="21"/>
      <c r="H130" s="14"/>
      <c r="I130" s="14"/>
    </row>
    <row r="131" spans="1:9" ht="12.75">
      <c r="A131" s="14"/>
      <c r="B131" s="14"/>
      <c r="C131" s="14"/>
      <c r="D131" s="14"/>
      <c r="E131" s="14"/>
      <c r="F131" s="28"/>
      <c r="G131" s="21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11" ht="12.75">
      <c r="A134" s="14"/>
      <c r="B134" s="28"/>
      <c r="C134" s="21"/>
      <c r="D134" s="14"/>
      <c r="E134" s="14"/>
      <c r="F134" s="28"/>
      <c r="G134" s="21"/>
      <c r="H134" s="14"/>
      <c r="I134" s="14"/>
      <c r="J134" s="36"/>
      <c r="K134" s="11"/>
    </row>
    <row r="135" spans="1:11" ht="12.75">
      <c r="A135" s="14"/>
      <c r="B135" s="28"/>
      <c r="C135" s="21"/>
      <c r="D135" s="14"/>
      <c r="E135" s="14"/>
      <c r="F135" s="28"/>
      <c r="G135" s="21"/>
      <c r="H135" s="14"/>
      <c r="I135" s="14"/>
      <c r="J135" s="36"/>
      <c r="K135" s="11"/>
    </row>
    <row r="136" spans="1:11" ht="12.75">
      <c r="A136" s="14"/>
      <c r="B136" s="28"/>
      <c r="C136" s="21"/>
      <c r="D136" s="14"/>
      <c r="E136" s="14"/>
      <c r="F136" s="28"/>
      <c r="G136" s="21"/>
      <c r="H136" s="14"/>
      <c r="I136" s="14"/>
      <c r="J136" s="36"/>
      <c r="K136" s="11"/>
    </row>
    <row r="137" spans="1:11" ht="12.75">
      <c r="A137" s="14"/>
      <c r="B137" s="28"/>
      <c r="C137" s="21"/>
      <c r="D137" s="14"/>
      <c r="E137" s="14"/>
      <c r="F137" s="28"/>
      <c r="G137" s="21"/>
      <c r="H137" s="14"/>
      <c r="I137" s="14"/>
      <c r="J137" s="36"/>
      <c r="K137" s="11"/>
    </row>
    <row r="138" spans="1:9" ht="12.75">
      <c r="A138" s="14"/>
      <c r="B138" s="28"/>
      <c r="C138" s="21"/>
      <c r="D138" s="14"/>
      <c r="E138" s="39"/>
      <c r="F138" s="28"/>
      <c r="G138" s="8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3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5"/>
      <c r="B142" s="20"/>
      <c r="C142" s="14"/>
      <c r="D142" s="15"/>
      <c r="E142" s="20"/>
      <c r="F142" s="14"/>
      <c r="G142" s="28"/>
      <c r="H142" s="21"/>
      <c r="I142" s="14"/>
    </row>
    <row r="143" spans="1:9" ht="12.75">
      <c r="A143" s="15"/>
      <c r="B143" s="8"/>
      <c r="C143" s="14"/>
      <c r="D143" s="5"/>
      <c r="E143" s="21"/>
      <c r="F143" s="14"/>
      <c r="G143" s="14"/>
      <c r="H143" s="14"/>
      <c r="I143" s="14"/>
    </row>
    <row r="144" spans="1:9" ht="12.75">
      <c r="A144" s="28"/>
      <c r="B144" s="8"/>
      <c r="C144" s="14"/>
      <c r="D144" s="5"/>
      <c r="E144" s="21"/>
      <c r="F144" s="14"/>
      <c r="G144" s="14"/>
      <c r="H144" s="14"/>
      <c r="I144" s="14"/>
    </row>
    <row r="145" spans="1:9" ht="12.75">
      <c r="A145" s="28"/>
      <c r="B145" s="8"/>
      <c r="C145" s="14"/>
      <c r="D145" s="5"/>
      <c r="E145" s="21"/>
      <c r="F145" s="14"/>
      <c r="G145" s="14"/>
      <c r="H145" s="14"/>
      <c r="I145" s="14"/>
    </row>
    <row r="146" spans="1:9" ht="12.75">
      <c r="A146" s="14"/>
      <c r="B146" s="14"/>
      <c r="C146" s="14"/>
      <c r="D146" s="15"/>
      <c r="E146" s="21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39"/>
      <c r="F147" s="28"/>
      <c r="G147" s="8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3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28"/>
      <c r="B151" s="20"/>
      <c r="C151" s="14"/>
      <c r="D151" s="14"/>
      <c r="E151" s="14"/>
      <c r="F151" s="14"/>
      <c r="G151" s="14"/>
      <c r="H151" s="14"/>
      <c r="I151" s="14"/>
    </row>
    <row r="152" spans="1:9" ht="12.75">
      <c r="A152" s="15"/>
      <c r="B152" s="8"/>
      <c r="C152" s="14"/>
      <c r="D152" s="5"/>
      <c r="E152" s="21"/>
      <c r="F152" s="14"/>
      <c r="G152" s="14"/>
      <c r="H152" s="14"/>
      <c r="I152" s="14"/>
    </row>
    <row r="153" spans="1:9" ht="12.75">
      <c r="A153" s="28"/>
      <c r="B153" s="8"/>
      <c r="C153" s="14"/>
      <c r="D153" s="15"/>
      <c r="E153" s="21"/>
      <c r="F153" s="14"/>
      <c r="G153" s="14"/>
      <c r="H153" s="14"/>
      <c r="I153" s="14"/>
    </row>
    <row r="154" spans="1:9" ht="12.75">
      <c r="A154" s="28"/>
      <c r="B154" s="8"/>
      <c r="C154" s="14"/>
      <c r="D154" s="14"/>
      <c r="E154" s="39"/>
      <c r="F154" s="28"/>
      <c r="G154" s="8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.7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</sheetData>
  <mergeCells count="3">
    <mergeCell ref="B67:C67"/>
    <mergeCell ref="B87:C87"/>
    <mergeCell ref="B107:C107"/>
  </mergeCells>
  <printOptions/>
  <pageMargins left="1.25" right="0.75" top="1" bottom="0.5" header="0.5" footer="0.5"/>
  <pageSetup fitToHeight="2" fitToWidth="1" horizontalDpi="600" verticalDpi="600" orientation="landscape" scale="95" r:id="rId1"/>
  <ignoredErrors>
    <ignoredError sqref="B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L129"/>
  <sheetViews>
    <sheetView workbookViewId="0" topLeftCell="A1">
      <selection activeCell="C38" sqref="C38"/>
    </sheetView>
  </sheetViews>
  <sheetFormatPr defaultColWidth="11.421875" defaultRowHeight="12.75"/>
  <cols>
    <col min="1" max="11" width="11.28125" style="0" customWidth="1"/>
    <col min="12" max="12" width="10.7109375" style="0" customWidth="1"/>
    <col min="13" max="16384" width="9.140625" style="0" customWidth="1"/>
  </cols>
  <sheetData>
    <row r="5" spans="1:7" ht="12.75">
      <c r="A5" s="3" t="s">
        <v>93</v>
      </c>
      <c r="B5" s="3"/>
      <c r="D5" s="49" t="s">
        <v>97</v>
      </c>
      <c r="E5" s="1">
        <v>10575</v>
      </c>
      <c r="F5" s="36" t="s">
        <v>103</v>
      </c>
      <c r="G5" s="1">
        <v>11343</v>
      </c>
    </row>
    <row r="6" spans="4:5" ht="12.75">
      <c r="D6" s="50" t="s">
        <v>126</v>
      </c>
      <c r="E6" s="1">
        <v>48</v>
      </c>
    </row>
    <row r="7" spans="4:5" ht="12.75">
      <c r="D7" s="49" t="s">
        <v>100</v>
      </c>
      <c r="E7" s="1">
        <v>960</v>
      </c>
    </row>
    <row r="9" spans="1:10" ht="14.25">
      <c r="A9" s="4" t="s">
        <v>94</v>
      </c>
      <c r="B9" s="4" t="s">
        <v>95</v>
      </c>
      <c r="C9" s="4" t="s">
        <v>105</v>
      </c>
      <c r="D9" s="4" t="s">
        <v>106</v>
      </c>
      <c r="E9" s="4" t="s">
        <v>129</v>
      </c>
      <c r="F9" s="4" t="s">
        <v>125</v>
      </c>
      <c r="G9" s="4" t="s">
        <v>96</v>
      </c>
      <c r="H9" s="4" t="s">
        <v>98</v>
      </c>
      <c r="I9" s="4" t="s">
        <v>127</v>
      </c>
      <c r="J9" s="4" t="s">
        <v>128</v>
      </c>
    </row>
    <row r="11" spans="1:10" ht="12.75">
      <c r="A11" s="51">
        <v>1</v>
      </c>
      <c r="B11" s="51" t="str">
        <f>+'PFDC-sec'!B126</f>
        <v>W14x398</v>
      </c>
      <c r="C11" s="51">
        <f>+'PFDC-sec'!B131</f>
        <v>801</v>
      </c>
      <c r="D11" s="51">
        <v>55.8</v>
      </c>
      <c r="E11" s="1">
        <f>+C11*D11</f>
        <v>44695.799999999996</v>
      </c>
      <c r="F11" s="45">
        <v>162</v>
      </c>
      <c r="G11" s="1">
        <f>+E11*10/F11</f>
        <v>2758.9999999999995</v>
      </c>
      <c r="H11" s="42">
        <f>+G11/E5</f>
        <v>0.2608983451536643</v>
      </c>
      <c r="I11" s="1">
        <f>+G5*E6/E7</f>
        <v>567.15</v>
      </c>
      <c r="J11" s="42">
        <f>+H11-I11/E5</f>
        <v>0.2072671394799054</v>
      </c>
    </row>
    <row r="14" ht="12.75">
      <c r="A14" s="3" t="s">
        <v>99</v>
      </c>
    </row>
    <row r="16" spans="1:10" ht="14.25">
      <c r="A16" s="44" t="s">
        <v>94</v>
      </c>
      <c r="B16" s="44"/>
      <c r="C16" s="44" t="s">
        <v>105</v>
      </c>
      <c r="D16" s="44" t="s">
        <v>106</v>
      </c>
      <c r="E16" s="44" t="s">
        <v>130</v>
      </c>
      <c r="F16" s="6" t="s">
        <v>101</v>
      </c>
      <c r="G16" s="44" t="s">
        <v>107</v>
      </c>
      <c r="H16" s="10" t="s">
        <v>131</v>
      </c>
      <c r="I16" s="10" t="s">
        <v>132</v>
      </c>
      <c r="J16" s="1"/>
    </row>
    <row r="17" spans="1:10" ht="14.25">
      <c r="A17" s="44"/>
      <c r="B17" s="44"/>
      <c r="C17" s="6" t="s">
        <v>108</v>
      </c>
      <c r="D17" s="44" t="s">
        <v>0</v>
      </c>
      <c r="E17" s="44" t="s">
        <v>74</v>
      </c>
      <c r="F17" s="6" t="s">
        <v>1</v>
      </c>
      <c r="G17" s="44" t="s">
        <v>1</v>
      </c>
      <c r="H17" s="44" t="s">
        <v>74</v>
      </c>
      <c r="I17" s="44" t="s">
        <v>74</v>
      </c>
      <c r="J17" s="1"/>
    </row>
    <row r="19" spans="1:10" ht="12.75">
      <c r="A19" s="24">
        <v>6</v>
      </c>
      <c r="B19" s="24" t="str">
        <f>+'PFDC-sec'!B6</f>
        <v>W30X90</v>
      </c>
      <c r="C19" s="24">
        <f>+'PFDC-sec'!B11</f>
        <v>283</v>
      </c>
      <c r="D19" s="24">
        <v>55.8</v>
      </c>
      <c r="E19" s="54">
        <f aca="true" t="shared" si="0" ref="E19:E24">+C19*D19</f>
        <v>15791.4</v>
      </c>
      <c r="F19" s="24">
        <v>16.74</v>
      </c>
      <c r="G19" s="1">
        <f aca="true" t="shared" si="1" ref="G19:G24">360-F19</f>
        <v>343.26</v>
      </c>
      <c r="H19" s="46">
        <f aca="true" t="shared" si="2" ref="H19:H24">8*E19*360/G19</f>
        <v>132492.08180388046</v>
      </c>
      <c r="I19" s="1"/>
      <c r="J19" s="1"/>
    </row>
    <row r="20" spans="1:10" ht="12.75">
      <c r="A20" s="24">
        <v>5</v>
      </c>
      <c r="B20" s="24" t="str">
        <f>+'PFDC-sec'!B26</f>
        <v>W33x118</v>
      </c>
      <c r="C20" s="24">
        <f>+'PFDC-sec'!B31</f>
        <v>415</v>
      </c>
      <c r="D20" s="24">
        <f>+D$19</f>
        <v>55.8</v>
      </c>
      <c r="E20" s="54">
        <f t="shared" si="0"/>
        <v>23157</v>
      </c>
      <c r="F20" s="24">
        <f>F19</f>
        <v>16.74</v>
      </c>
      <c r="G20" s="1">
        <f t="shared" si="1"/>
        <v>343.26</v>
      </c>
      <c r="H20" s="46">
        <f t="shared" si="2"/>
        <v>194290.50865233352</v>
      </c>
      <c r="I20" s="1"/>
      <c r="J20" s="1"/>
    </row>
    <row r="21" spans="1:10" ht="12.75">
      <c r="A21" s="24">
        <v>4</v>
      </c>
      <c r="B21" s="24" t="str">
        <f>+'PFDC-sec'!B46</f>
        <v>W36x135</v>
      </c>
      <c r="C21" s="24">
        <f>+'PFDC-sec'!B51</f>
        <v>509</v>
      </c>
      <c r="D21" s="24">
        <f>+D$19</f>
        <v>55.8</v>
      </c>
      <c r="E21" s="54">
        <f t="shared" si="0"/>
        <v>28402.199999999997</v>
      </c>
      <c r="F21" s="24">
        <v>17.54</v>
      </c>
      <c r="G21" s="1">
        <f t="shared" si="1"/>
        <v>342.46</v>
      </c>
      <c r="H21" s="46">
        <f t="shared" si="2"/>
        <v>238855.15388658526</v>
      </c>
      <c r="I21" s="1"/>
      <c r="J21" s="1"/>
    </row>
    <row r="22" spans="1:10" ht="12.75">
      <c r="A22" s="24">
        <v>3</v>
      </c>
      <c r="B22" s="24" t="str">
        <f>+'PFDC-sec'!B66</f>
        <v>W36x170</v>
      </c>
      <c r="C22" s="24">
        <f>+'PFDC-sec'!B71</f>
        <v>668</v>
      </c>
      <c r="D22" s="24">
        <f>+D$19</f>
        <v>55.8</v>
      </c>
      <c r="E22" s="54">
        <f t="shared" si="0"/>
        <v>37274.4</v>
      </c>
      <c r="F22" s="24">
        <f>F21</f>
        <v>17.54</v>
      </c>
      <c r="G22" s="1">
        <f t="shared" si="1"/>
        <v>342.46</v>
      </c>
      <c r="H22" s="46">
        <f t="shared" si="2"/>
        <v>313468.06050341646</v>
      </c>
      <c r="I22" s="1"/>
      <c r="J22" s="1"/>
    </row>
    <row r="23" spans="1:10" ht="12.75">
      <c r="A23" s="24">
        <v>2</v>
      </c>
      <c r="B23" s="24" t="str">
        <f>+'PFDC-sec'!B86</f>
        <v>W36x182</v>
      </c>
      <c r="C23" s="24">
        <f>+'PFDC-sec'!B91</f>
        <v>718</v>
      </c>
      <c r="D23" s="24">
        <f>+D$19</f>
        <v>55.8</v>
      </c>
      <c r="E23" s="54">
        <f t="shared" si="0"/>
        <v>40064.4</v>
      </c>
      <c r="F23" s="24">
        <v>18.29</v>
      </c>
      <c r="G23" s="1">
        <f t="shared" si="1"/>
        <v>341.71</v>
      </c>
      <c r="H23" s="46">
        <f t="shared" si="2"/>
        <v>337670.750051213</v>
      </c>
      <c r="I23" s="1"/>
      <c r="J23" s="1"/>
    </row>
    <row r="24" spans="1:10" ht="12.75">
      <c r="A24" s="24">
        <v>1</v>
      </c>
      <c r="B24" s="24" t="str">
        <f>+'PFDC-sec'!B106</f>
        <v>W36X194</v>
      </c>
      <c r="C24" s="24">
        <f>+'PFDC-sec'!B111</f>
        <v>767</v>
      </c>
      <c r="D24" s="24">
        <f>+D$19</f>
        <v>55.8</v>
      </c>
      <c r="E24" s="54">
        <f t="shared" si="0"/>
        <v>42798.6</v>
      </c>
      <c r="F24" s="24">
        <f>F23</f>
        <v>18.29</v>
      </c>
      <c r="G24" s="1">
        <f t="shared" si="1"/>
        <v>341.71</v>
      </c>
      <c r="H24" s="46">
        <f t="shared" si="2"/>
        <v>360715.1327148752</v>
      </c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47">
        <f>+SUM(H19:H24)</f>
        <v>1577491.687612304</v>
      </c>
      <c r="I25" s="4">
        <f>5*E11</f>
        <v>223478.99999999997</v>
      </c>
      <c r="J25" s="1"/>
    </row>
    <row r="26" spans="1:10" ht="12.75">
      <c r="A26" s="1"/>
      <c r="C26" s="1"/>
      <c r="D26" s="1"/>
      <c r="E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4" t="s">
        <v>161</v>
      </c>
      <c r="G27" s="1"/>
      <c r="H27" s="4" t="s">
        <v>162</v>
      </c>
      <c r="I27" s="1"/>
      <c r="J27" s="4" t="s">
        <v>161</v>
      </c>
    </row>
    <row r="28" spans="1:9" ht="14.25">
      <c r="A28" s="44" t="s">
        <v>94</v>
      </c>
      <c r="B28" s="44" t="s">
        <v>109</v>
      </c>
      <c r="C28" s="44" t="s">
        <v>110</v>
      </c>
      <c r="D28" s="10" t="s">
        <v>157</v>
      </c>
      <c r="E28" s="44" t="s">
        <v>111</v>
      </c>
      <c r="F28" s="10" t="s">
        <v>104</v>
      </c>
      <c r="G28" s="44" t="s">
        <v>112</v>
      </c>
      <c r="H28" s="10" t="s">
        <v>104</v>
      </c>
      <c r="I28" s="44" t="s">
        <v>112</v>
      </c>
    </row>
    <row r="29" spans="1:9" ht="12.75">
      <c r="A29" s="44"/>
      <c r="B29" s="44"/>
      <c r="C29" s="6" t="s">
        <v>1</v>
      </c>
      <c r="E29" s="44"/>
      <c r="F29" s="6" t="s">
        <v>1</v>
      </c>
      <c r="G29" s="44" t="s">
        <v>20</v>
      </c>
      <c r="H29" s="6" t="s">
        <v>1</v>
      </c>
      <c r="I29" s="44" t="s">
        <v>20</v>
      </c>
    </row>
    <row r="31" spans="1:9" ht="12.75">
      <c r="A31" s="1">
        <v>6</v>
      </c>
      <c r="B31" s="45">
        <v>1</v>
      </c>
      <c r="C31" s="45">
        <v>960</v>
      </c>
      <c r="D31" s="1">
        <f>+B31</f>
        <v>1</v>
      </c>
      <c r="E31" s="1">
        <f aca="true" t="shared" si="3" ref="E31:E36">+B31*C31</f>
        <v>960</v>
      </c>
      <c r="F31" s="1">
        <f>+E6</f>
        <v>48</v>
      </c>
      <c r="G31" s="1">
        <f aca="true" t="shared" si="4" ref="G31:G36">+G$5/6*F31/$C31</f>
        <v>94.525</v>
      </c>
      <c r="H31" s="11">
        <f>+F31*1.93/5</f>
        <v>18.528</v>
      </c>
      <c r="I31" s="11">
        <f aca="true" t="shared" si="5" ref="I31:I36">+G$5/6*H31/$C31</f>
        <v>36.486650000000004</v>
      </c>
    </row>
    <row r="32" spans="1:9" ht="12.75">
      <c r="A32" s="1">
        <v>5</v>
      </c>
      <c r="B32" s="45">
        <v>0.815</v>
      </c>
      <c r="C32" s="45">
        <v>804</v>
      </c>
      <c r="D32" s="1">
        <f>+D31+B32</f>
        <v>1.815</v>
      </c>
      <c r="E32" s="1">
        <f t="shared" si="3"/>
        <v>655.26</v>
      </c>
      <c r="F32" s="1">
        <f>+F31/$C31*$C32</f>
        <v>40.2</v>
      </c>
      <c r="G32" s="1">
        <f t="shared" si="4"/>
        <v>94.525</v>
      </c>
      <c r="H32" s="11">
        <f>+H31/$C31*$C32</f>
        <v>15.517199999999999</v>
      </c>
      <c r="I32" s="11">
        <f t="shared" si="5"/>
        <v>36.48665</v>
      </c>
    </row>
    <row r="33" spans="1:9" ht="12.75">
      <c r="A33" s="1">
        <v>4</v>
      </c>
      <c r="B33" s="45">
        <v>0.62</v>
      </c>
      <c r="C33" s="45">
        <v>648</v>
      </c>
      <c r="D33" s="1">
        <f>+D32+B33</f>
        <v>2.435</v>
      </c>
      <c r="E33" s="1">
        <f t="shared" si="3"/>
        <v>401.76</v>
      </c>
      <c r="F33" s="1">
        <f aca="true" t="shared" si="6" ref="F33:H36">+F32/$C32*$C33</f>
        <v>32.4</v>
      </c>
      <c r="G33" s="1">
        <f t="shared" si="4"/>
        <v>94.52499999999999</v>
      </c>
      <c r="H33" s="11">
        <f t="shared" si="6"/>
        <v>12.5064</v>
      </c>
      <c r="I33" s="11">
        <f t="shared" si="5"/>
        <v>36.48665</v>
      </c>
    </row>
    <row r="34" spans="1:11" ht="12.75">
      <c r="A34" s="1">
        <v>3</v>
      </c>
      <c r="B34" s="45">
        <v>0.435</v>
      </c>
      <c r="C34" s="45">
        <v>492</v>
      </c>
      <c r="D34" s="1">
        <f>+D33+B34</f>
        <v>2.87</v>
      </c>
      <c r="E34" s="1">
        <f t="shared" si="3"/>
        <v>214.02</v>
      </c>
      <c r="F34" s="1">
        <f t="shared" si="6"/>
        <v>24.599999999999998</v>
      </c>
      <c r="G34" s="1">
        <f t="shared" si="4"/>
        <v>94.52499999999999</v>
      </c>
      <c r="H34" s="11">
        <f t="shared" si="6"/>
        <v>9.4956</v>
      </c>
      <c r="I34" s="11">
        <f t="shared" si="5"/>
        <v>36.48665</v>
      </c>
      <c r="J34" s="1"/>
      <c r="K34" s="1"/>
    </row>
    <row r="35" spans="1:11" ht="12.75">
      <c r="A35" s="1">
        <v>2</v>
      </c>
      <c r="B35" s="45">
        <v>0.265</v>
      </c>
      <c r="C35" s="45">
        <v>336</v>
      </c>
      <c r="D35" s="1">
        <f>+D34+B35</f>
        <v>3.1350000000000002</v>
      </c>
      <c r="E35" s="1">
        <f t="shared" si="3"/>
        <v>89.04</v>
      </c>
      <c r="F35" s="1">
        <f t="shared" si="6"/>
        <v>16.799999999999997</v>
      </c>
      <c r="G35" s="1">
        <f t="shared" si="4"/>
        <v>94.52499999999998</v>
      </c>
      <c r="H35" s="11">
        <f t="shared" si="6"/>
        <v>6.484799999999999</v>
      </c>
      <c r="I35" s="11">
        <f t="shared" si="5"/>
        <v>36.48665</v>
      </c>
      <c r="J35" s="1"/>
      <c r="K35" s="1"/>
    </row>
    <row r="36" spans="1:11" ht="12.75">
      <c r="A36" s="1">
        <v>1</v>
      </c>
      <c r="B36" s="45">
        <v>0.12</v>
      </c>
      <c r="C36" s="45">
        <v>180</v>
      </c>
      <c r="D36" s="1">
        <f>+D35+B36</f>
        <v>3.2550000000000003</v>
      </c>
      <c r="E36" s="1">
        <f t="shared" si="3"/>
        <v>21.599999999999998</v>
      </c>
      <c r="F36" s="1">
        <f t="shared" si="6"/>
        <v>8.999999999999998</v>
      </c>
      <c r="G36" s="1">
        <f t="shared" si="4"/>
        <v>94.52499999999998</v>
      </c>
      <c r="H36" s="11">
        <f t="shared" si="6"/>
        <v>3.4739999999999998</v>
      </c>
      <c r="I36" s="11">
        <f t="shared" si="5"/>
        <v>36.48665</v>
      </c>
      <c r="J36" s="1"/>
      <c r="K36" s="1"/>
    </row>
    <row r="37" spans="1:11" ht="12.75">
      <c r="A37" s="1"/>
      <c r="B37" s="4">
        <f>+SUM(B31:B36)</f>
        <v>3.2550000000000003</v>
      </c>
      <c r="D37" s="4"/>
      <c r="E37" s="4">
        <f>+SUM(E31:E36)</f>
        <v>2341.68</v>
      </c>
      <c r="F37" s="4"/>
      <c r="G37" s="4">
        <f>+SUM(G31:G36)</f>
        <v>567.1499999999999</v>
      </c>
      <c r="H37" s="1"/>
      <c r="I37" s="48">
        <f>+SUM(I31:I36)</f>
        <v>218.91989999999998</v>
      </c>
      <c r="J37" s="1"/>
      <c r="K37" s="1"/>
    </row>
    <row r="39" spans="2:7" ht="12.75">
      <c r="B39" s="1"/>
      <c r="E39" s="1"/>
      <c r="F39" s="1"/>
      <c r="G39" s="1"/>
    </row>
    <row r="40" spans="5:8" ht="12.75">
      <c r="E40" s="1"/>
      <c r="F40" s="1"/>
      <c r="G40" s="1"/>
      <c r="H40" s="1"/>
    </row>
    <row r="42" spans="5:8" ht="12.75">
      <c r="E42" s="36" t="s">
        <v>102</v>
      </c>
      <c r="F42" s="11">
        <f>+(H25+I25)/(E37/B37)</f>
        <v>2503.3990930349364</v>
      </c>
      <c r="G42" t="s">
        <v>20</v>
      </c>
      <c r="H42" s="11">
        <f>+(H25*0.85+I25)/(E37)*B37</f>
        <v>2174.485528211089</v>
      </c>
    </row>
    <row r="43" spans="5:8" ht="12.75">
      <c r="E43" s="36" t="s">
        <v>114</v>
      </c>
      <c r="F43" s="1">
        <f>+I11</f>
        <v>567.15</v>
      </c>
      <c r="G43" t="s">
        <v>20</v>
      </c>
      <c r="H43" s="55">
        <f>+I37</f>
        <v>218.91989999999998</v>
      </c>
    </row>
    <row r="44" spans="5:8" ht="12.75">
      <c r="E44" s="36" t="s">
        <v>113</v>
      </c>
      <c r="F44" s="11">
        <f>+F42-F43</f>
        <v>1936.2490930349363</v>
      </c>
      <c r="G44" t="s">
        <v>20</v>
      </c>
      <c r="H44" s="11">
        <f>+(H42-H43)</f>
        <v>1955.565628211089</v>
      </c>
    </row>
    <row r="45" spans="5:8" ht="12.75">
      <c r="E45" s="4" t="s">
        <v>158</v>
      </c>
      <c r="F45" s="42">
        <f>+F42/$E$5</f>
        <v>0.236728046622689</v>
      </c>
      <c r="G45" t="s">
        <v>159</v>
      </c>
      <c r="H45" s="42">
        <f>+H42/$E$5</f>
        <v>0.20562510905069398</v>
      </c>
    </row>
    <row r="46" spans="5:8" ht="12.75">
      <c r="E46" s="4" t="s">
        <v>158</v>
      </c>
      <c r="F46" s="42">
        <f>+F44/$E$5</f>
        <v>0.18309684094893014</v>
      </c>
      <c r="G46" t="s">
        <v>160</v>
      </c>
      <c r="H46" s="42">
        <f>+H44/$E$5</f>
        <v>0.18492346366062307</v>
      </c>
    </row>
    <row r="70" ht="12.75">
      <c r="A70" s="3" t="s">
        <v>134</v>
      </c>
    </row>
    <row r="71" spans="1:2" ht="12.75">
      <c r="A71" s="36" t="s">
        <v>124</v>
      </c>
      <c r="B71" s="1">
        <v>50</v>
      </c>
    </row>
    <row r="72" spans="1:12" ht="14.25">
      <c r="A72" s="44" t="s">
        <v>94</v>
      </c>
      <c r="B72" s="4" t="s">
        <v>115</v>
      </c>
      <c r="C72" s="4" t="s">
        <v>116</v>
      </c>
      <c r="D72" s="4" t="s">
        <v>117</v>
      </c>
      <c r="E72" s="4" t="s">
        <v>118</v>
      </c>
      <c r="F72" s="4" t="s">
        <v>119</v>
      </c>
      <c r="G72" s="4" t="s">
        <v>120</v>
      </c>
      <c r="H72" s="4" t="s">
        <v>121</v>
      </c>
      <c r="I72" s="4" t="s">
        <v>122</v>
      </c>
      <c r="J72" s="4" t="s">
        <v>123</v>
      </c>
      <c r="K72" s="4" t="s">
        <v>123</v>
      </c>
      <c r="L72" s="10" t="s">
        <v>131</v>
      </c>
    </row>
    <row r="73" spans="10:12" ht="12.75">
      <c r="J73" s="1">
        <v>50</v>
      </c>
      <c r="K73" s="1">
        <v>55.8</v>
      </c>
      <c r="L73" s="44" t="s">
        <v>74</v>
      </c>
    </row>
    <row r="75" spans="1:12" ht="12.75">
      <c r="A75" s="1">
        <v>6</v>
      </c>
      <c r="B75" s="1">
        <v>0.65</v>
      </c>
      <c r="C75" s="1">
        <v>0.64</v>
      </c>
      <c r="D75" s="1">
        <v>0.77</v>
      </c>
      <c r="E75" s="1">
        <v>0.77</v>
      </c>
      <c r="F75" s="1">
        <v>0.93</v>
      </c>
      <c r="G75" s="1">
        <v>0.93</v>
      </c>
      <c r="H75" s="1">
        <v>0.76</v>
      </c>
      <c r="I75" s="1">
        <v>0.76</v>
      </c>
      <c r="J75" s="48">
        <f aca="true" t="shared" si="7" ref="J75:J80">+SUM(B75:I75)/8</f>
        <v>0.77625</v>
      </c>
      <c r="K75" s="42">
        <f aca="true" t="shared" si="8" ref="K75:K81">+J75*J$73/K$73</f>
        <v>0.6955645161290323</v>
      </c>
      <c r="L75" s="46">
        <f aca="true" t="shared" si="9" ref="L75:L80">8*K75*D19*C19*360/G19</f>
        <v>92156.79077084427</v>
      </c>
    </row>
    <row r="76" spans="1:12" ht="12.75">
      <c r="A76" s="1">
        <v>5</v>
      </c>
      <c r="B76" s="1">
        <v>0.78</v>
      </c>
      <c r="C76" s="1">
        <v>0.78</v>
      </c>
      <c r="D76" s="1">
        <v>0.95</v>
      </c>
      <c r="E76" s="1">
        <v>0.95</v>
      </c>
      <c r="F76" s="1">
        <v>1.09</v>
      </c>
      <c r="G76" s="1">
        <v>1.09</v>
      </c>
      <c r="H76" s="1">
        <v>0.93</v>
      </c>
      <c r="I76" s="1">
        <v>0.93</v>
      </c>
      <c r="J76" s="48">
        <f t="shared" si="7"/>
        <v>0.9374999999999999</v>
      </c>
      <c r="K76" s="42">
        <f t="shared" si="8"/>
        <v>0.8400537634408601</v>
      </c>
      <c r="L76" s="46">
        <f t="shared" si="9"/>
        <v>163214.47299423176</v>
      </c>
    </row>
    <row r="77" spans="1:12" ht="12.75">
      <c r="A77" s="1">
        <v>4</v>
      </c>
      <c r="B77" s="1">
        <v>0.94</v>
      </c>
      <c r="C77" s="1">
        <v>0.94</v>
      </c>
      <c r="D77" s="1">
        <v>1.07</v>
      </c>
      <c r="E77" s="1">
        <v>1.07</v>
      </c>
      <c r="F77" s="1">
        <v>1.16</v>
      </c>
      <c r="G77" s="1">
        <v>1.16</v>
      </c>
      <c r="H77" s="1">
        <v>1.01</v>
      </c>
      <c r="I77" s="1">
        <v>1</v>
      </c>
      <c r="J77" s="48">
        <f t="shared" si="7"/>
        <v>1.0437500000000002</v>
      </c>
      <c r="K77" s="42">
        <f t="shared" si="8"/>
        <v>0.9352598566308246</v>
      </c>
      <c r="L77" s="46">
        <f t="shared" si="9"/>
        <v>223391.63697950132</v>
      </c>
    </row>
    <row r="78" spans="1:12" ht="12.75">
      <c r="A78" s="1">
        <v>3</v>
      </c>
      <c r="B78" s="1">
        <v>0.94</v>
      </c>
      <c r="C78" s="1">
        <v>0.93</v>
      </c>
      <c r="D78" s="1">
        <v>1.05</v>
      </c>
      <c r="E78" s="1">
        <v>1.05</v>
      </c>
      <c r="F78" s="1">
        <v>1.13</v>
      </c>
      <c r="G78" s="1">
        <v>1.13</v>
      </c>
      <c r="H78" s="1">
        <v>0.98</v>
      </c>
      <c r="I78" s="1">
        <v>0.97</v>
      </c>
      <c r="J78" s="48">
        <f t="shared" si="7"/>
        <v>1.0225</v>
      </c>
      <c r="K78" s="42">
        <f t="shared" si="8"/>
        <v>0.9162186379928315</v>
      </c>
      <c r="L78" s="46">
        <f t="shared" si="9"/>
        <v>287205.2794486948</v>
      </c>
    </row>
    <row r="79" spans="1:12" ht="12.75">
      <c r="A79" s="1">
        <v>2</v>
      </c>
      <c r="B79" s="1">
        <v>1</v>
      </c>
      <c r="C79" s="1">
        <v>0.99</v>
      </c>
      <c r="D79" s="1">
        <v>1.13</v>
      </c>
      <c r="E79" s="1">
        <v>1.13</v>
      </c>
      <c r="F79" s="1">
        <v>1.19</v>
      </c>
      <c r="G79" s="1">
        <v>1.19</v>
      </c>
      <c r="H79" s="1">
        <v>1.01</v>
      </c>
      <c r="I79" s="1">
        <v>1</v>
      </c>
      <c r="J79" s="48">
        <f t="shared" si="7"/>
        <v>1.0799999999999998</v>
      </c>
      <c r="K79" s="42">
        <f t="shared" si="8"/>
        <v>0.9677419354838709</v>
      </c>
      <c r="L79" s="46">
        <f t="shared" si="9"/>
        <v>326778.1452108513</v>
      </c>
    </row>
    <row r="80" spans="1:12" ht="12.75">
      <c r="A80" s="1">
        <v>1</v>
      </c>
      <c r="B80" s="1">
        <v>0.99</v>
      </c>
      <c r="C80" s="1">
        <v>0.99</v>
      </c>
      <c r="D80" s="1">
        <v>1.17</v>
      </c>
      <c r="E80" s="1">
        <v>1.17</v>
      </c>
      <c r="F80" s="1">
        <v>1.24</v>
      </c>
      <c r="G80" s="1">
        <v>1.24</v>
      </c>
      <c r="H80" s="1">
        <v>1.16</v>
      </c>
      <c r="I80" s="1">
        <v>1.16</v>
      </c>
      <c r="J80" s="48">
        <f t="shared" si="7"/>
        <v>1.1400000000000001</v>
      </c>
      <c r="K80" s="42">
        <f t="shared" si="8"/>
        <v>1.0215053763440862</v>
      </c>
      <c r="L80" s="46">
        <f t="shared" si="9"/>
        <v>368472.4473969156</v>
      </c>
    </row>
    <row r="81" spans="10:12" ht="12.75">
      <c r="J81" s="48">
        <f>+SUM(J75:J80)/6</f>
        <v>1</v>
      </c>
      <c r="K81" s="42">
        <f t="shared" si="8"/>
        <v>0.8960573476702509</v>
      </c>
      <c r="L81" s="47">
        <f>+SUM(L75:L80)</f>
        <v>1461218.772801039</v>
      </c>
    </row>
    <row r="82" spans="7:11" ht="12.75">
      <c r="G82" s="36" t="s">
        <v>102</v>
      </c>
      <c r="H82" s="11">
        <f>+(L81+I25)*B37/E37</f>
        <v>2341.7765238919847</v>
      </c>
      <c r="I82" t="s">
        <v>20</v>
      </c>
      <c r="J82" s="42">
        <f>+H82/E$5</f>
        <v>0.2214445885477054</v>
      </c>
      <c r="K82" s="7"/>
    </row>
    <row r="83" spans="4:10" ht="12.75">
      <c r="D83" s="1"/>
      <c r="G83" s="36" t="s">
        <v>113</v>
      </c>
      <c r="H83" s="11">
        <f>+H82-F43</f>
        <v>1774.6265238919846</v>
      </c>
      <c r="I83" t="s">
        <v>20</v>
      </c>
      <c r="J83" s="42">
        <f>+H83/E$5</f>
        <v>0.16781338287394654</v>
      </c>
    </row>
    <row r="85" ht="12.75">
      <c r="A85" s="3" t="s">
        <v>133</v>
      </c>
    </row>
    <row r="88" spans="1:4" ht="12.75">
      <c r="A88" s="44" t="s">
        <v>94</v>
      </c>
      <c r="B88" s="4" t="s">
        <v>137</v>
      </c>
      <c r="C88" s="4" t="s">
        <v>135</v>
      </c>
      <c r="D88" s="4" t="s">
        <v>136</v>
      </c>
    </row>
    <row r="91" spans="1:4" ht="12.75">
      <c r="A91" s="1">
        <v>6</v>
      </c>
      <c r="B91" s="1">
        <v>0.5</v>
      </c>
      <c r="C91" s="1">
        <v>0.92</v>
      </c>
      <c r="D91" s="1">
        <v>1.18</v>
      </c>
    </row>
    <row r="92" spans="1:4" ht="12.75">
      <c r="A92" s="1">
        <v>5</v>
      </c>
      <c r="B92" s="1">
        <v>0.56</v>
      </c>
      <c r="C92" s="1">
        <v>0.95</v>
      </c>
      <c r="D92" s="1">
        <v>1.19</v>
      </c>
    </row>
    <row r="93" spans="1:4" ht="12.75">
      <c r="A93" s="1">
        <v>4</v>
      </c>
      <c r="B93" s="1">
        <v>0.57</v>
      </c>
      <c r="C93" s="1">
        <v>0.94</v>
      </c>
      <c r="D93" s="1">
        <v>1.17</v>
      </c>
    </row>
    <row r="94" spans="1:4" ht="12.75">
      <c r="A94" s="1">
        <v>3</v>
      </c>
      <c r="B94" s="1">
        <v>0.58</v>
      </c>
      <c r="C94" s="1">
        <v>0.88</v>
      </c>
      <c r="D94" s="1">
        <v>1.07</v>
      </c>
    </row>
    <row r="95" spans="1:4" ht="12.75">
      <c r="A95" s="1">
        <v>2</v>
      </c>
      <c r="B95" s="1">
        <v>0.6</v>
      </c>
      <c r="C95" s="1">
        <v>0.89</v>
      </c>
      <c r="D95" s="1">
        <v>1.07</v>
      </c>
    </row>
    <row r="96" spans="1:4" ht="12.75">
      <c r="A96" s="1">
        <v>1</v>
      </c>
      <c r="B96" s="1">
        <v>0.63</v>
      </c>
      <c r="C96" s="1">
        <v>0.9</v>
      </c>
      <c r="D96" s="1">
        <v>1.07</v>
      </c>
    </row>
    <row r="97" spans="2:4" ht="12.75">
      <c r="B97" s="48">
        <f>+SUM(B91:B96)/6</f>
        <v>0.5733333333333334</v>
      </c>
      <c r="C97" s="48">
        <f>+SUM(C91:C96)/6</f>
        <v>0.9133333333333334</v>
      </c>
      <c r="D97" s="48">
        <f>+SUM(D91:D96)/6</f>
        <v>1.1250000000000002</v>
      </c>
    </row>
    <row r="99" spans="1:4" ht="14.25">
      <c r="A99" s="10" t="s">
        <v>139</v>
      </c>
      <c r="B99" s="10" t="s">
        <v>138</v>
      </c>
      <c r="C99" s="4" t="s">
        <v>142</v>
      </c>
      <c r="D99" s="4" t="s">
        <v>143</v>
      </c>
    </row>
    <row r="100" spans="1:2" ht="12.75">
      <c r="A100" s="4" t="s">
        <v>140</v>
      </c>
      <c r="B100" s="4" t="s">
        <v>141</v>
      </c>
    </row>
    <row r="102" spans="2:4" ht="12.75">
      <c r="B102" s="1">
        <v>0</v>
      </c>
      <c r="C102" s="11">
        <f>+B97</f>
        <v>0.5733333333333334</v>
      </c>
      <c r="D102" s="11">
        <f>+C102*50/55.8</f>
        <v>0.5137395459976105</v>
      </c>
    </row>
    <row r="103" spans="1:4" ht="12.75">
      <c r="A103" s="1">
        <v>1.93</v>
      </c>
      <c r="B103" s="1">
        <v>0.018</v>
      </c>
      <c r="C103" s="11">
        <f>+C97</f>
        <v>0.9133333333333334</v>
      </c>
      <c r="D103" s="11">
        <f>+C103*50/55.8</f>
        <v>0.8183990442054959</v>
      </c>
    </row>
    <row r="104" spans="1:4" ht="12.75">
      <c r="A104" s="1">
        <v>2.89</v>
      </c>
      <c r="B104" s="1">
        <v>0.031</v>
      </c>
      <c r="C104" s="11">
        <f>+D97</f>
        <v>1.1250000000000002</v>
      </c>
      <c r="D104" s="11">
        <f>+C104*50/55.8</f>
        <v>1.0080645161290325</v>
      </c>
    </row>
    <row r="106" spans="1:11" ht="14.25">
      <c r="A106" s="3" t="s">
        <v>144</v>
      </c>
      <c r="B106" s="44" t="s">
        <v>147</v>
      </c>
      <c r="C106" s="44" t="s">
        <v>148</v>
      </c>
      <c r="D106" s="44" t="s">
        <v>149</v>
      </c>
      <c r="E106" s="44" t="s">
        <v>150</v>
      </c>
      <c r="F106" s="10" t="s">
        <v>138</v>
      </c>
      <c r="G106" s="10" t="s">
        <v>154</v>
      </c>
      <c r="H106" s="44" t="s">
        <v>145</v>
      </c>
      <c r="I106" s="44" t="s">
        <v>151</v>
      </c>
      <c r="J106" s="44" t="s">
        <v>152</v>
      </c>
      <c r="K106" s="44" t="s">
        <v>153</v>
      </c>
    </row>
    <row r="109" spans="1:11" ht="12.75">
      <c r="A109" s="24">
        <v>6</v>
      </c>
      <c r="B109" s="45">
        <v>307</v>
      </c>
      <c r="C109" s="45">
        <v>15.05</v>
      </c>
      <c r="D109" s="45">
        <v>2242.9</v>
      </c>
      <c r="E109" s="45">
        <v>349.61</v>
      </c>
      <c r="F109" s="45">
        <v>0.062</v>
      </c>
      <c r="G109" s="53">
        <f>+F109*1/6</f>
        <v>0.010333333333333333</v>
      </c>
      <c r="H109" s="11">
        <f aca="true" t="shared" si="10" ref="H109:H114">+B109+2*(C109*D109*E109)/(D109+E109)*F109</f>
        <v>871.4578304453214</v>
      </c>
      <c r="I109" s="45">
        <v>30.66</v>
      </c>
      <c r="J109" s="45">
        <v>309</v>
      </c>
      <c r="K109" s="45">
        <v>79.82</v>
      </c>
    </row>
    <row r="110" spans="1:11" ht="12.75">
      <c r="A110" s="24">
        <v>5</v>
      </c>
      <c r="B110" s="45">
        <v>446</v>
      </c>
      <c r="C110" s="45">
        <v>16.87</v>
      </c>
      <c r="D110" s="45">
        <v>2948.1</v>
      </c>
      <c r="E110" s="45">
        <v>454.49</v>
      </c>
      <c r="F110" s="45">
        <v>0.062</v>
      </c>
      <c r="G110" s="53">
        <f>+F110*1/6*2</f>
        <v>0.020666666666666667</v>
      </c>
      <c r="H110" s="11">
        <f t="shared" si="10"/>
        <v>1269.7467027504695</v>
      </c>
      <c r="I110" s="45">
        <v>34.61</v>
      </c>
      <c r="J110" s="45">
        <v>309</v>
      </c>
      <c r="K110" s="45">
        <v>118.28</v>
      </c>
    </row>
    <row r="111" spans="1:11" ht="12.75">
      <c r="A111" s="24">
        <v>4</v>
      </c>
      <c r="B111" s="45">
        <v>535</v>
      </c>
      <c r="C111" s="45">
        <v>18.28</v>
      </c>
      <c r="D111" s="45">
        <v>3372.9</v>
      </c>
      <c r="E111" s="45">
        <v>489.46</v>
      </c>
      <c r="F111" s="45">
        <v>0.062</v>
      </c>
      <c r="G111" s="53">
        <f>+F111*1/6*3</f>
        <v>0.031</v>
      </c>
      <c r="H111" s="11">
        <f t="shared" si="10"/>
        <v>1503.8706434357441</v>
      </c>
      <c r="I111" s="45">
        <v>37.55</v>
      </c>
      <c r="J111" s="45">
        <v>309</v>
      </c>
      <c r="K111" s="45">
        <v>125.68</v>
      </c>
    </row>
    <row r="112" spans="1:11" ht="12.75">
      <c r="A112" s="24">
        <v>3</v>
      </c>
      <c r="B112" s="45">
        <v>703</v>
      </c>
      <c r="C112" s="45">
        <v>18.59</v>
      </c>
      <c r="D112" s="45">
        <v>4248</v>
      </c>
      <c r="E112" s="45">
        <v>524.42</v>
      </c>
      <c r="F112" s="45">
        <v>0.062</v>
      </c>
      <c r="G112" s="53">
        <f>+F112*1/6*4</f>
        <v>0.04133333333333333</v>
      </c>
      <c r="H112" s="11">
        <f t="shared" si="10"/>
        <v>1779.034440930513</v>
      </c>
      <c r="I112" s="45">
        <v>38.17</v>
      </c>
      <c r="J112" s="45">
        <v>309</v>
      </c>
      <c r="K112" s="45">
        <v>165.22</v>
      </c>
    </row>
    <row r="113" spans="1:11" ht="12.75">
      <c r="A113" s="24">
        <v>2</v>
      </c>
      <c r="B113" s="45">
        <v>799</v>
      </c>
      <c r="C113" s="45">
        <v>18.73</v>
      </c>
      <c r="D113" s="45">
        <v>4553.8</v>
      </c>
      <c r="E113" s="45">
        <v>559.38</v>
      </c>
      <c r="F113" s="45">
        <v>0.062</v>
      </c>
      <c r="G113" s="53">
        <f>+F113*1/6*5</f>
        <v>0.051666666666666666</v>
      </c>
      <c r="H113" s="11">
        <f t="shared" si="10"/>
        <v>1956.0423849312715</v>
      </c>
      <c r="I113" s="45">
        <v>38.58</v>
      </c>
      <c r="J113" s="45">
        <v>309</v>
      </c>
      <c r="K113" s="45">
        <v>169.72</v>
      </c>
    </row>
    <row r="114" spans="1:11" ht="12.75">
      <c r="A114" s="24">
        <v>1</v>
      </c>
      <c r="B114" s="45">
        <v>937</v>
      </c>
      <c r="C114" s="45">
        <v>18.87</v>
      </c>
      <c r="D114" s="45">
        <v>4842.7</v>
      </c>
      <c r="E114" s="45">
        <v>559.38</v>
      </c>
      <c r="F114" s="45">
        <v>0.062</v>
      </c>
      <c r="G114" s="53">
        <f>+F114*1/6*6</f>
        <v>0.062</v>
      </c>
      <c r="H114" s="11">
        <f t="shared" si="10"/>
        <v>2110.3486400973106</v>
      </c>
      <c r="I114" s="45">
        <v>38.99</v>
      </c>
      <c r="J114" s="45">
        <v>309</v>
      </c>
      <c r="K114" s="45">
        <v>164.05</v>
      </c>
    </row>
    <row r="116" spans="2:7" ht="15.75">
      <c r="B116" s="1" t="s">
        <v>155</v>
      </c>
      <c r="G116" s="1" t="s">
        <v>156</v>
      </c>
    </row>
    <row r="117" spans="1:11" ht="14.25">
      <c r="A117" s="44" t="s">
        <v>146</v>
      </c>
      <c r="B117" s="4" t="s">
        <v>143</v>
      </c>
      <c r="C117" s="4" t="s">
        <v>142</v>
      </c>
      <c r="D117" s="10" t="s">
        <v>131</v>
      </c>
      <c r="E117" s="10" t="s">
        <v>132</v>
      </c>
      <c r="F117" s="44" t="s">
        <v>145</v>
      </c>
      <c r="G117" s="44" t="s">
        <v>146</v>
      </c>
      <c r="H117" s="4" t="s">
        <v>143</v>
      </c>
      <c r="I117" s="4" t="s">
        <v>142</v>
      </c>
      <c r="J117" s="10" t="s">
        <v>131</v>
      </c>
      <c r="K117" s="10" t="s">
        <v>132</v>
      </c>
    </row>
    <row r="118" spans="4:11" ht="12.75">
      <c r="D118" s="44" t="s">
        <v>74</v>
      </c>
      <c r="E118" s="44" t="s">
        <v>74</v>
      </c>
      <c r="J118" s="44" t="s">
        <v>74</v>
      </c>
      <c r="K118" s="44" t="s">
        <v>74</v>
      </c>
    </row>
    <row r="120" spans="1:10" ht="12.75">
      <c r="A120" s="54">
        <f aca="true" t="shared" si="11" ref="A120:A125">+I109*K109+C109*(H109+J109)</f>
        <v>20213.171548202088</v>
      </c>
      <c r="B120" s="7">
        <f aca="true" t="shared" si="12" ref="B120:B125">+A120/$E19</f>
        <v>1.2800113699989923</v>
      </c>
      <c r="C120" s="7">
        <f aca="true" t="shared" si="13" ref="C120:C125">+B120*55.8/50</f>
        <v>1.4284926889188754</v>
      </c>
      <c r="D120">
        <f aca="true" t="shared" si="14" ref="D120:D125">+A120*360/$G19*8</f>
        <v>169591.37114380358</v>
      </c>
      <c r="F120" s="11">
        <f aca="true" t="shared" si="15" ref="F120:F125">+B109+2*(C109*D109*E109)/(D109+E109)*G109</f>
        <v>401.0763050742202</v>
      </c>
      <c r="G120" s="54">
        <f aca="true" t="shared" si="16" ref="G120:G125">+K109*I109+(F120+J109)*C109</f>
        <v>13133.929591367016</v>
      </c>
      <c r="H120" s="7">
        <f aca="true" t="shared" si="17" ref="H120:H125">+G120/$E19</f>
        <v>0.8317140716698339</v>
      </c>
      <c r="I120" s="7">
        <f aca="true" t="shared" si="18" ref="I120:I125">+H120*55.8/50</f>
        <v>0.9281929039835346</v>
      </c>
      <c r="J120">
        <f aca="true" t="shared" si="19" ref="J120:J125">+G120*360/$G19*8</f>
        <v>110195.52882111812</v>
      </c>
    </row>
    <row r="121" spans="1:10" ht="12.75">
      <c r="A121" s="54">
        <f t="shared" si="11"/>
        <v>30727.12767540042</v>
      </c>
      <c r="B121" s="7">
        <f t="shared" si="12"/>
        <v>1.3269045072937091</v>
      </c>
      <c r="C121" s="7">
        <f t="shared" si="13"/>
        <v>1.4808254301397792</v>
      </c>
      <c r="D121">
        <f t="shared" si="14"/>
        <v>257804.95165516873</v>
      </c>
      <c r="F121" s="11">
        <f t="shared" si="15"/>
        <v>720.5822342501565</v>
      </c>
      <c r="G121" s="54">
        <f t="shared" si="16"/>
        <v>21462.72309180014</v>
      </c>
      <c r="H121" s="7">
        <f t="shared" si="17"/>
        <v>0.9268352157792521</v>
      </c>
      <c r="I121" s="7">
        <f t="shared" si="18"/>
        <v>1.0343481008096453</v>
      </c>
      <c r="J121">
        <f t="shared" si="19"/>
        <v>180075.28551064618</v>
      </c>
    </row>
    <row r="122" spans="1:10" ht="12.75">
      <c r="A122" s="54">
        <f t="shared" si="11"/>
        <v>37858.559362005406</v>
      </c>
      <c r="B122" s="7">
        <f t="shared" si="12"/>
        <v>1.3329446085868493</v>
      </c>
      <c r="C122" s="7">
        <f t="shared" si="13"/>
        <v>1.4875661831829237</v>
      </c>
      <c r="D122">
        <f t="shared" si="14"/>
        <v>318380.6896063061</v>
      </c>
      <c r="F122" s="11">
        <f t="shared" si="15"/>
        <v>1019.4353217178721</v>
      </c>
      <c r="G122" s="54">
        <f t="shared" si="16"/>
        <v>29003.081681002703</v>
      </c>
      <c r="H122" s="7">
        <f t="shared" si="17"/>
        <v>1.0211561668111169</v>
      </c>
      <c r="I122" s="7">
        <f t="shared" si="18"/>
        <v>1.1396102821612064</v>
      </c>
      <c r="J122">
        <f t="shared" si="19"/>
        <v>243908.41336590488</v>
      </c>
    </row>
    <row r="123" spans="1:10" ht="12.75">
      <c r="A123" s="54">
        <f t="shared" si="11"/>
        <v>45123.00765689823</v>
      </c>
      <c r="B123" s="7">
        <f t="shared" si="12"/>
        <v>1.2105629508965465</v>
      </c>
      <c r="C123" s="7">
        <f t="shared" si="13"/>
        <v>1.3509882532005457</v>
      </c>
      <c r="D123">
        <f t="shared" si="14"/>
        <v>379472.82033483306</v>
      </c>
      <c r="F123" s="11">
        <f t="shared" si="15"/>
        <v>1420.3562939536755</v>
      </c>
      <c r="G123" s="54">
        <f t="shared" si="16"/>
        <v>38455.18090459883</v>
      </c>
      <c r="H123" s="7">
        <f t="shared" si="17"/>
        <v>1.031678066034566</v>
      </c>
      <c r="I123" s="7">
        <f t="shared" si="18"/>
        <v>1.1513527216945756</v>
      </c>
      <c r="J123">
        <f t="shared" si="19"/>
        <v>323398.12242377107</v>
      </c>
    </row>
    <row r="124" spans="1:10" ht="12.75">
      <c r="A124" s="54">
        <f t="shared" si="11"/>
        <v>48972.04146976271</v>
      </c>
      <c r="B124" s="7">
        <f t="shared" si="12"/>
        <v>1.2223330804844879</v>
      </c>
      <c r="C124" s="7">
        <f t="shared" si="13"/>
        <v>1.3641237178206884</v>
      </c>
      <c r="D124">
        <f t="shared" si="14"/>
        <v>412746.1280996067</v>
      </c>
      <c r="F124" s="11">
        <f t="shared" si="15"/>
        <v>1763.2019874427262</v>
      </c>
      <c r="G124" s="54">
        <f t="shared" si="16"/>
        <v>45360.140824802256</v>
      </c>
      <c r="H124" s="7">
        <f t="shared" si="17"/>
        <v>1.1321807096774756</v>
      </c>
      <c r="I124" s="7">
        <f t="shared" si="18"/>
        <v>1.2635136720000628</v>
      </c>
      <c r="J124">
        <f t="shared" si="19"/>
        <v>382304.3094303079</v>
      </c>
    </row>
    <row r="125" spans="1:10" ht="12.75">
      <c r="A125" s="54">
        <f t="shared" si="11"/>
        <v>52049.41833863626</v>
      </c>
      <c r="B125" s="7">
        <f t="shared" si="12"/>
        <v>1.216147685640097</v>
      </c>
      <c r="C125" s="7">
        <f t="shared" si="13"/>
        <v>1.3572208171743483</v>
      </c>
      <c r="D125">
        <f t="shared" si="14"/>
        <v>438682.87382655597</v>
      </c>
      <c r="F125" s="11">
        <f t="shared" si="15"/>
        <v>2110.3486400973106</v>
      </c>
      <c r="G125" s="54">
        <f t="shared" si="16"/>
        <v>52049.41833863626</v>
      </c>
      <c r="H125" s="7">
        <f t="shared" si="17"/>
        <v>1.216147685640097</v>
      </c>
      <c r="I125" s="7">
        <f t="shared" si="18"/>
        <v>1.3572208171743483</v>
      </c>
      <c r="J125">
        <f t="shared" si="19"/>
        <v>438682.87382655597</v>
      </c>
    </row>
    <row r="126" spans="4:11" ht="12.75">
      <c r="D126" s="47">
        <f>+SUM(D120:D125)</f>
        <v>1976678.834666274</v>
      </c>
      <c r="E126" s="4">
        <f>+I25</f>
        <v>223478.99999999997</v>
      </c>
      <c r="H126" s="48">
        <f>+SUM(H120:H125)/6</f>
        <v>1.0266186526020569</v>
      </c>
      <c r="I126" s="48">
        <f>+SUM(I120:I125)/6</f>
        <v>1.1457064163038955</v>
      </c>
      <c r="J126" s="47">
        <f>+SUM(J120:J125)</f>
        <v>1678564.533378304</v>
      </c>
      <c r="K126" s="4">
        <f>+E126</f>
        <v>223478.99999999997</v>
      </c>
    </row>
    <row r="127" spans="2:11" ht="12.75">
      <c r="B127" s="36" t="s">
        <v>102</v>
      </c>
      <c r="C127" s="11">
        <f>+(D126+E126)*B37/(E37)</f>
        <v>3058.28027392245</v>
      </c>
      <c r="D127" t="s">
        <v>20</v>
      </c>
      <c r="E127" s="7">
        <f>+C127/E5</f>
        <v>0.2891990802763546</v>
      </c>
      <c r="H127" s="36" t="s">
        <v>102</v>
      </c>
      <c r="I127" s="52">
        <f>+(J126+K126)*B37/E37</f>
        <v>2643.893145581967</v>
      </c>
      <c r="J127" t="s">
        <v>20</v>
      </c>
      <c r="K127" s="7">
        <f>+I127/E5</f>
        <v>0.2500135362252451</v>
      </c>
    </row>
    <row r="128" spans="2:10" ht="12.75">
      <c r="B128" s="36" t="s">
        <v>114</v>
      </c>
      <c r="C128" s="1">
        <f>+F43</f>
        <v>567.15</v>
      </c>
      <c r="D128" t="s">
        <v>20</v>
      </c>
      <c r="H128" s="36" t="s">
        <v>114</v>
      </c>
      <c r="I128" s="52">
        <f>+C128</f>
        <v>567.15</v>
      </c>
      <c r="J128" t="s">
        <v>20</v>
      </c>
    </row>
    <row r="129" spans="2:11" ht="12.75">
      <c r="B129" s="36" t="s">
        <v>113</v>
      </c>
      <c r="C129" s="11">
        <f>+C127-C128</f>
        <v>2491.1302739224498</v>
      </c>
      <c r="D129" t="s">
        <v>20</v>
      </c>
      <c r="E129" s="7">
        <f>+C129/E5</f>
        <v>0.23556787460259573</v>
      </c>
      <c r="H129" s="36" t="s">
        <v>113</v>
      </c>
      <c r="I129" s="52">
        <f>+I127-I128</f>
        <v>2076.743145581967</v>
      </c>
      <c r="J129" t="s">
        <v>20</v>
      </c>
      <c r="K129" s="7">
        <f>+I129/E5</f>
        <v>0.19638233055148624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Y281"/>
  <sheetViews>
    <sheetView workbookViewId="0" topLeftCell="A1">
      <selection activeCell="J119" sqref="J119"/>
    </sheetView>
  </sheetViews>
  <sheetFormatPr defaultColWidth="11.421875" defaultRowHeight="12.75"/>
  <cols>
    <col min="1" max="3" width="9.140625" style="0" customWidth="1"/>
    <col min="4" max="4" width="9.57421875" style="0" bestFit="1" customWidth="1"/>
    <col min="5" max="7" width="9.140625" style="0" customWidth="1"/>
    <col min="8" max="8" width="9.57421875" style="0" bestFit="1" customWidth="1"/>
    <col min="9" max="10" width="9.140625" style="0" customWidth="1"/>
    <col min="11" max="11" width="10.7109375" style="0" bestFit="1" customWidth="1"/>
    <col min="12" max="12" width="10.57421875" style="0" bestFit="1" customWidth="1"/>
    <col min="13" max="15" width="9.140625" style="0" customWidth="1"/>
    <col min="16" max="16" width="12.57421875" style="0" bestFit="1" customWidth="1"/>
    <col min="17" max="25" width="9.140625" style="0" customWidth="1"/>
    <col min="26" max="26" width="9.57421875" style="0" bestFit="1" customWidth="1"/>
    <col min="27" max="16384" width="9.140625" style="0" customWidth="1"/>
  </cols>
  <sheetData>
    <row r="2" spans="3:32" ht="12.75">
      <c r="C2" s="3" t="s">
        <v>69</v>
      </c>
      <c r="D2" s="3"/>
      <c r="E2" s="3"/>
      <c r="F2" s="3"/>
      <c r="G2" s="3"/>
      <c r="H2" s="3"/>
      <c r="S2" s="3" t="s">
        <v>39</v>
      </c>
      <c r="AF2" s="3"/>
    </row>
    <row r="3" spans="3:33" ht="12.75">
      <c r="C3" s="3"/>
      <c r="D3" s="3"/>
      <c r="E3" s="3"/>
      <c r="F3" s="3"/>
      <c r="G3" s="3"/>
      <c r="H3" s="3"/>
      <c r="S3" s="3" t="s">
        <v>47</v>
      </c>
      <c r="AG3" s="30"/>
    </row>
    <row r="4" spans="1:32" ht="14.25">
      <c r="A4" s="22" t="s">
        <v>8</v>
      </c>
      <c r="B4" s="22"/>
      <c r="C4" s="22"/>
      <c r="E4" s="4" t="s">
        <v>2</v>
      </c>
      <c r="F4" s="4" t="s">
        <v>3</v>
      </c>
      <c r="G4" s="4" t="s">
        <v>64</v>
      </c>
      <c r="H4" s="4" t="s">
        <v>66</v>
      </c>
      <c r="I4" s="4" t="s">
        <v>67</v>
      </c>
      <c r="J4" s="4" t="s">
        <v>79</v>
      </c>
      <c r="K4" s="4" t="s">
        <v>81</v>
      </c>
      <c r="L4" s="4" t="s">
        <v>82</v>
      </c>
      <c r="N4" s="26" t="s">
        <v>83</v>
      </c>
      <c r="O4" s="24">
        <v>1.022</v>
      </c>
      <c r="P4" s="14"/>
      <c r="AF4" s="30"/>
    </row>
    <row r="5" spans="1:27" ht="14.25">
      <c r="A5" s="23"/>
      <c r="B5" s="23"/>
      <c r="C5" s="23"/>
      <c r="E5" s="4" t="s">
        <v>1</v>
      </c>
      <c r="F5" s="4"/>
      <c r="G5" s="4" t="s">
        <v>1</v>
      </c>
      <c r="H5" s="4" t="s">
        <v>1</v>
      </c>
      <c r="I5" s="6" t="s">
        <v>65</v>
      </c>
      <c r="J5" s="6" t="s">
        <v>80</v>
      </c>
      <c r="K5" s="6" t="s">
        <v>65</v>
      </c>
      <c r="L5" s="6" t="s">
        <v>80</v>
      </c>
      <c r="N5" s="26"/>
      <c r="O5" s="24"/>
      <c r="P5" s="14"/>
      <c r="S5" s="22" t="s">
        <v>32</v>
      </c>
      <c r="T5" s="22" t="s">
        <v>7</v>
      </c>
      <c r="U5" s="22"/>
      <c r="V5" s="22"/>
      <c r="W5" s="22"/>
      <c r="X5" s="22"/>
      <c r="Y5" s="23"/>
      <c r="Z5" s="22" t="s">
        <v>37</v>
      </c>
      <c r="AA5" s="24">
        <v>1</v>
      </c>
    </row>
    <row r="6" spans="1:51" ht="12.75">
      <c r="A6" s="26" t="s">
        <v>9</v>
      </c>
      <c r="B6" s="24" t="s">
        <v>87</v>
      </c>
      <c r="C6" s="23"/>
      <c r="S6" s="22" t="s">
        <v>33</v>
      </c>
      <c r="T6" s="22" t="s">
        <v>34</v>
      </c>
      <c r="U6" s="22"/>
      <c r="V6" s="22"/>
      <c r="W6" s="22"/>
      <c r="X6" s="22"/>
      <c r="Y6" s="23"/>
      <c r="Z6" s="23"/>
      <c r="AA6" s="23"/>
      <c r="AE6" s="26" t="s">
        <v>9</v>
      </c>
      <c r="AF6" s="24" t="s">
        <v>70</v>
      </c>
      <c r="AG6" s="23"/>
      <c r="AH6" s="8"/>
      <c r="AI6" s="14"/>
      <c r="AJ6" s="29"/>
      <c r="AK6" s="21"/>
      <c r="AL6" s="14"/>
      <c r="AW6" s="6"/>
      <c r="AX6" s="4"/>
      <c r="AY6" s="9"/>
    </row>
    <row r="7" spans="1:51" ht="14.25">
      <c r="A7" s="26" t="s">
        <v>12</v>
      </c>
      <c r="B7" s="24">
        <v>10.4</v>
      </c>
      <c r="C7" s="23" t="s">
        <v>1</v>
      </c>
      <c r="E7" s="1">
        <v>0</v>
      </c>
      <c r="F7" s="1" t="s">
        <v>4</v>
      </c>
      <c r="G7" s="7">
        <f aca="true" t="shared" si="0" ref="G7:G19">+$B$9/2-E7</f>
        <v>14.765</v>
      </c>
      <c r="H7" s="7">
        <v>0</v>
      </c>
      <c r="I7" s="7">
        <v>0</v>
      </c>
      <c r="S7" s="22" t="s">
        <v>36</v>
      </c>
      <c r="T7" s="22" t="s">
        <v>35</v>
      </c>
      <c r="U7" s="22"/>
      <c r="V7" s="22"/>
      <c r="W7" s="22"/>
      <c r="X7" s="22"/>
      <c r="Y7" s="23"/>
      <c r="Z7" s="23"/>
      <c r="AA7" s="23"/>
      <c r="AE7" s="26" t="s">
        <v>12</v>
      </c>
      <c r="AF7" s="24">
        <v>7.04</v>
      </c>
      <c r="AG7" s="23" t="s">
        <v>1</v>
      </c>
      <c r="AH7" s="8"/>
      <c r="AJ7" s="16"/>
      <c r="AK7" s="17"/>
      <c r="AL7" s="18"/>
      <c r="AX7" s="4"/>
      <c r="AY7" s="4"/>
    </row>
    <row r="8" spans="1:38" ht="14.25">
      <c r="A8" s="26" t="s">
        <v>13</v>
      </c>
      <c r="B8" s="24">
        <v>0.61</v>
      </c>
      <c r="C8" s="23" t="s">
        <v>1</v>
      </c>
      <c r="E8" s="7">
        <f>+B17</f>
        <v>0.305</v>
      </c>
      <c r="F8" s="1" t="s">
        <v>4</v>
      </c>
      <c r="G8" s="7">
        <f t="shared" si="0"/>
        <v>14.46</v>
      </c>
      <c r="H8" s="42">
        <f aca="true" t="shared" si="1" ref="H8:H19">+(G7+G8)/2</f>
        <v>14.6125</v>
      </c>
      <c r="I8" s="7">
        <f>+$B$7*(E8-E7)</f>
        <v>3.172</v>
      </c>
      <c r="J8" s="11">
        <f>+$B$7*($B$17)^3/12+I8*H8^2</f>
        <v>677.3263852333334</v>
      </c>
      <c r="K8" s="42">
        <f aca="true" t="shared" si="2" ref="K8:K19">+I8*$O$4</f>
        <v>3.241784</v>
      </c>
      <c r="L8" s="11">
        <f>+B7*(B17)^3/12+K8*H8^2</f>
        <v>692.2270247370834</v>
      </c>
      <c r="S8" s="23"/>
      <c r="T8" s="23"/>
      <c r="U8" s="23"/>
      <c r="V8" s="23"/>
      <c r="W8" s="23"/>
      <c r="X8" s="23"/>
      <c r="Y8" s="23"/>
      <c r="Z8" s="23"/>
      <c r="AA8" s="23"/>
      <c r="AE8" s="26" t="s">
        <v>13</v>
      </c>
      <c r="AF8" s="24">
        <v>0.59</v>
      </c>
      <c r="AG8" s="23" t="s">
        <v>1</v>
      </c>
      <c r="AH8" s="8"/>
      <c r="AI8" s="14"/>
      <c r="AJ8" s="19"/>
      <c r="AK8" s="20"/>
      <c r="AL8" s="14"/>
    </row>
    <row r="9" spans="1:51" ht="14.25">
      <c r="A9" s="26" t="s">
        <v>14</v>
      </c>
      <c r="B9" s="24">
        <v>29.53</v>
      </c>
      <c r="C9" s="23" t="s">
        <v>1</v>
      </c>
      <c r="E9" s="7">
        <f>2*B17</f>
        <v>0.61</v>
      </c>
      <c r="F9" s="1" t="s">
        <v>4</v>
      </c>
      <c r="G9" s="7">
        <f t="shared" si="0"/>
        <v>14.155000000000001</v>
      </c>
      <c r="H9" s="42">
        <f t="shared" si="1"/>
        <v>14.307500000000001</v>
      </c>
      <c r="I9" s="7">
        <f>+$B$7*(E9-E8)</f>
        <v>3.172</v>
      </c>
      <c r="J9" s="11">
        <f>+$B$7*($B$17)^3/12+I9*H9^2</f>
        <v>649.3474420333334</v>
      </c>
      <c r="K9" s="42">
        <f t="shared" si="2"/>
        <v>3.241784</v>
      </c>
      <c r="L9" s="11">
        <f>+B7*(B17)^3/12+K9*H9^2</f>
        <v>663.6325447866834</v>
      </c>
      <c r="S9" s="22" t="s">
        <v>40</v>
      </c>
      <c r="T9" s="22"/>
      <c r="U9" s="22"/>
      <c r="V9" s="22" t="s">
        <v>54</v>
      </c>
      <c r="W9" s="22"/>
      <c r="X9" s="23"/>
      <c r="Y9" s="22" t="s">
        <v>30</v>
      </c>
      <c r="Z9" s="22"/>
      <c r="AA9" s="23"/>
      <c r="AE9" s="26" t="s">
        <v>14</v>
      </c>
      <c r="AF9" s="24">
        <v>23.74</v>
      </c>
      <c r="AG9" s="23" t="s">
        <v>1</v>
      </c>
      <c r="AW9" s="1"/>
      <c r="AX9" s="1"/>
      <c r="AY9" s="1"/>
    </row>
    <row r="10" spans="1:51" ht="14.25">
      <c r="A10" s="26" t="s">
        <v>15</v>
      </c>
      <c r="B10" s="24">
        <v>0.47</v>
      </c>
      <c r="C10" s="23" t="s">
        <v>1</v>
      </c>
      <c r="E10" s="7">
        <f aca="true" t="shared" si="3" ref="E10:E17">+E9+$B$18</f>
        <v>4.148750000000001</v>
      </c>
      <c r="F10" s="1" t="s">
        <v>5</v>
      </c>
      <c r="G10" s="7">
        <f t="shared" si="0"/>
        <v>10.61625</v>
      </c>
      <c r="H10" s="42">
        <f t="shared" si="1"/>
        <v>12.385625000000001</v>
      </c>
      <c r="I10" s="7">
        <f aca="true" t="shared" si="4" ref="I10:I17">+$B$10*(E10-E9)</f>
        <v>1.6632125000000002</v>
      </c>
      <c r="J10" s="11">
        <f aca="true" t="shared" si="5" ref="J10:J17">+$B$10*($B$18)^3/12+I10*H10^2</f>
        <v>256.878628842116</v>
      </c>
      <c r="K10" s="42">
        <f t="shared" si="2"/>
        <v>1.6998031750000002</v>
      </c>
      <c r="L10" s="11">
        <f>+B10*(B18)^3/12+K10*H10^2</f>
        <v>262.4917740155984</v>
      </c>
      <c r="S10" s="23"/>
      <c r="T10" s="23"/>
      <c r="U10" s="23"/>
      <c r="V10" s="23"/>
      <c r="W10" s="23"/>
      <c r="X10" s="23"/>
      <c r="Y10" s="25" t="s">
        <v>29</v>
      </c>
      <c r="Z10" s="22"/>
      <c r="AA10" s="23"/>
      <c r="AB10" s="4"/>
      <c r="AC10" s="4"/>
      <c r="AE10" s="26" t="s">
        <v>15</v>
      </c>
      <c r="AF10" s="24">
        <v>0.43</v>
      </c>
      <c r="AG10" s="23" t="s">
        <v>1</v>
      </c>
      <c r="AW10" s="1"/>
      <c r="AX10" s="1"/>
      <c r="AY10" s="11"/>
    </row>
    <row r="11" spans="1:51" ht="15">
      <c r="A11" s="26" t="s">
        <v>16</v>
      </c>
      <c r="B11" s="24">
        <v>283</v>
      </c>
      <c r="C11" s="23" t="s">
        <v>11</v>
      </c>
      <c r="E11" s="7">
        <f t="shared" si="3"/>
        <v>7.687500000000001</v>
      </c>
      <c r="F11" s="1" t="s">
        <v>5</v>
      </c>
      <c r="G11" s="7">
        <f t="shared" si="0"/>
        <v>7.0775</v>
      </c>
      <c r="H11" s="42">
        <f t="shared" si="1"/>
        <v>8.846875</v>
      </c>
      <c r="I11" s="7">
        <f t="shared" si="4"/>
        <v>1.6632125</v>
      </c>
      <c r="J11" s="11">
        <f t="shared" si="5"/>
        <v>131.91064724324872</v>
      </c>
      <c r="K11" s="42">
        <f t="shared" si="2"/>
        <v>1.699803175</v>
      </c>
      <c r="L11" s="11">
        <f>+B10*(B18)^3/12+K11*H11^2</f>
        <v>134.77449682155608</v>
      </c>
      <c r="R11" s="2"/>
      <c r="S11" s="26" t="s">
        <v>53</v>
      </c>
      <c r="T11" s="24">
        <v>31</v>
      </c>
      <c r="U11" s="23" t="s">
        <v>1</v>
      </c>
      <c r="V11" s="26" t="s">
        <v>9</v>
      </c>
      <c r="W11" s="24" t="s">
        <v>61</v>
      </c>
      <c r="X11" s="24"/>
      <c r="Y11" s="25" t="s">
        <v>49</v>
      </c>
      <c r="Z11" s="24">
        <v>0.5795</v>
      </c>
      <c r="AA11" s="23"/>
      <c r="AB11" s="4"/>
      <c r="AE11" s="26" t="s">
        <v>16</v>
      </c>
      <c r="AF11" s="24">
        <v>153</v>
      </c>
      <c r="AG11" s="23" t="s">
        <v>11</v>
      </c>
      <c r="AW11" s="1"/>
      <c r="AX11" s="1"/>
      <c r="AY11" s="1"/>
    </row>
    <row r="12" spans="1:51" ht="15">
      <c r="A12" s="26" t="s">
        <v>63</v>
      </c>
      <c r="B12" s="24">
        <v>245</v>
      </c>
      <c r="C12" s="23" t="s">
        <v>11</v>
      </c>
      <c r="E12" s="7">
        <f t="shared" si="3"/>
        <v>11.22625</v>
      </c>
      <c r="F12" s="1" t="s">
        <v>5</v>
      </c>
      <c r="G12" s="7">
        <f t="shared" si="0"/>
        <v>3.5387500000000003</v>
      </c>
      <c r="H12" s="42">
        <f t="shared" si="1"/>
        <v>5.308125</v>
      </c>
      <c r="I12" s="7">
        <f t="shared" si="4"/>
        <v>1.6632124999999995</v>
      </c>
      <c r="J12" s="11">
        <f t="shared" si="5"/>
        <v>48.59865951067057</v>
      </c>
      <c r="K12" s="42">
        <f t="shared" si="2"/>
        <v>1.6998031749999996</v>
      </c>
      <c r="L12" s="11">
        <f>+B10*(B18)^3/12+K12*H12^2</f>
        <v>49.629645358861225</v>
      </c>
      <c r="R12" s="2"/>
      <c r="S12" s="26" t="s">
        <v>42</v>
      </c>
      <c r="T12" s="24">
        <v>12</v>
      </c>
      <c r="U12" s="23" t="s">
        <v>1</v>
      </c>
      <c r="V12" s="26" t="s">
        <v>16</v>
      </c>
      <c r="W12" s="24">
        <v>801</v>
      </c>
      <c r="X12" s="23" t="s">
        <v>11</v>
      </c>
      <c r="AE12" s="26" t="s">
        <v>63</v>
      </c>
      <c r="AF12" s="24">
        <v>131</v>
      </c>
      <c r="AG12" s="23" t="s">
        <v>11</v>
      </c>
      <c r="AW12" s="1"/>
      <c r="AX12" s="1"/>
      <c r="AY12" s="1"/>
    </row>
    <row r="13" spans="1:51" ht="14.25">
      <c r="A13" s="26" t="s">
        <v>62</v>
      </c>
      <c r="B13" s="24">
        <v>50</v>
      </c>
      <c r="C13" s="23" t="s">
        <v>0</v>
      </c>
      <c r="E13" s="7">
        <f t="shared" si="3"/>
        <v>14.765</v>
      </c>
      <c r="F13" s="1" t="s">
        <v>5</v>
      </c>
      <c r="G13" s="7">
        <f t="shared" si="0"/>
        <v>0</v>
      </c>
      <c r="H13" s="42">
        <f t="shared" si="1"/>
        <v>1.7693750000000001</v>
      </c>
      <c r="I13" s="7">
        <f t="shared" si="4"/>
        <v>1.6632125</v>
      </c>
      <c r="J13" s="11">
        <f t="shared" si="5"/>
        <v>6.942665644381511</v>
      </c>
      <c r="K13" s="42">
        <f t="shared" si="2"/>
        <v>1.699803175</v>
      </c>
      <c r="L13" s="11">
        <f>+B10*(B18)^3/12+K13*H13^2</f>
        <v>7.057219627513806</v>
      </c>
      <c r="R13" s="2"/>
      <c r="S13" s="26" t="s">
        <v>43</v>
      </c>
      <c r="T13" s="24">
        <v>2</v>
      </c>
      <c r="U13" s="23" t="s">
        <v>1</v>
      </c>
      <c r="V13" s="25" t="s">
        <v>45</v>
      </c>
      <c r="W13" s="24">
        <v>1000</v>
      </c>
      <c r="X13" s="23" t="s">
        <v>20</v>
      </c>
      <c r="Y13" s="28" t="s">
        <v>41</v>
      </c>
      <c r="Z13" s="8">
        <v>4</v>
      </c>
      <c r="AA13" s="14"/>
      <c r="AE13" s="26" t="s">
        <v>62</v>
      </c>
      <c r="AF13" s="24">
        <v>50</v>
      </c>
      <c r="AG13" s="23" t="s">
        <v>0</v>
      </c>
      <c r="AW13" s="1"/>
      <c r="AX13" s="1"/>
      <c r="AY13" s="1"/>
    </row>
    <row r="14" spans="1:51" ht="15">
      <c r="A14" s="26" t="s">
        <v>77</v>
      </c>
      <c r="B14" s="24">
        <v>3620</v>
      </c>
      <c r="C14" s="23" t="s">
        <v>78</v>
      </c>
      <c r="E14" s="7">
        <f t="shared" si="3"/>
        <v>18.30375</v>
      </c>
      <c r="F14" s="1" t="s">
        <v>5</v>
      </c>
      <c r="G14" s="7">
        <f t="shared" si="0"/>
        <v>-3.5387500000000003</v>
      </c>
      <c r="H14" s="42">
        <f t="shared" si="1"/>
        <v>-1.7693750000000001</v>
      </c>
      <c r="I14" s="7">
        <f t="shared" si="4"/>
        <v>1.6632125</v>
      </c>
      <c r="J14" s="11">
        <f t="shared" si="5"/>
        <v>6.942665644381511</v>
      </c>
      <c r="K14" s="42">
        <f t="shared" si="2"/>
        <v>1.699803175</v>
      </c>
      <c r="L14" s="11">
        <f>+B10*(B18)^3/12+K14*H14^2</f>
        <v>7.057219627513806</v>
      </c>
      <c r="R14" s="2"/>
      <c r="S14" s="27" t="s">
        <v>50</v>
      </c>
      <c r="T14" s="24">
        <v>50</v>
      </c>
      <c r="U14" s="23" t="s">
        <v>0</v>
      </c>
      <c r="V14" s="27" t="s">
        <v>19</v>
      </c>
      <c r="W14" s="24">
        <v>50</v>
      </c>
      <c r="X14" s="23" t="s">
        <v>0</v>
      </c>
      <c r="Y14" s="5" t="s">
        <v>58</v>
      </c>
      <c r="Z14" s="8">
        <f>+T13/Z13</f>
        <v>0.5</v>
      </c>
      <c r="AA14" s="14" t="s">
        <v>1</v>
      </c>
      <c r="AB14" s="1"/>
      <c r="AC14" s="11"/>
      <c r="AE14" s="26" t="s">
        <v>77</v>
      </c>
      <c r="AF14" s="24">
        <v>1550</v>
      </c>
      <c r="AG14" s="23" t="s">
        <v>78</v>
      </c>
      <c r="AW14" s="1"/>
      <c r="AX14" s="1"/>
      <c r="AY14" s="1"/>
    </row>
    <row r="15" spans="1:51" ht="15">
      <c r="A15" s="28" t="s">
        <v>24</v>
      </c>
      <c r="B15" s="8">
        <v>2</v>
      </c>
      <c r="C15" s="14"/>
      <c r="E15" s="7">
        <f t="shared" si="3"/>
        <v>21.8425</v>
      </c>
      <c r="F15" s="1" t="s">
        <v>5</v>
      </c>
      <c r="G15" s="7">
        <f t="shared" si="0"/>
        <v>-7.077500000000001</v>
      </c>
      <c r="H15" s="42">
        <f t="shared" si="1"/>
        <v>-5.308125</v>
      </c>
      <c r="I15" s="7">
        <f t="shared" si="4"/>
        <v>1.6632125</v>
      </c>
      <c r="J15" s="11">
        <f t="shared" si="5"/>
        <v>48.59865951067058</v>
      </c>
      <c r="K15" s="42">
        <f t="shared" si="2"/>
        <v>1.699803175</v>
      </c>
      <c r="L15" s="11">
        <f>+B10*(B18)^3/12+K15*H15^2</f>
        <v>49.62964535886124</v>
      </c>
      <c r="R15" s="2"/>
      <c r="S15" s="27" t="s">
        <v>51</v>
      </c>
      <c r="T15" s="24">
        <f>+T14/B14</f>
        <v>0.013812154696132596</v>
      </c>
      <c r="U15" s="23"/>
      <c r="V15" s="25" t="s">
        <v>46</v>
      </c>
      <c r="W15" s="24">
        <v>117</v>
      </c>
      <c r="X15" s="23" t="s">
        <v>10</v>
      </c>
      <c r="Y15" s="5" t="s">
        <v>57</v>
      </c>
      <c r="Z15" s="8">
        <f>-T15*Z11</f>
        <v>-0.00800414364640884</v>
      </c>
      <c r="AA15" s="14"/>
      <c r="AB15" s="1"/>
      <c r="AC15" s="11"/>
      <c r="AE15" s="28" t="s">
        <v>24</v>
      </c>
      <c r="AF15" s="8">
        <v>2</v>
      </c>
      <c r="AG15" s="14"/>
      <c r="AW15" s="1"/>
      <c r="AX15" s="1"/>
      <c r="AY15" s="1"/>
    </row>
    <row r="16" spans="1:51" ht="14.25">
      <c r="A16" s="28" t="s">
        <v>25</v>
      </c>
      <c r="B16" s="8">
        <v>8</v>
      </c>
      <c r="C16" s="14"/>
      <c r="E16" s="7">
        <f t="shared" si="3"/>
        <v>25.38125</v>
      </c>
      <c r="F16" s="1" t="s">
        <v>5</v>
      </c>
      <c r="G16" s="7">
        <f t="shared" si="0"/>
        <v>-10.61625</v>
      </c>
      <c r="H16" s="42">
        <f t="shared" si="1"/>
        <v>-8.846875</v>
      </c>
      <c r="I16" s="7">
        <f t="shared" si="4"/>
        <v>1.6632125</v>
      </c>
      <c r="J16" s="11">
        <f t="shared" si="5"/>
        <v>131.91064724324872</v>
      </c>
      <c r="K16" s="42">
        <f t="shared" si="2"/>
        <v>1.699803175</v>
      </c>
      <c r="L16" s="11">
        <f>+B10*(B18)^3/12+K16*H16^2</f>
        <v>134.77449682155608</v>
      </c>
      <c r="R16" s="2"/>
      <c r="S16" s="26" t="s">
        <v>60</v>
      </c>
      <c r="T16" s="24">
        <f>+B9+2*T13</f>
        <v>33.53</v>
      </c>
      <c r="U16" s="23" t="s">
        <v>1</v>
      </c>
      <c r="V16" s="23"/>
      <c r="W16" s="23"/>
      <c r="X16" s="23"/>
      <c r="Y16" s="28" t="s">
        <v>38</v>
      </c>
      <c r="Z16" s="21" t="e">
        <f>+(Z17-T13)*Z11*T15/(Z17*#REF!)</f>
        <v>#REF!</v>
      </c>
      <c r="AA16" s="14"/>
      <c r="AB16" s="1"/>
      <c r="AC16" s="11"/>
      <c r="AE16" s="28" t="s">
        <v>25</v>
      </c>
      <c r="AF16" s="8">
        <v>8</v>
      </c>
      <c r="AG16" s="14"/>
      <c r="AW16" s="1"/>
      <c r="AX16" s="1"/>
      <c r="AY16" s="1"/>
    </row>
    <row r="17" spans="1:51" ht="14.25">
      <c r="A17" s="5" t="s">
        <v>26</v>
      </c>
      <c r="B17" s="8">
        <f>+B8/B15</f>
        <v>0.305</v>
      </c>
      <c r="C17" s="14" t="s">
        <v>1</v>
      </c>
      <c r="E17" s="7">
        <f t="shared" si="3"/>
        <v>28.92</v>
      </c>
      <c r="F17" s="1" t="s">
        <v>5</v>
      </c>
      <c r="G17" s="7">
        <f t="shared" si="0"/>
        <v>-14.155000000000001</v>
      </c>
      <c r="H17" s="42">
        <f t="shared" si="1"/>
        <v>-12.385625000000001</v>
      </c>
      <c r="I17" s="7">
        <f t="shared" si="4"/>
        <v>1.6632125</v>
      </c>
      <c r="J17" s="11">
        <f t="shared" si="5"/>
        <v>256.8786288421159</v>
      </c>
      <c r="K17" s="42">
        <f t="shared" si="2"/>
        <v>1.699803175</v>
      </c>
      <c r="L17" s="11">
        <f>+B10*(B18)^3/12+K17*H17^2</f>
        <v>262.49177401559837</v>
      </c>
      <c r="R17" s="2"/>
      <c r="S17" s="34" t="s">
        <v>56</v>
      </c>
      <c r="T17" s="14"/>
      <c r="U17" s="14"/>
      <c r="V17" s="14"/>
      <c r="W17" s="14"/>
      <c r="X17" s="14"/>
      <c r="Y17" s="28" t="s">
        <v>21</v>
      </c>
      <c r="Z17" s="20">
        <v>31.763788473624743</v>
      </c>
      <c r="AA17" s="14" t="s">
        <v>1</v>
      </c>
      <c r="AB17" s="1"/>
      <c r="AC17" s="11"/>
      <c r="AE17" s="5" t="s">
        <v>26</v>
      </c>
      <c r="AF17" s="8">
        <f>+AF8/AF15</f>
        <v>0.295</v>
      </c>
      <c r="AG17" s="14" t="s">
        <v>1</v>
      </c>
      <c r="AW17" s="1"/>
      <c r="AX17" s="1"/>
      <c r="AY17" s="1"/>
    </row>
    <row r="18" spans="1:51" ht="14.25">
      <c r="A18" s="5" t="s">
        <v>27</v>
      </c>
      <c r="B18" s="20">
        <f>+(B9-2*B8)/B16</f>
        <v>3.5387500000000003</v>
      </c>
      <c r="C18" s="14" t="s">
        <v>1</v>
      </c>
      <c r="E18" s="7">
        <f>+E17+$B$17</f>
        <v>29.225</v>
      </c>
      <c r="F18" s="1" t="s">
        <v>28</v>
      </c>
      <c r="G18" s="7">
        <f t="shared" si="0"/>
        <v>-14.46</v>
      </c>
      <c r="H18" s="42">
        <f t="shared" si="1"/>
        <v>-14.307500000000001</v>
      </c>
      <c r="I18" s="7">
        <f>+$B$7*(E18-E17)</f>
        <v>3.171999999999997</v>
      </c>
      <c r="J18" s="11">
        <f>+$B$7*($B$17)^3/12+I18*H18^2</f>
        <v>649.3474420333329</v>
      </c>
      <c r="K18" s="42">
        <f t="shared" si="2"/>
        <v>3.241783999999997</v>
      </c>
      <c r="L18" s="11">
        <f>+B7*(B17)^3/12+K18*H18^2</f>
        <v>663.6325447866828</v>
      </c>
      <c r="R18" s="2"/>
      <c r="S18" s="15" t="s">
        <v>52</v>
      </c>
      <c r="T18" s="8">
        <f>2*T14*(T12*T13)*(B9/2+T13/2)</f>
        <v>37836</v>
      </c>
      <c r="U18" s="14" t="s">
        <v>6</v>
      </c>
      <c r="V18" s="14"/>
      <c r="W18" s="14"/>
      <c r="X18" s="14"/>
      <c r="Y18" s="15" t="s">
        <v>22</v>
      </c>
      <c r="Z18" s="20">
        <f>+T16-Z17</f>
        <v>1.7662115263752582</v>
      </c>
      <c r="AA18" s="14" t="s">
        <v>1</v>
      </c>
      <c r="AB18" s="1"/>
      <c r="AC18" s="11"/>
      <c r="AE18" s="5" t="s">
        <v>27</v>
      </c>
      <c r="AF18" s="20">
        <f>+(AF9-2*AF8)/AF16</f>
        <v>2.82</v>
      </c>
      <c r="AG18" s="14" t="s">
        <v>1</v>
      </c>
      <c r="AW18" s="1"/>
      <c r="AX18" s="1"/>
      <c r="AY18" s="1"/>
    </row>
    <row r="19" spans="1:51" ht="15">
      <c r="A19" s="15" t="s">
        <v>17</v>
      </c>
      <c r="B19" s="21">
        <f>+B7*B8</f>
        <v>6.344</v>
      </c>
      <c r="C19" s="31" t="s">
        <v>59</v>
      </c>
      <c r="E19" s="7">
        <f>+E18+$B$17</f>
        <v>29.53</v>
      </c>
      <c r="F19" s="1" t="s">
        <v>28</v>
      </c>
      <c r="G19" s="7">
        <f t="shared" si="0"/>
        <v>-14.765</v>
      </c>
      <c r="H19" s="42">
        <f t="shared" si="1"/>
        <v>-14.6125</v>
      </c>
      <c r="I19" s="7">
        <f>+$B$7*(E19-E18)</f>
        <v>3.171999999999997</v>
      </c>
      <c r="J19" s="11">
        <f>+$B$7*($B$17)^3/12+I19*H19^2</f>
        <v>677.3263852333328</v>
      </c>
      <c r="K19" s="42">
        <f t="shared" si="2"/>
        <v>3.241783999999997</v>
      </c>
      <c r="L19" s="11">
        <f>+B7*(B17)^3/12+K19*H19^2</f>
        <v>692.2270247370827</v>
      </c>
      <c r="S19" s="15" t="s">
        <v>44</v>
      </c>
      <c r="T19" s="8">
        <f>+B21+T18</f>
        <v>51986</v>
      </c>
      <c r="U19" s="14" t="s">
        <v>6</v>
      </c>
      <c r="V19" s="35" t="s">
        <v>55</v>
      </c>
      <c r="W19" s="14"/>
      <c r="X19" s="21">
        <f>+T20/T19</f>
        <v>0.6387074626600653</v>
      </c>
      <c r="Y19" s="5" t="s">
        <v>23</v>
      </c>
      <c r="Z19" s="32">
        <f>+ABS(Z15/Z17)</f>
        <v>0.00025198957778777334</v>
      </c>
      <c r="AA19" s="14" t="s">
        <v>31</v>
      </c>
      <c r="AB19" s="1"/>
      <c r="AC19" s="11"/>
      <c r="AE19" s="15" t="s">
        <v>17</v>
      </c>
      <c r="AF19" s="21">
        <f>+AF7*AF8</f>
        <v>4.1536</v>
      </c>
      <c r="AG19" s="31" t="s">
        <v>59</v>
      </c>
      <c r="AW19" s="1"/>
      <c r="AX19" s="1"/>
      <c r="AY19" s="1"/>
    </row>
    <row r="20" spans="1:51" ht="15">
      <c r="A20" s="15" t="s">
        <v>18</v>
      </c>
      <c r="B20" s="21">
        <f>+(B9-2*B8)*B10</f>
        <v>13.3057</v>
      </c>
      <c r="C20" s="14" t="s">
        <v>10</v>
      </c>
      <c r="D20" s="16"/>
      <c r="J20" s="11"/>
      <c r="R20" s="2"/>
      <c r="S20" s="15" t="s">
        <v>48</v>
      </c>
      <c r="T20" s="14">
        <f>+W12*(W14-W13/W15)</f>
        <v>33203.846153846156</v>
      </c>
      <c r="U20" s="14" t="s">
        <v>6</v>
      </c>
      <c r="V20" s="14"/>
      <c r="W20" s="14"/>
      <c r="X20" s="14"/>
      <c r="Y20" s="28"/>
      <c r="Z20" s="21"/>
      <c r="AA20" s="33"/>
      <c r="AB20" s="1"/>
      <c r="AC20" s="11"/>
      <c r="AE20" s="15" t="s">
        <v>18</v>
      </c>
      <c r="AF20" s="21">
        <f>+(AF9-2*AF8)*AF10</f>
        <v>9.7008</v>
      </c>
      <c r="AG20" s="14" t="s">
        <v>10</v>
      </c>
      <c r="AW20" s="1"/>
      <c r="AX20" s="1"/>
      <c r="AY20" s="1"/>
    </row>
    <row r="21" spans="1:51" ht="14.25">
      <c r="A21" s="15" t="s">
        <v>75</v>
      </c>
      <c r="B21" s="8">
        <f>+B11*B13</f>
        <v>14150</v>
      </c>
      <c r="C21" s="14" t="s">
        <v>6</v>
      </c>
      <c r="E21" s="15" t="s">
        <v>73</v>
      </c>
      <c r="F21" s="11">
        <f>+B13*(K21)</f>
        <v>1328.2780699999994</v>
      </c>
      <c r="G21" s="41" t="s">
        <v>20</v>
      </c>
      <c r="H21" s="5" t="s">
        <v>68</v>
      </c>
      <c r="I21" s="7">
        <f>+SUM(I7:I19)</f>
        <v>25.993699999999997</v>
      </c>
      <c r="J21" s="11">
        <f>+SUM(J7:J19)</f>
        <v>3542.008857014166</v>
      </c>
      <c r="K21" s="7">
        <f>+SUM(K7:K19)</f>
        <v>26.56556139999999</v>
      </c>
      <c r="L21" s="11">
        <f>+SUM(L7:L19)</f>
        <v>3619.6254106945917</v>
      </c>
      <c r="R21" s="2"/>
      <c r="AB21" s="1"/>
      <c r="AC21" s="11"/>
      <c r="AE21" s="15" t="s">
        <v>75</v>
      </c>
      <c r="AF21" s="8">
        <f>+AF11*AF13</f>
        <v>7650</v>
      </c>
      <c r="AG21" s="14" t="s">
        <v>6</v>
      </c>
      <c r="AW21" s="1"/>
      <c r="AX21" s="1"/>
      <c r="AY21" s="1"/>
    </row>
    <row r="22" spans="2:51" ht="14.25">
      <c r="B22" s="7"/>
      <c r="C22" s="1"/>
      <c r="D22" s="1"/>
      <c r="E22" s="15" t="s">
        <v>76</v>
      </c>
      <c r="F22" s="1">
        <f>+B12*B13</f>
        <v>12250</v>
      </c>
      <c r="G22" s="41" t="s">
        <v>74</v>
      </c>
      <c r="H22" s="15" t="s">
        <v>71</v>
      </c>
      <c r="I22" s="38">
        <f>+B9*B10</f>
        <v>13.8791</v>
      </c>
      <c r="J22" s="2"/>
      <c r="K22" s="4"/>
      <c r="L22" s="4"/>
      <c r="M22" s="4"/>
      <c r="N22" s="4"/>
      <c r="O22" s="4"/>
      <c r="P22" s="4"/>
      <c r="Q22" s="10"/>
      <c r="R22" s="10"/>
      <c r="U22" s="1"/>
      <c r="V22" s="1"/>
      <c r="W22" s="1"/>
      <c r="X22" s="1"/>
      <c r="Y22" s="1"/>
      <c r="Z22" s="7"/>
      <c r="AA22" s="1"/>
      <c r="AB22" s="1"/>
      <c r="AC22" s="11"/>
      <c r="AW22" s="1"/>
      <c r="AX22" s="1"/>
      <c r="AY22" s="1"/>
    </row>
    <row r="23" spans="11:51" ht="12.75">
      <c r="K23" s="4"/>
      <c r="L23" s="4"/>
      <c r="M23" s="4"/>
      <c r="N23" s="4"/>
      <c r="O23" s="4"/>
      <c r="P23" s="4"/>
      <c r="Q23" s="4"/>
      <c r="R23" s="4"/>
      <c r="AW23" s="1"/>
      <c r="AX23" s="1"/>
      <c r="AY23" s="1"/>
    </row>
    <row r="24" spans="1:51" ht="14.25">
      <c r="A24" s="22" t="s">
        <v>8</v>
      </c>
      <c r="B24" s="22"/>
      <c r="C24" s="22"/>
      <c r="E24" s="4" t="s">
        <v>2</v>
      </c>
      <c r="F24" s="4" t="s">
        <v>3</v>
      </c>
      <c r="G24" s="4" t="s">
        <v>64</v>
      </c>
      <c r="H24" s="4" t="s">
        <v>66</v>
      </c>
      <c r="I24" s="4" t="s">
        <v>67</v>
      </c>
      <c r="J24" s="4" t="s">
        <v>79</v>
      </c>
      <c r="K24" s="4" t="s">
        <v>81</v>
      </c>
      <c r="L24" s="4" t="s">
        <v>82</v>
      </c>
      <c r="N24" s="26" t="s">
        <v>83</v>
      </c>
      <c r="O24" s="24">
        <v>1.018</v>
      </c>
      <c r="Q24" s="4"/>
      <c r="R24" s="3"/>
      <c r="AW24" s="1"/>
      <c r="AX24" s="1"/>
      <c r="AY24" s="1"/>
    </row>
    <row r="25" spans="1:51" ht="14.25">
      <c r="A25" s="23"/>
      <c r="B25" s="23"/>
      <c r="C25" s="23"/>
      <c r="E25" s="4" t="s">
        <v>1</v>
      </c>
      <c r="F25" s="4"/>
      <c r="G25" s="4" t="s">
        <v>1</v>
      </c>
      <c r="H25" s="4" t="s">
        <v>1</v>
      </c>
      <c r="I25" s="6" t="s">
        <v>65</v>
      </c>
      <c r="J25" s="6" t="s">
        <v>80</v>
      </c>
      <c r="K25" s="6" t="s">
        <v>65</v>
      </c>
      <c r="L25" s="6" t="s">
        <v>80</v>
      </c>
      <c r="N25" s="26"/>
      <c r="O25" s="24"/>
      <c r="P25" s="1"/>
      <c r="Q25" s="11"/>
      <c r="R25" s="11"/>
      <c r="AW25" s="1"/>
      <c r="AX25" s="1"/>
      <c r="AY25" s="1"/>
    </row>
    <row r="26" spans="1:51" ht="12.75">
      <c r="A26" s="26" t="s">
        <v>9</v>
      </c>
      <c r="B26" s="24" t="s">
        <v>88</v>
      </c>
      <c r="C26" s="23"/>
      <c r="P26" s="11"/>
      <c r="Q26" s="11"/>
      <c r="R26" s="11"/>
      <c r="AQ26" s="4"/>
      <c r="AR26" s="4"/>
      <c r="AX26" s="1"/>
      <c r="AY26" s="1"/>
    </row>
    <row r="27" spans="1:51" ht="14.25">
      <c r="A27" s="26" t="s">
        <v>12</v>
      </c>
      <c r="B27" s="24">
        <v>11.48</v>
      </c>
      <c r="C27" s="23" t="s">
        <v>1</v>
      </c>
      <c r="E27" s="1">
        <v>0</v>
      </c>
      <c r="F27" s="1" t="s">
        <v>4</v>
      </c>
      <c r="G27" s="7">
        <f aca="true" t="shared" si="6" ref="G27:G39">+$B$29/2-E27</f>
        <v>16.43</v>
      </c>
      <c r="H27" s="7">
        <v>0</v>
      </c>
      <c r="I27" s="7">
        <v>0</v>
      </c>
      <c r="P27" s="11"/>
      <c r="Q27" s="11"/>
      <c r="R27" s="11"/>
      <c r="AQ27" s="4"/>
      <c r="AR27" s="4"/>
      <c r="AW27" s="1"/>
      <c r="AX27" s="1"/>
      <c r="AY27" s="1"/>
    </row>
    <row r="28" spans="1:51" ht="14.25">
      <c r="A28" s="26" t="s">
        <v>13</v>
      </c>
      <c r="B28" s="24">
        <v>0.74</v>
      </c>
      <c r="C28" s="23" t="s">
        <v>1</v>
      </c>
      <c r="E28" s="7">
        <f>+B37</f>
        <v>0.37</v>
      </c>
      <c r="F28" s="1" t="s">
        <v>4</v>
      </c>
      <c r="G28" s="7">
        <f t="shared" si="6"/>
        <v>16.06</v>
      </c>
      <c r="H28" s="42">
        <f aca="true" t="shared" si="7" ref="H28:H39">+(G27+G28)/2</f>
        <v>16.244999999999997</v>
      </c>
      <c r="I28" s="7">
        <f>+$B$27*(E28-E27)</f>
        <v>4.2476</v>
      </c>
      <c r="J28" s="11">
        <f>+$B$27*($B$37)^3/12+I28*H28^2</f>
        <v>1120.9902042266665</v>
      </c>
      <c r="K28" s="42">
        <f aca="true" t="shared" si="8" ref="K28:K39">+I28*$O$24</f>
        <v>4.3240568</v>
      </c>
      <c r="L28" s="11">
        <f>+B27*(B37)^3/12+K28*H28^2</f>
        <v>1141.1671556580864</v>
      </c>
      <c r="P28" s="11"/>
      <c r="Q28" s="11"/>
      <c r="R28" s="11"/>
      <c r="T28" s="1"/>
      <c r="U28" s="1"/>
      <c r="V28" s="1"/>
      <c r="W28" s="1"/>
      <c r="X28" s="1"/>
      <c r="Y28" s="1"/>
      <c r="AX28" s="1"/>
      <c r="AY28" s="1"/>
    </row>
    <row r="29" spans="1:51" ht="14.25">
      <c r="A29" s="26" t="s">
        <v>14</v>
      </c>
      <c r="B29" s="24">
        <v>32.86</v>
      </c>
      <c r="C29" s="23" t="s">
        <v>1</v>
      </c>
      <c r="E29" s="7">
        <f>2*B37</f>
        <v>0.74</v>
      </c>
      <c r="F29" s="1" t="s">
        <v>4</v>
      </c>
      <c r="G29" s="7">
        <f t="shared" si="6"/>
        <v>15.69</v>
      </c>
      <c r="H29" s="42">
        <f t="shared" si="7"/>
        <v>15.875</v>
      </c>
      <c r="I29" s="7">
        <f>+$B$27*(E29-E28)</f>
        <v>4.2476</v>
      </c>
      <c r="J29" s="11">
        <f>+$B$27*($B$37)^3/12+I29*H29^2</f>
        <v>1070.5100267866667</v>
      </c>
      <c r="K29" s="42">
        <f t="shared" si="8"/>
        <v>4.3240568</v>
      </c>
      <c r="L29" s="11">
        <f>+B27*(B37)^3/12+K29*H29^2</f>
        <v>1089.7783350241668</v>
      </c>
      <c r="P29" s="11"/>
      <c r="Q29" s="11"/>
      <c r="R29" s="11"/>
      <c r="T29" s="1"/>
      <c r="U29" s="1"/>
      <c r="V29" s="1"/>
      <c r="W29" s="1"/>
      <c r="X29" s="1"/>
      <c r="Y29" s="1"/>
      <c r="AQ29" s="1"/>
      <c r="AR29" s="11"/>
      <c r="AW29" s="1"/>
      <c r="AX29" s="1"/>
      <c r="AY29" s="1"/>
    </row>
    <row r="30" spans="1:51" ht="14.25">
      <c r="A30" s="26" t="s">
        <v>15</v>
      </c>
      <c r="B30" s="24">
        <v>0.55</v>
      </c>
      <c r="C30" s="23" t="s">
        <v>1</v>
      </c>
      <c r="E30" s="7">
        <f aca="true" t="shared" si="9" ref="E30:E37">+E29+$B$38</f>
        <v>4.6625</v>
      </c>
      <c r="F30" s="1" t="s">
        <v>5</v>
      </c>
      <c r="G30" s="7">
        <f t="shared" si="6"/>
        <v>11.7675</v>
      </c>
      <c r="H30" s="42">
        <f t="shared" si="7"/>
        <v>13.72875</v>
      </c>
      <c r="I30" s="7">
        <f aca="true" t="shared" si="10" ref="I30:I37">+$B$30*(E30-E29)</f>
        <v>2.157375</v>
      </c>
      <c r="J30" s="11">
        <f aca="true" t="shared" si="11" ref="J30:J37">+$B$30*($B$38)^3/12+I30*H30^2</f>
        <v>409.3850845476562</v>
      </c>
      <c r="K30" s="42">
        <f t="shared" si="8"/>
        <v>2.19620775</v>
      </c>
      <c r="L30" s="11">
        <f>+B30*(B38)^3/12+K30*H30^2</f>
        <v>416.7042259916637</v>
      </c>
      <c r="P30" s="11"/>
      <c r="Q30" s="11"/>
      <c r="R30" s="11"/>
      <c r="AQ30" s="1"/>
      <c r="AR30" s="11"/>
      <c r="AX30" s="1"/>
      <c r="AY30" s="1"/>
    </row>
    <row r="31" spans="1:44" ht="15">
      <c r="A31" s="26" t="s">
        <v>16</v>
      </c>
      <c r="B31" s="24">
        <v>415</v>
      </c>
      <c r="C31" s="23" t="s">
        <v>11</v>
      </c>
      <c r="E31" s="7">
        <f t="shared" si="9"/>
        <v>8.584999999999999</v>
      </c>
      <c r="F31" s="1" t="s">
        <v>5</v>
      </c>
      <c r="G31" s="7">
        <f t="shared" si="6"/>
        <v>7.845000000000001</v>
      </c>
      <c r="H31" s="42">
        <f t="shared" si="7"/>
        <v>9.80625</v>
      </c>
      <c r="I31" s="7">
        <f t="shared" si="10"/>
        <v>2.157375</v>
      </c>
      <c r="J31" s="11">
        <f t="shared" si="11"/>
        <v>210.22477314609378</v>
      </c>
      <c r="K31" s="42">
        <f t="shared" si="8"/>
        <v>2.19620775</v>
      </c>
      <c r="L31" s="11">
        <f>+B30*(B38)^3/12+K31*H31^2</f>
        <v>213.95902898487307</v>
      </c>
      <c r="P31" s="11"/>
      <c r="Q31" s="11"/>
      <c r="R31" s="11"/>
      <c r="AG31" s="3"/>
      <c r="AQ31" s="1"/>
      <c r="AR31" s="11"/>
    </row>
    <row r="32" spans="1:44" ht="15">
      <c r="A32" s="26" t="s">
        <v>63</v>
      </c>
      <c r="B32" s="24">
        <v>359</v>
      </c>
      <c r="C32" s="23" t="s">
        <v>11</v>
      </c>
      <c r="E32" s="7">
        <f t="shared" si="9"/>
        <v>12.507499999999999</v>
      </c>
      <c r="F32" s="1" t="s">
        <v>5</v>
      </c>
      <c r="G32" s="7">
        <f t="shared" si="6"/>
        <v>3.922500000000001</v>
      </c>
      <c r="H32" s="42">
        <f t="shared" si="7"/>
        <v>5.883750000000001</v>
      </c>
      <c r="I32" s="7">
        <f t="shared" si="10"/>
        <v>2.157375</v>
      </c>
      <c r="J32" s="11">
        <f t="shared" si="11"/>
        <v>77.45123221171878</v>
      </c>
      <c r="K32" s="42">
        <f t="shared" si="8"/>
        <v>2.19620775</v>
      </c>
      <c r="L32" s="11">
        <f>+B30*(B38)^3/12+K32*H32^2</f>
        <v>78.79556431367932</v>
      </c>
      <c r="P32" s="11"/>
      <c r="Q32" s="11"/>
      <c r="R32" s="11"/>
      <c r="T32" s="1"/>
      <c r="U32" s="1"/>
      <c r="V32" s="1"/>
      <c r="W32" s="1"/>
      <c r="X32" s="1"/>
      <c r="Y32" s="1"/>
      <c r="AG32" s="3"/>
      <c r="AQ32" s="1"/>
      <c r="AR32" s="11"/>
    </row>
    <row r="33" spans="1:44" ht="14.25">
      <c r="A33" s="26" t="s">
        <v>62</v>
      </c>
      <c r="B33" s="24">
        <v>50</v>
      </c>
      <c r="C33" s="23" t="s">
        <v>0</v>
      </c>
      <c r="E33" s="7">
        <f t="shared" si="9"/>
        <v>16.43</v>
      </c>
      <c r="F33" s="1" t="s">
        <v>5</v>
      </c>
      <c r="G33" s="7">
        <f t="shared" si="6"/>
        <v>0</v>
      </c>
      <c r="H33" s="42">
        <f t="shared" si="7"/>
        <v>1.9612500000000006</v>
      </c>
      <c r="I33" s="7">
        <f t="shared" si="10"/>
        <v>2.157375000000001</v>
      </c>
      <c r="J33" s="11">
        <f t="shared" si="11"/>
        <v>11.06446174453126</v>
      </c>
      <c r="K33" s="42">
        <f t="shared" si="8"/>
        <v>2.196207750000001</v>
      </c>
      <c r="L33" s="11">
        <f>+B30*(B38)^3/12+K33*H33^2</f>
        <v>11.213831978082432</v>
      </c>
      <c r="P33" s="11"/>
      <c r="Q33" s="11"/>
      <c r="R33" s="11"/>
      <c r="T33" s="1"/>
      <c r="U33" s="1"/>
      <c r="V33" s="1"/>
      <c r="W33" s="1"/>
      <c r="X33" s="1"/>
      <c r="Y33" s="1"/>
      <c r="AF33" s="3"/>
      <c r="AQ33" s="1"/>
      <c r="AR33" s="11"/>
    </row>
    <row r="34" spans="1:44" ht="14.25">
      <c r="A34" s="26" t="s">
        <v>77</v>
      </c>
      <c r="B34" s="24">
        <v>5900</v>
      </c>
      <c r="C34" s="23" t="s">
        <v>78</v>
      </c>
      <c r="E34" s="7">
        <f t="shared" si="9"/>
        <v>20.3525</v>
      </c>
      <c r="F34" s="1" t="s">
        <v>5</v>
      </c>
      <c r="G34" s="7">
        <f t="shared" si="6"/>
        <v>-3.9224999999999994</v>
      </c>
      <c r="H34" s="42">
        <f t="shared" si="7"/>
        <v>-1.9612499999999997</v>
      </c>
      <c r="I34" s="7">
        <f t="shared" si="10"/>
        <v>2.157375</v>
      </c>
      <c r="J34" s="11">
        <f t="shared" si="11"/>
        <v>11.064461744531249</v>
      </c>
      <c r="K34" s="42">
        <f t="shared" si="8"/>
        <v>2.19620775</v>
      </c>
      <c r="L34" s="11">
        <f>+B30*(B38)^3/12+K34*H34^2</f>
        <v>11.21383197808242</v>
      </c>
      <c r="P34" s="11"/>
      <c r="Q34" s="11"/>
      <c r="R34" s="11"/>
      <c r="T34" s="1"/>
      <c r="U34" s="1"/>
      <c r="V34" s="1"/>
      <c r="W34" s="1"/>
      <c r="X34" s="1"/>
      <c r="Y34" s="1"/>
      <c r="AQ34" s="1"/>
      <c r="AR34" s="11"/>
    </row>
    <row r="35" spans="1:44" ht="14.25">
      <c r="A35" s="28" t="s">
        <v>24</v>
      </c>
      <c r="B35" s="8">
        <v>2</v>
      </c>
      <c r="C35" s="14"/>
      <c r="E35" s="7">
        <f t="shared" si="9"/>
        <v>24.275</v>
      </c>
      <c r="F35" s="1" t="s">
        <v>5</v>
      </c>
      <c r="G35" s="7">
        <f t="shared" si="6"/>
        <v>-7.844999999999999</v>
      </c>
      <c r="H35" s="42">
        <f t="shared" si="7"/>
        <v>-5.883749999999999</v>
      </c>
      <c r="I35" s="7">
        <f t="shared" si="10"/>
        <v>2.157375</v>
      </c>
      <c r="J35" s="11">
        <f t="shared" si="11"/>
        <v>77.45123221171873</v>
      </c>
      <c r="K35" s="42">
        <f t="shared" si="8"/>
        <v>2.19620775</v>
      </c>
      <c r="L35" s="11">
        <f>+B30*(B38)^3/12+K35*H35^2</f>
        <v>78.79556431367928</v>
      </c>
      <c r="P35" s="11"/>
      <c r="Q35" s="11"/>
      <c r="R35" s="11"/>
      <c r="T35" s="1"/>
      <c r="U35" s="1"/>
      <c r="V35" s="1"/>
      <c r="W35" s="1"/>
      <c r="X35" s="1"/>
      <c r="Y35" s="1"/>
      <c r="AQ35" s="1"/>
      <c r="AR35" s="11"/>
    </row>
    <row r="36" spans="1:44" ht="14.25">
      <c r="A36" s="28" t="s">
        <v>25</v>
      </c>
      <c r="B36" s="8">
        <v>8</v>
      </c>
      <c r="C36" s="14"/>
      <c r="E36" s="7">
        <f t="shared" si="9"/>
        <v>28.197499999999998</v>
      </c>
      <c r="F36" s="1" t="s">
        <v>5</v>
      </c>
      <c r="G36" s="7">
        <f t="shared" si="6"/>
        <v>-11.767499999999998</v>
      </c>
      <c r="H36" s="42">
        <f t="shared" si="7"/>
        <v>-9.806249999999999</v>
      </c>
      <c r="I36" s="7">
        <f t="shared" si="10"/>
        <v>2.157375</v>
      </c>
      <c r="J36" s="11">
        <f t="shared" si="11"/>
        <v>210.2247731460937</v>
      </c>
      <c r="K36" s="42">
        <f t="shared" si="8"/>
        <v>2.19620775</v>
      </c>
      <c r="L36" s="11">
        <f>+B30*(B38)^3/12+K36*H36^2</f>
        <v>213.95902898487302</v>
      </c>
      <c r="P36" s="11"/>
      <c r="Q36" s="11"/>
      <c r="R36" s="11"/>
      <c r="T36" s="1"/>
      <c r="U36" s="1"/>
      <c r="V36" s="1"/>
      <c r="W36" s="1"/>
      <c r="X36" s="1"/>
      <c r="Y36" s="1"/>
      <c r="AQ36" s="1"/>
      <c r="AR36" s="11"/>
    </row>
    <row r="37" spans="1:44" ht="14.25">
      <c r="A37" s="5" t="s">
        <v>26</v>
      </c>
      <c r="B37" s="8">
        <f>+B28/B35</f>
        <v>0.37</v>
      </c>
      <c r="C37" s="14" t="s">
        <v>1</v>
      </c>
      <c r="E37" s="7">
        <f t="shared" si="9"/>
        <v>32.12</v>
      </c>
      <c r="F37" s="1" t="s">
        <v>5</v>
      </c>
      <c r="G37" s="7">
        <f t="shared" si="6"/>
        <v>-15.689999999999998</v>
      </c>
      <c r="H37" s="42">
        <f t="shared" si="7"/>
        <v>-13.728749999999998</v>
      </c>
      <c r="I37" s="7">
        <f t="shared" si="10"/>
        <v>2.157375</v>
      </c>
      <c r="J37" s="11">
        <f t="shared" si="11"/>
        <v>409.3850845476561</v>
      </c>
      <c r="K37" s="42">
        <f t="shared" si="8"/>
        <v>2.19620775</v>
      </c>
      <c r="L37" s="11">
        <f>+B30*(B38)^3/12+K37*H37^2</f>
        <v>416.7042259916635</v>
      </c>
      <c r="P37" s="11"/>
      <c r="Q37" s="11"/>
      <c r="R37" s="11"/>
      <c r="T37" s="1"/>
      <c r="U37" s="1"/>
      <c r="V37" s="1"/>
      <c r="W37" s="1"/>
      <c r="X37" s="1"/>
      <c r="Y37" s="1"/>
      <c r="AQ37" s="1"/>
      <c r="AR37" s="11"/>
    </row>
    <row r="38" spans="1:44" ht="14.25">
      <c r="A38" s="5" t="s">
        <v>27</v>
      </c>
      <c r="B38" s="20">
        <f>+(B29-2*B28)/B36</f>
        <v>3.9225</v>
      </c>
      <c r="C38" s="14" t="s">
        <v>1</v>
      </c>
      <c r="E38" s="7">
        <f>+E37+$B$37</f>
        <v>32.489999999999995</v>
      </c>
      <c r="F38" s="1" t="s">
        <v>28</v>
      </c>
      <c r="G38" s="7">
        <f t="shared" si="6"/>
        <v>-16.059999999999995</v>
      </c>
      <c r="H38" s="42">
        <f t="shared" si="7"/>
        <v>-15.874999999999996</v>
      </c>
      <c r="I38" s="7">
        <f>+$B$27*(E38-E37)</f>
        <v>4.247599999999971</v>
      </c>
      <c r="J38" s="11">
        <f>+$B$27*($B$37)^3/12+I38*H38^2</f>
        <v>1070.510026786659</v>
      </c>
      <c r="K38" s="42">
        <f t="shared" si="8"/>
        <v>4.324056799999971</v>
      </c>
      <c r="L38" s="11">
        <f>+B27*(B37)^3/12+K38*H38^2</f>
        <v>1089.7783350241589</v>
      </c>
      <c r="P38" s="11"/>
      <c r="Q38" s="11"/>
      <c r="R38" s="11"/>
      <c r="T38" s="1"/>
      <c r="U38" s="1"/>
      <c r="V38" s="1"/>
      <c r="W38" s="1"/>
      <c r="X38" s="1"/>
      <c r="Y38" s="1"/>
      <c r="AQ38" s="1"/>
      <c r="AR38" s="11"/>
    </row>
    <row r="39" spans="1:44" ht="15">
      <c r="A39" s="15" t="s">
        <v>17</v>
      </c>
      <c r="B39" s="21">
        <f>+B27*B28</f>
        <v>8.4952</v>
      </c>
      <c r="C39" s="31" t="s">
        <v>59</v>
      </c>
      <c r="E39" s="7">
        <f>+E38+$B$37</f>
        <v>32.85999999999999</v>
      </c>
      <c r="F39" s="1" t="s">
        <v>28</v>
      </c>
      <c r="G39" s="7">
        <f t="shared" si="6"/>
        <v>-16.429999999999993</v>
      </c>
      <c r="H39" s="42">
        <f t="shared" si="7"/>
        <v>-16.244999999999994</v>
      </c>
      <c r="I39" s="7">
        <f>+$B$27*(E39-E38)</f>
        <v>4.247599999999971</v>
      </c>
      <c r="J39" s="11">
        <f>+$B$27*($B$37)^3/12+I39*H39^2</f>
        <v>1120.9902042266583</v>
      </c>
      <c r="K39" s="42">
        <f t="shared" si="8"/>
        <v>4.324056799999971</v>
      </c>
      <c r="L39" s="11">
        <f>+B27*(B37)^3/12+K39*H39^2</f>
        <v>1141.1671556580782</v>
      </c>
      <c r="P39" s="11"/>
      <c r="Q39" s="11"/>
      <c r="R39" s="11"/>
      <c r="T39" s="1"/>
      <c r="U39" s="1"/>
      <c r="V39" s="1"/>
      <c r="W39" s="1"/>
      <c r="X39" s="1"/>
      <c r="Y39" s="1"/>
      <c r="AQ39" s="1"/>
      <c r="AR39" s="11"/>
    </row>
    <row r="40" spans="1:44" ht="15">
      <c r="A40" s="15" t="s">
        <v>18</v>
      </c>
      <c r="B40" s="21">
        <f>+(B29-2*B28)*B30</f>
        <v>17.259</v>
      </c>
      <c r="C40" s="14" t="s">
        <v>10</v>
      </c>
      <c r="D40" s="16"/>
      <c r="E40" s="7"/>
      <c r="F40" s="1"/>
      <c r="G40" s="1"/>
      <c r="J40" s="11"/>
      <c r="P40" s="11"/>
      <c r="Q40" s="11"/>
      <c r="R40" s="11"/>
      <c r="T40" s="1"/>
      <c r="U40" s="1"/>
      <c r="V40" s="1"/>
      <c r="W40" s="1"/>
      <c r="X40" s="1"/>
      <c r="Y40" s="1"/>
      <c r="AQ40" s="1"/>
      <c r="AR40" s="11"/>
    </row>
    <row r="41" spans="1:44" ht="14.25">
      <c r="A41" s="15" t="s">
        <v>75</v>
      </c>
      <c r="B41" s="8">
        <f>+B31*B33</f>
        <v>20750</v>
      </c>
      <c r="C41" s="14" t="s">
        <v>6</v>
      </c>
      <c r="E41" s="15" t="s">
        <v>73</v>
      </c>
      <c r="F41" s="11">
        <f>+B33*(K41)</f>
        <v>1743.2944599999971</v>
      </c>
      <c r="G41" s="41" t="s">
        <v>20</v>
      </c>
      <c r="H41" s="5" t="s">
        <v>68</v>
      </c>
      <c r="I41" s="7">
        <f>+SUM(I27:I39)</f>
        <v>34.249399999999945</v>
      </c>
      <c r="J41" s="11">
        <f>+SUM(J27:J39)</f>
        <v>5799.251565326652</v>
      </c>
      <c r="K41" s="7">
        <f>+SUM(K27:K39)</f>
        <v>34.86588919999994</v>
      </c>
      <c r="L41" s="11">
        <f>+SUM(L27:L39)</f>
        <v>5903.2362839010875</v>
      </c>
      <c r="P41" s="11"/>
      <c r="Q41" s="11"/>
      <c r="R41" s="11"/>
      <c r="T41" s="1"/>
      <c r="U41" s="1"/>
      <c r="V41" s="1"/>
      <c r="W41" s="1"/>
      <c r="X41" s="1"/>
      <c r="Y41" s="1"/>
      <c r="AQ41" s="1"/>
      <c r="AR41" s="11"/>
    </row>
    <row r="42" spans="2:44" ht="14.25">
      <c r="B42" s="7"/>
      <c r="C42" s="1"/>
      <c r="D42" s="1"/>
      <c r="E42" s="15" t="s">
        <v>76</v>
      </c>
      <c r="F42" s="1">
        <f>+B32*B33</f>
        <v>17950</v>
      </c>
      <c r="G42" s="41" t="s">
        <v>74</v>
      </c>
      <c r="H42" s="15" t="s">
        <v>71</v>
      </c>
      <c r="I42" s="38">
        <f>+B29*B30</f>
        <v>18.073</v>
      </c>
      <c r="K42" s="7"/>
      <c r="L42" s="1"/>
      <c r="M42" s="1"/>
      <c r="N42" s="11"/>
      <c r="O42" s="11"/>
      <c r="P42" s="11"/>
      <c r="Q42" s="11"/>
      <c r="R42" s="11"/>
      <c r="T42" s="1"/>
      <c r="U42" s="1"/>
      <c r="V42" s="1"/>
      <c r="W42" s="1"/>
      <c r="X42" s="1"/>
      <c r="Y42" s="1"/>
      <c r="AQ42" s="1"/>
      <c r="AR42" s="11"/>
    </row>
    <row r="43" spans="2:44" ht="12.75">
      <c r="B43" s="7"/>
      <c r="C43" s="1"/>
      <c r="D43" s="1"/>
      <c r="E43" s="11"/>
      <c r="F43" s="11"/>
      <c r="G43" s="11"/>
      <c r="H43" s="11"/>
      <c r="I43" s="11"/>
      <c r="K43" s="7"/>
      <c r="L43" s="1"/>
      <c r="M43" s="1"/>
      <c r="N43" s="11"/>
      <c r="O43" s="11"/>
      <c r="P43" s="11"/>
      <c r="Q43" s="11"/>
      <c r="R43" s="11"/>
      <c r="T43" s="1"/>
      <c r="U43" s="1"/>
      <c r="V43" s="1"/>
      <c r="W43" s="1"/>
      <c r="X43" s="1"/>
      <c r="Y43" s="1"/>
      <c r="AQ43" s="1"/>
      <c r="AR43" s="11"/>
    </row>
    <row r="44" spans="1:44" ht="14.25">
      <c r="A44" s="22" t="s">
        <v>8</v>
      </c>
      <c r="B44" s="22"/>
      <c r="C44" s="22"/>
      <c r="E44" s="4" t="s">
        <v>2</v>
      </c>
      <c r="F44" s="4" t="s">
        <v>3</v>
      </c>
      <c r="G44" s="4" t="s">
        <v>64</v>
      </c>
      <c r="H44" s="4" t="s">
        <v>66</v>
      </c>
      <c r="I44" s="4" t="s">
        <v>67</v>
      </c>
      <c r="J44" s="4" t="s">
        <v>79</v>
      </c>
      <c r="K44" s="4" t="s">
        <v>81</v>
      </c>
      <c r="L44" s="4" t="s">
        <v>82</v>
      </c>
      <c r="N44" s="26" t="s">
        <v>83</v>
      </c>
      <c r="O44" s="24">
        <v>1.019</v>
      </c>
      <c r="P44" s="11"/>
      <c r="Q44" s="11"/>
      <c r="R44" s="11"/>
      <c r="T44" s="1"/>
      <c r="U44" s="1"/>
      <c r="V44" s="1"/>
      <c r="W44" s="1"/>
      <c r="X44" s="1"/>
      <c r="Y44" s="1"/>
      <c r="AQ44" s="1"/>
      <c r="AR44" s="11"/>
    </row>
    <row r="45" spans="1:44" ht="14.25">
      <c r="A45" s="23"/>
      <c r="B45" s="23"/>
      <c r="C45" s="23"/>
      <c r="E45" s="4" t="s">
        <v>1</v>
      </c>
      <c r="F45" s="4"/>
      <c r="G45" s="4" t="s">
        <v>1</v>
      </c>
      <c r="H45" s="4" t="s">
        <v>1</v>
      </c>
      <c r="I45" s="6" t="s">
        <v>65</v>
      </c>
      <c r="J45" s="6" t="s">
        <v>80</v>
      </c>
      <c r="K45" s="6" t="s">
        <v>65</v>
      </c>
      <c r="L45" s="6" t="s">
        <v>80</v>
      </c>
      <c r="N45" s="26"/>
      <c r="O45" s="24"/>
      <c r="P45" s="11"/>
      <c r="Q45" s="11"/>
      <c r="R45" s="11"/>
      <c r="T45" s="1"/>
      <c r="U45" s="1"/>
      <c r="V45" s="1"/>
      <c r="W45" s="1"/>
      <c r="X45" s="1"/>
      <c r="Y45" s="1"/>
      <c r="AQ45" s="1"/>
      <c r="AR45" s="11"/>
    </row>
    <row r="46" spans="1:44" ht="12.75">
      <c r="A46" s="26" t="s">
        <v>9</v>
      </c>
      <c r="B46" s="24" t="s">
        <v>89</v>
      </c>
      <c r="C46" s="23"/>
      <c r="P46" s="11"/>
      <c r="Q46" s="11"/>
      <c r="R46" s="11"/>
      <c r="T46" s="1"/>
      <c r="U46" s="1"/>
      <c r="V46" s="1"/>
      <c r="W46" s="1"/>
      <c r="X46" s="1"/>
      <c r="Y46" s="1"/>
      <c r="AQ46" s="1"/>
      <c r="AR46" s="11"/>
    </row>
    <row r="47" spans="1:44" ht="14.25">
      <c r="A47" s="26" t="s">
        <v>12</v>
      </c>
      <c r="B47" s="24">
        <v>11.95</v>
      </c>
      <c r="C47" s="23" t="s">
        <v>1</v>
      </c>
      <c r="E47" s="1">
        <v>0</v>
      </c>
      <c r="F47" s="1" t="s">
        <v>4</v>
      </c>
      <c r="G47" s="7">
        <f aca="true" t="shared" si="12" ref="G47:G59">+$B$49/2-E47</f>
        <v>17.775</v>
      </c>
      <c r="H47" s="7">
        <v>0</v>
      </c>
      <c r="I47" s="7">
        <v>0</v>
      </c>
      <c r="P47" s="11"/>
      <c r="Q47" s="11"/>
      <c r="R47" s="11"/>
      <c r="T47" s="1"/>
      <c r="U47" s="1"/>
      <c r="V47" s="1"/>
      <c r="W47" s="1"/>
      <c r="X47" s="1"/>
      <c r="Y47" s="1"/>
      <c r="AQ47" s="1"/>
      <c r="AR47" s="11"/>
    </row>
    <row r="48" spans="1:44" ht="14.25">
      <c r="A48" s="26" t="s">
        <v>13</v>
      </c>
      <c r="B48" s="24">
        <v>0.79</v>
      </c>
      <c r="C48" s="23" t="s">
        <v>1</v>
      </c>
      <c r="E48" s="7">
        <f>+B57</f>
        <v>0.395</v>
      </c>
      <c r="F48" s="1" t="s">
        <v>4</v>
      </c>
      <c r="G48" s="7">
        <f t="shared" si="12"/>
        <v>17.38</v>
      </c>
      <c r="H48" s="42">
        <f aca="true" t="shared" si="13" ref="H48:H59">+(G47+G48)/2</f>
        <v>17.5775</v>
      </c>
      <c r="I48" s="7">
        <f>+$B$47*(E48-E47)</f>
        <v>4.72025</v>
      </c>
      <c r="J48" s="11">
        <f>+B47*(B57)^3/12+I48*H48^2</f>
        <v>1458.469964710417</v>
      </c>
      <c r="K48" s="42">
        <f>+I48*O44</f>
        <v>4.80993475</v>
      </c>
      <c r="L48" s="11">
        <f>+B47*(B57)^3/12+K48*H48^2</f>
        <v>1486.1797279513216</v>
      </c>
      <c r="P48" s="11"/>
      <c r="Q48" s="11"/>
      <c r="R48" s="11"/>
      <c r="T48" s="1"/>
      <c r="U48" s="1"/>
      <c r="V48" s="1"/>
      <c r="W48" s="1"/>
      <c r="X48" s="1"/>
      <c r="Y48" s="1"/>
      <c r="AQ48" s="1"/>
      <c r="AR48" s="11"/>
    </row>
    <row r="49" spans="1:44" ht="14.25">
      <c r="A49" s="26" t="s">
        <v>14</v>
      </c>
      <c r="B49" s="24">
        <v>35.55</v>
      </c>
      <c r="C49" s="23" t="s">
        <v>1</v>
      </c>
      <c r="E49" s="7">
        <f>2*B57</f>
        <v>0.79</v>
      </c>
      <c r="F49" s="1" t="s">
        <v>4</v>
      </c>
      <c r="G49" s="7">
        <f t="shared" si="12"/>
        <v>16.985</v>
      </c>
      <c r="H49" s="42">
        <f t="shared" si="13"/>
        <v>17.182499999999997</v>
      </c>
      <c r="I49" s="7">
        <f>+$B$47*(E49-E48)</f>
        <v>4.72025</v>
      </c>
      <c r="J49" s="11">
        <f>+B47*(B57)^3/12+I49*H49^2</f>
        <v>1393.6599881604166</v>
      </c>
      <c r="K49" s="42">
        <f>+I49*O44</f>
        <v>4.80993475</v>
      </c>
      <c r="L49" s="11">
        <f>+B47*(B57)^3/12+K49*H49^2</f>
        <v>1420.1383618468712</v>
      </c>
      <c r="P49" s="11"/>
      <c r="Q49" s="11"/>
      <c r="R49" s="11"/>
      <c r="T49" s="1"/>
      <c r="U49" s="1"/>
      <c r="V49" s="1"/>
      <c r="W49" s="1"/>
      <c r="X49" s="1"/>
      <c r="Y49" s="1"/>
      <c r="AQ49" s="1"/>
      <c r="AR49" s="11"/>
    </row>
    <row r="50" spans="1:44" ht="14.25">
      <c r="A50" s="26" t="s">
        <v>15</v>
      </c>
      <c r="B50" s="24">
        <v>0.6</v>
      </c>
      <c r="C50" s="23" t="s">
        <v>1</v>
      </c>
      <c r="E50" s="7">
        <f aca="true" t="shared" si="14" ref="E50:E57">+E49+$B$58</f>
        <v>5.03625</v>
      </c>
      <c r="F50" s="1" t="s">
        <v>5</v>
      </c>
      <c r="G50" s="7">
        <f t="shared" si="12"/>
        <v>12.73875</v>
      </c>
      <c r="H50" s="42">
        <f t="shared" si="13"/>
        <v>14.861875</v>
      </c>
      <c r="I50" s="7">
        <f aca="true" t="shared" si="15" ref="I50:I57">+$B$50*(E50-E49)</f>
        <v>2.5477499999999997</v>
      </c>
      <c r="J50" s="11">
        <f>+B50*(B58)^3/12+I50*H50^2</f>
        <v>566.5632482816404</v>
      </c>
      <c r="K50" s="42">
        <f>+I50*O44</f>
        <v>2.5961572499999996</v>
      </c>
      <c r="L50" s="11">
        <f>+B50*(B58)^3/12+K50*H50^2</f>
        <v>577.2552155279284</v>
      </c>
      <c r="P50" s="11"/>
      <c r="Q50" s="11"/>
      <c r="R50" s="11"/>
      <c r="T50" s="1"/>
      <c r="U50" s="1"/>
      <c r="V50" s="1"/>
      <c r="W50" s="1"/>
      <c r="X50" s="1"/>
      <c r="Y50" s="1"/>
      <c r="AQ50" s="1"/>
      <c r="AR50" s="11"/>
    </row>
    <row r="51" spans="1:44" ht="15">
      <c r="A51" s="26" t="s">
        <v>16</v>
      </c>
      <c r="B51" s="24">
        <v>509</v>
      </c>
      <c r="C51" s="23" t="s">
        <v>11</v>
      </c>
      <c r="E51" s="7">
        <f t="shared" si="14"/>
        <v>9.282499999999999</v>
      </c>
      <c r="F51" s="1" t="s">
        <v>5</v>
      </c>
      <c r="G51" s="7">
        <f t="shared" si="12"/>
        <v>8.4925</v>
      </c>
      <c r="H51" s="42">
        <f t="shared" si="13"/>
        <v>10.615625</v>
      </c>
      <c r="I51" s="7">
        <f t="shared" si="15"/>
        <v>2.5477499999999993</v>
      </c>
      <c r="J51" s="11">
        <f>+B50*(B58)^3/12+I51*H51^2</f>
        <v>290.9378842527343</v>
      </c>
      <c r="K51" s="42">
        <f>+I51*O44</f>
        <v>2.596157249999999</v>
      </c>
      <c r="L51" s="11">
        <f>+B50*(B58)^3/12+K51*H51^2</f>
        <v>296.3929695824731</v>
      </c>
      <c r="P51" s="11"/>
      <c r="Q51" s="11"/>
      <c r="R51" s="11"/>
      <c r="T51" s="1"/>
      <c r="U51" s="1"/>
      <c r="V51" s="1"/>
      <c r="W51" s="1"/>
      <c r="X51" s="1"/>
      <c r="Y51" s="1"/>
      <c r="AQ51" s="1"/>
      <c r="AR51" s="11"/>
    </row>
    <row r="52" spans="1:44" ht="15">
      <c r="A52" s="26" t="s">
        <v>63</v>
      </c>
      <c r="B52" s="24">
        <v>439</v>
      </c>
      <c r="C52" s="23" t="s">
        <v>11</v>
      </c>
      <c r="E52" s="7">
        <f t="shared" si="14"/>
        <v>13.528749999999999</v>
      </c>
      <c r="F52" s="1" t="s">
        <v>5</v>
      </c>
      <c r="G52" s="7">
        <f t="shared" si="12"/>
        <v>4.24625</v>
      </c>
      <c r="H52" s="42">
        <f t="shared" si="13"/>
        <v>6.369375</v>
      </c>
      <c r="I52" s="7">
        <f t="shared" si="15"/>
        <v>2.5477499999999997</v>
      </c>
      <c r="J52" s="11">
        <f>+B50*(B58)^3/12+I52*H52^2</f>
        <v>107.18764156679686</v>
      </c>
      <c r="K52" s="42">
        <f>+I52*O44</f>
        <v>2.5961572499999996</v>
      </c>
      <c r="L52" s="11">
        <f>+B50*(B58)^3/12+K52*H52^2</f>
        <v>109.1514722855028</v>
      </c>
      <c r="P52" s="11"/>
      <c r="Q52" s="11"/>
      <c r="R52" s="11"/>
      <c r="T52" s="1"/>
      <c r="U52" s="1"/>
      <c r="V52" s="1"/>
      <c r="W52" s="1"/>
      <c r="X52" s="1"/>
      <c r="Y52" s="1"/>
      <c r="AQ52" s="1"/>
      <c r="AR52" s="11"/>
    </row>
    <row r="53" spans="1:44" ht="14.25">
      <c r="A53" s="26" t="s">
        <v>62</v>
      </c>
      <c r="B53" s="24">
        <v>50</v>
      </c>
      <c r="C53" s="23" t="s">
        <v>0</v>
      </c>
      <c r="E53" s="7">
        <f t="shared" si="14"/>
        <v>17.775</v>
      </c>
      <c r="F53" s="1" t="s">
        <v>5</v>
      </c>
      <c r="G53" s="7">
        <f t="shared" si="12"/>
        <v>0</v>
      </c>
      <c r="H53" s="42">
        <f t="shared" si="13"/>
        <v>2.123125</v>
      </c>
      <c r="I53" s="7">
        <f t="shared" si="15"/>
        <v>2.5477499999999997</v>
      </c>
      <c r="J53" s="11">
        <f>+B50*(B58)^3/12+I53*H53^2</f>
        <v>15.312520223828122</v>
      </c>
      <c r="K53" s="42">
        <f>+I53*O44</f>
        <v>2.5961572499999996</v>
      </c>
      <c r="L53" s="11">
        <f>+B50*(B58)^3/12+K53*H53^2</f>
        <v>15.530723637017672</v>
      </c>
      <c r="P53" s="11"/>
      <c r="Q53" s="11"/>
      <c r="R53" s="11"/>
      <c r="T53" s="1"/>
      <c r="U53" s="1"/>
      <c r="V53" s="1"/>
      <c r="W53" s="1"/>
      <c r="X53" s="1"/>
      <c r="Y53" s="1"/>
      <c r="AQ53" s="1"/>
      <c r="AR53" s="11"/>
    </row>
    <row r="54" spans="1:44" ht="14.25">
      <c r="A54" s="26" t="s">
        <v>77</v>
      </c>
      <c r="B54" s="24">
        <v>7800</v>
      </c>
      <c r="C54" s="23" t="s">
        <v>78</v>
      </c>
      <c r="E54" s="7">
        <f t="shared" si="14"/>
        <v>22.02125</v>
      </c>
      <c r="F54" s="1" t="s">
        <v>5</v>
      </c>
      <c r="G54" s="7">
        <f t="shared" si="12"/>
        <v>-4.24625</v>
      </c>
      <c r="H54" s="42">
        <f t="shared" si="13"/>
        <v>-2.123125</v>
      </c>
      <c r="I54" s="7">
        <f t="shared" si="15"/>
        <v>2.5477499999999997</v>
      </c>
      <c r="J54" s="11">
        <f>+B50*(B58)^3/12+I54*H54^2</f>
        <v>15.312520223828122</v>
      </c>
      <c r="K54" s="42">
        <f>+I54*O44</f>
        <v>2.5961572499999996</v>
      </c>
      <c r="L54" s="11">
        <f>+B50*(B58)^3/12+K54*H54^2</f>
        <v>15.530723637017672</v>
      </c>
      <c r="P54" s="11"/>
      <c r="Q54" s="11"/>
      <c r="R54" s="11"/>
      <c r="T54" s="1"/>
      <c r="U54" s="1"/>
      <c r="V54" s="1"/>
      <c r="W54" s="1"/>
      <c r="X54" s="1"/>
      <c r="Y54" s="1"/>
      <c r="AQ54" s="1"/>
      <c r="AR54" s="11"/>
    </row>
    <row r="55" spans="1:44" ht="14.25">
      <c r="A55" s="28" t="s">
        <v>24</v>
      </c>
      <c r="B55" s="8">
        <v>2</v>
      </c>
      <c r="C55" s="14"/>
      <c r="E55" s="7">
        <f t="shared" si="14"/>
        <v>26.2675</v>
      </c>
      <c r="F55" s="1" t="s">
        <v>5</v>
      </c>
      <c r="G55" s="7">
        <f t="shared" si="12"/>
        <v>-8.4925</v>
      </c>
      <c r="H55" s="42">
        <f t="shared" si="13"/>
        <v>-6.369375</v>
      </c>
      <c r="I55" s="7">
        <f t="shared" si="15"/>
        <v>2.5477499999999997</v>
      </c>
      <c r="J55" s="11">
        <f>+B50*(B58)^3/12+I55*H55^2</f>
        <v>107.18764156679686</v>
      </c>
      <c r="K55" s="42">
        <f>+I55*O44</f>
        <v>2.5961572499999996</v>
      </c>
      <c r="L55" s="11">
        <f>+B50*(B58)^3/12+K55*H55^2</f>
        <v>109.1514722855028</v>
      </c>
      <c r="P55" s="11"/>
      <c r="Q55" s="11"/>
      <c r="R55" s="11"/>
      <c r="T55" s="1"/>
      <c r="U55" s="1"/>
      <c r="V55" s="1"/>
      <c r="W55" s="1"/>
      <c r="X55" s="1"/>
      <c r="Y55" s="1"/>
      <c r="AQ55" s="1"/>
      <c r="AR55" s="11"/>
    </row>
    <row r="56" spans="1:44" ht="14.25">
      <c r="A56" s="28" t="s">
        <v>25</v>
      </c>
      <c r="B56" s="8">
        <v>8</v>
      </c>
      <c r="C56" s="14"/>
      <c r="E56" s="7">
        <f t="shared" si="14"/>
        <v>30.513749999999998</v>
      </c>
      <c r="F56" s="1" t="s">
        <v>5</v>
      </c>
      <c r="G56" s="7">
        <f t="shared" si="12"/>
        <v>-12.73875</v>
      </c>
      <c r="H56" s="42">
        <f t="shared" si="13"/>
        <v>-10.615625</v>
      </c>
      <c r="I56" s="7">
        <f t="shared" si="15"/>
        <v>2.5477499999999997</v>
      </c>
      <c r="J56" s="11">
        <f>+B50*(B58)^3/12+I56*H56^2</f>
        <v>290.93788425273436</v>
      </c>
      <c r="K56" s="42">
        <f>+I56*O44</f>
        <v>2.5961572499999996</v>
      </c>
      <c r="L56" s="11">
        <f>+B50*(B58)^3/12+K56*H56^2</f>
        <v>296.3929695824731</v>
      </c>
      <c r="P56" s="11"/>
      <c r="Q56" s="11"/>
      <c r="R56" s="11"/>
      <c r="T56" s="1"/>
      <c r="U56" s="1"/>
      <c r="V56" s="1"/>
      <c r="W56" s="1"/>
      <c r="X56" s="1"/>
      <c r="Y56" s="1"/>
      <c r="AQ56" s="1"/>
      <c r="AR56" s="11"/>
    </row>
    <row r="57" spans="1:44" ht="14.25">
      <c r="A57" s="5" t="s">
        <v>26</v>
      </c>
      <c r="B57" s="8">
        <f>+B48/B55</f>
        <v>0.395</v>
      </c>
      <c r="C57" s="14" t="s">
        <v>1</v>
      </c>
      <c r="E57" s="7">
        <f t="shared" si="14"/>
        <v>34.76</v>
      </c>
      <c r="F57" s="1" t="s">
        <v>5</v>
      </c>
      <c r="G57" s="7">
        <f t="shared" si="12"/>
        <v>-16.985</v>
      </c>
      <c r="H57" s="42">
        <f t="shared" si="13"/>
        <v>-14.861875</v>
      </c>
      <c r="I57" s="7">
        <f t="shared" si="15"/>
        <v>2.5477499999999997</v>
      </c>
      <c r="J57" s="11">
        <f>+B50*(B58)^3/12+I57*H57^2</f>
        <v>566.5632482816404</v>
      </c>
      <c r="K57" s="42">
        <f>+I57*O44</f>
        <v>2.5961572499999996</v>
      </c>
      <c r="L57" s="11">
        <f>+B50*(B58)^3/12+K57*H57^2</f>
        <v>577.2552155279284</v>
      </c>
      <c r="P57" s="11"/>
      <c r="Q57" s="11"/>
      <c r="R57" s="11"/>
      <c r="AQ57" s="1"/>
      <c r="AR57" s="11"/>
    </row>
    <row r="58" spans="1:44" ht="14.25">
      <c r="A58" s="5" t="s">
        <v>27</v>
      </c>
      <c r="B58" s="20">
        <f>+(B49-2*B48)/B56</f>
        <v>4.24625</v>
      </c>
      <c r="C58" s="14" t="s">
        <v>1</v>
      </c>
      <c r="E58" s="7">
        <f>+E57+$B$57</f>
        <v>35.155</v>
      </c>
      <c r="F58" s="1" t="s">
        <v>28</v>
      </c>
      <c r="G58" s="7">
        <f t="shared" si="12"/>
        <v>-17.380000000000003</v>
      </c>
      <c r="H58" s="42">
        <f t="shared" si="13"/>
        <v>-17.1825</v>
      </c>
      <c r="I58" s="7">
        <f>+$B$47*(E58-E57)</f>
        <v>4.720250000000037</v>
      </c>
      <c r="J58" s="11">
        <f>+B47*(B57)^3/12+I58*H58^2</f>
        <v>1393.6599881604282</v>
      </c>
      <c r="K58" s="42">
        <f>+I58*O44</f>
        <v>4.809934750000037</v>
      </c>
      <c r="L58" s="11">
        <f>+B47*(B57)^3/12+K58*H58^2</f>
        <v>1420.1383618468828</v>
      </c>
      <c r="P58" s="11"/>
      <c r="Q58" s="11"/>
      <c r="R58" s="11"/>
      <c r="AQ58" s="1"/>
      <c r="AR58" s="11"/>
    </row>
    <row r="59" spans="1:44" ht="15">
      <c r="A59" s="15" t="s">
        <v>17</v>
      </c>
      <c r="B59" s="21">
        <f>+B47*B48</f>
        <v>9.4405</v>
      </c>
      <c r="C59" s="31" t="s">
        <v>59</v>
      </c>
      <c r="E59" s="7">
        <f>+E58+$B$57</f>
        <v>35.550000000000004</v>
      </c>
      <c r="F59" s="1" t="s">
        <v>28</v>
      </c>
      <c r="G59" s="7">
        <f t="shared" si="12"/>
        <v>-17.775000000000006</v>
      </c>
      <c r="H59" s="42">
        <f t="shared" si="13"/>
        <v>-17.577500000000004</v>
      </c>
      <c r="I59" s="7">
        <f>+$B$47*(E59-E58)</f>
        <v>4.720250000000037</v>
      </c>
      <c r="J59" s="11">
        <f>+B47*(B57)^3/12+I59*H59^2</f>
        <v>1458.469964710429</v>
      </c>
      <c r="K59" s="42">
        <f>+I59*O44</f>
        <v>4.809934750000037</v>
      </c>
      <c r="L59" s="11">
        <f>+B47*(B57)^3/12+K59*H59^2</f>
        <v>1486.1797279513337</v>
      </c>
      <c r="P59" s="11"/>
      <c r="Q59" s="11"/>
      <c r="R59" s="11"/>
      <c r="AQ59" s="1"/>
      <c r="AR59" s="11"/>
    </row>
    <row r="60" spans="1:44" ht="15">
      <c r="A60" s="15" t="s">
        <v>18</v>
      </c>
      <c r="B60" s="21">
        <f>+(B49-2*B48)*B50</f>
        <v>20.381999999999998</v>
      </c>
      <c r="C60" s="14" t="s">
        <v>10</v>
      </c>
      <c r="D60" s="16"/>
      <c r="E60" s="7"/>
      <c r="F60" s="1"/>
      <c r="G60" s="7"/>
      <c r="I60" s="7"/>
      <c r="J60" s="11"/>
      <c r="P60" s="11"/>
      <c r="Q60" s="11"/>
      <c r="R60" s="11"/>
      <c r="AQ60" s="1"/>
      <c r="AR60" s="11"/>
    </row>
    <row r="61" spans="1:44" ht="14.25">
      <c r="A61" s="15" t="s">
        <v>75</v>
      </c>
      <c r="B61" s="8">
        <f>+B51*B53</f>
        <v>25450</v>
      </c>
      <c r="C61" s="14" t="s">
        <v>6</v>
      </c>
      <c r="E61" s="15" t="s">
        <v>73</v>
      </c>
      <c r="F61" s="11">
        <f>+B53*(K61)</f>
        <v>2000.449850000004</v>
      </c>
      <c r="G61" s="41" t="s">
        <v>20</v>
      </c>
      <c r="H61" s="5" t="s">
        <v>68</v>
      </c>
      <c r="I61" s="7">
        <f>+SUM(I47:I59)</f>
        <v>39.263000000000076</v>
      </c>
      <c r="J61" s="11">
        <f>+SUM(J47:J59)</f>
        <v>7664.262494391689</v>
      </c>
      <c r="K61" s="7">
        <f>+SUM(K47:K59)</f>
        <v>40.00899700000008</v>
      </c>
      <c r="L61" s="11">
        <f>+SUM(L47:L59)</f>
        <v>7809.296941662253</v>
      </c>
      <c r="P61" s="11"/>
      <c r="Q61" s="11"/>
      <c r="R61" s="11"/>
      <c r="AQ61" s="1"/>
      <c r="AR61" s="11"/>
    </row>
    <row r="62" spans="2:44" ht="14.25">
      <c r="B62" s="7"/>
      <c r="C62" s="1"/>
      <c r="D62" s="1"/>
      <c r="E62" s="15" t="s">
        <v>76</v>
      </c>
      <c r="F62" s="1">
        <f>+B52*B53</f>
        <v>21950</v>
      </c>
      <c r="G62" s="41" t="s">
        <v>74</v>
      </c>
      <c r="H62" s="15" t="s">
        <v>71</v>
      </c>
      <c r="I62" s="38">
        <f>+B49*B50</f>
        <v>21.33</v>
      </c>
      <c r="K62" s="7"/>
      <c r="L62" s="1"/>
      <c r="M62" s="1"/>
      <c r="N62" s="11"/>
      <c r="O62" s="11"/>
      <c r="P62" s="11"/>
      <c r="Q62" s="11"/>
      <c r="R62" s="11"/>
      <c r="AQ62" s="1"/>
      <c r="AR62" s="11"/>
    </row>
    <row r="63" spans="2:44" ht="12.75">
      <c r="B63" s="7"/>
      <c r="C63" s="1"/>
      <c r="D63" s="1"/>
      <c r="E63" s="11"/>
      <c r="F63" s="11"/>
      <c r="G63" s="11"/>
      <c r="H63" s="11"/>
      <c r="I63" s="11"/>
      <c r="K63" s="7"/>
      <c r="L63" s="1"/>
      <c r="M63" s="1"/>
      <c r="N63" s="11"/>
      <c r="O63" s="11"/>
      <c r="P63" s="11"/>
      <c r="Q63" s="11"/>
      <c r="R63" s="11"/>
      <c r="AQ63" s="1"/>
      <c r="AR63" s="11"/>
    </row>
    <row r="64" spans="1:44" ht="14.25">
      <c r="A64" s="22" t="s">
        <v>8</v>
      </c>
      <c r="B64" s="22"/>
      <c r="C64" s="22"/>
      <c r="E64" s="4" t="s">
        <v>2</v>
      </c>
      <c r="F64" s="4" t="s">
        <v>3</v>
      </c>
      <c r="G64" s="4" t="s">
        <v>64</v>
      </c>
      <c r="H64" s="4" t="s">
        <v>66</v>
      </c>
      <c r="I64" s="4" t="s">
        <v>67</v>
      </c>
      <c r="J64" s="4" t="s">
        <v>79</v>
      </c>
      <c r="K64" s="4" t="s">
        <v>81</v>
      </c>
      <c r="L64" s="4" t="s">
        <v>82</v>
      </c>
      <c r="N64" s="26" t="s">
        <v>83</v>
      </c>
      <c r="O64" s="24">
        <v>1.013</v>
      </c>
      <c r="P64" s="11"/>
      <c r="Q64" s="11"/>
      <c r="R64" s="11"/>
      <c r="AQ64" s="1"/>
      <c r="AR64" s="11"/>
    </row>
    <row r="65" spans="1:44" ht="14.25">
      <c r="A65" s="23"/>
      <c r="B65" s="23"/>
      <c r="C65" s="23"/>
      <c r="E65" s="4" t="s">
        <v>1</v>
      </c>
      <c r="F65" s="4"/>
      <c r="G65" s="4" t="s">
        <v>1</v>
      </c>
      <c r="H65" s="4" t="s">
        <v>1</v>
      </c>
      <c r="I65" s="6" t="s">
        <v>65</v>
      </c>
      <c r="J65" s="6" t="s">
        <v>80</v>
      </c>
      <c r="K65" s="6" t="s">
        <v>65</v>
      </c>
      <c r="L65" s="6" t="s">
        <v>80</v>
      </c>
      <c r="N65" s="26"/>
      <c r="O65" s="24"/>
      <c r="P65" s="11"/>
      <c r="Q65" s="11"/>
      <c r="R65" s="11"/>
      <c r="AQ65" s="1"/>
      <c r="AR65" s="11"/>
    </row>
    <row r="66" spans="1:44" ht="12.75">
      <c r="A66" s="26" t="s">
        <v>9</v>
      </c>
      <c r="B66" s="24" t="s">
        <v>90</v>
      </c>
      <c r="C66" s="23"/>
      <c r="P66" s="11"/>
      <c r="Q66" s="11"/>
      <c r="R66" s="11"/>
      <c r="AQ66" s="1"/>
      <c r="AR66" s="11"/>
    </row>
    <row r="67" spans="1:44" ht="14.25">
      <c r="A67" s="26" t="s">
        <v>12</v>
      </c>
      <c r="B67" s="24">
        <v>12.03</v>
      </c>
      <c r="C67" s="23" t="s">
        <v>1</v>
      </c>
      <c r="E67" s="1">
        <v>0</v>
      </c>
      <c r="F67" s="1" t="s">
        <v>4</v>
      </c>
      <c r="G67" s="7">
        <f aca="true" t="shared" si="16" ref="G67:G79">+$B$69/2-E67</f>
        <v>18.085</v>
      </c>
      <c r="H67" s="7">
        <v>0</v>
      </c>
      <c r="I67" s="7">
        <v>0</v>
      </c>
      <c r="P67" s="11"/>
      <c r="Q67" s="11"/>
      <c r="R67" s="11"/>
      <c r="AQ67" s="1"/>
      <c r="AR67" s="11"/>
    </row>
    <row r="68" spans="1:44" ht="14.25">
      <c r="A68" s="26" t="s">
        <v>13</v>
      </c>
      <c r="B68" s="24">
        <v>1.1</v>
      </c>
      <c r="C68" s="23" t="s">
        <v>1</v>
      </c>
      <c r="E68" s="7">
        <f>+B77</f>
        <v>0.55</v>
      </c>
      <c r="F68" s="1" t="s">
        <v>4</v>
      </c>
      <c r="G68" s="7">
        <f t="shared" si="16"/>
        <v>17.535</v>
      </c>
      <c r="H68" s="42">
        <f aca="true" t="shared" si="17" ref="H68:H79">+(G67+G68)/2</f>
        <v>17.810000000000002</v>
      </c>
      <c r="I68" s="7">
        <f>+$B$67*(E68-E67)</f>
        <v>6.6165</v>
      </c>
      <c r="J68" s="11">
        <f>+B67*(B77)^3/12+I68*H68^2</f>
        <v>2098.8947865875007</v>
      </c>
      <c r="K68" s="42">
        <f>+I68*O64</f>
        <v>6.7025144999999995</v>
      </c>
      <c r="L68" s="11">
        <f>+B67*(B77)^3/12+K68*H68^2</f>
        <v>2126.17825053095</v>
      </c>
      <c r="P68" s="11"/>
      <c r="Q68" s="11"/>
      <c r="R68" s="11"/>
      <c r="AQ68" s="1"/>
      <c r="AR68" s="11"/>
    </row>
    <row r="69" spans="1:44" ht="14.25">
      <c r="A69" s="26" t="s">
        <v>14</v>
      </c>
      <c r="B69" s="24">
        <v>36.17</v>
      </c>
      <c r="C69" s="23" t="s">
        <v>1</v>
      </c>
      <c r="E69" s="7">
        <f>2*B77</f>
        <v>1.1</v>
      </c>
      <c r="F69" s="1" t="s">
        <v>4</v>
      </c>
      <c r="G69" s="7">
        <f t="shared" si="16"/>
        <v>16.985</v>
      </c>
      <c r="H69" s="42">
        <f t="shared" si="17"/>
        <v>17.259999999999998</v>
      </c>
      <c r="I69" s="7">
        <f>+$B$67*(E69-E68)</f>
        <v>6.6165</v>
      </c>
      <c r="J69" s="11">
        <f>+B67*(B77)^3/12+I69*H69^2</f>
        <v>1971.2724263374998</v>
      </c>
      <c r="K69" s="42">
        <f>+I69*O64</f>
        <v>6.7025144999999995</v>
      </c>
      <c r="L69" s="11">
        <f>+B67*(B77)^3/12+K69*H69^2</f>
        <v>1996.8967995976996</v>
      </c>
      <c r="P69" s="11"/>
      <c r="Q69" s="11"/>
      <c r="R69" s="11"/>
      <c r="AQ69" s="1"/>
      <c r="AR69" s="11"/>
    </row>
    <row r="70" spans="1:44" ht="14.25">
      <c r="A70" s="26" t="s">
        <v>15</v>
      </c>
      <c r="B70" s="24">
        <v>0.68</v>
      </c>
      <c r="C70" s="23" t="s">
        <v>1</v>
      </c>
      <c r="E70" s="7">
        <f aca="true" t="shared" si="18" ref="E70:E77">+E69+$B$78</f>
        <v>5.3462499999999995</v>
      </c>
      <c r="F70" s="1" t="s">
        <v>5</v>
      </c>
      <c r="G70" s="7">
        <f t="shared" si="16"/>
        <v>12.738750000000001</v>
      </c>
      <c r="H70" s="42">
        <f t="shared" si="17"/>
        <v>14.861875000000001</v>
      </c>
      <c r="I70" s="7">
        <f aca="true" t="shared" si="19" ref="I70:I77">+$B$70*(E70-E69)</f>
        <v>2.8874500000000003</v>
      </c>
      <c r="J70" s="11">
        <f>+B70*(B78)^3/12+I70*H70^2</f>
        <v>642.1050147191929</v>
      </c>
      <c r="K70" s="42">
        <f>+I70*O64</f>
        <v>2.92498685</v>
      </c>
      <c r="L70" s="11">
        <f>+B70*(B78)^3/12+K70*H70^2</f>
        <v>650.3959787943845</v>
      </c>
      <c r="P70" s="11"/>
      <c r="Q70" s="11"/>
      <c r="R70" s="11"/>
      <c r="AQ70" s="1"/>
      <c r="AR70" s="11"/>
    </row>
    <row r="71" spans="1:44" ht="15">
      <c r="A71" s="26" t="s">
        <v>16</v>
      </c>
      <c r="B71" s="24">
        <v>668</v>
      </c>
      <c r="C71" s="23" t="s">
        <v>11</v>
      </c>
      <c r="E71" s="7">
        <f t="shared" si="18"/>
        <v>9.5925</v>
      </c>
      <c r="F71" s="1" t="s">
        <v>5</v>
      </c>
      <c r="G71" s="7">
        <f t="shared" si="16"/>
        <v>8.492500000000001</v>
      </c>
      <c r="H71" s="42">
        <f t="shared" si="17"/>
        <v>10.615625000000001</v>
      </c>
      <c r="I71" s="7">
        <f t="shared" si="19"/>
        <v>2.8874500000000003</v>
      </c>
      <c r="J71" s="11">
        <f>+B70*(B78)^3/12+I71*H71^2</f>
        <v>329.7296021530991</v>
      </c>
      <c r="K71" s="42">
        <f>+I71*O64</f>
        <v>2.92498685</v>
      </c>
      <c r="L71" s="11">
        <f>+B70*(B78)^3/12+K71*H71^2</f>
        <v>333.95968586493154</v>
      </c>
      <c r="P71" s="11"/>
      <c r="Q71" s="11"/>
      <c r="R71" s="11"/>
      <c r="AQ71" s="1"/>
      <c r="AR71" s="11"/>
    </row>
    <row r="72" spans="1:44" ht="15">
      <c r="A72" s="26" t="s">
        <v>63</v>
      </c>
      <c r="B72" s="24">
        <v>580</v>
      </c>
      <c r="C72" s="23" t="s">
        <v>11</v>
      </c>
      <c r="E72" s="7">
        <f t="shared" si="18"/>
        <v>13.83875</v>
      </c>
      <c r="F72" s="1" t="s">
        <v>5</v>
      </c>
      <c r="G72" s="7">
        <f t="shared" si="16"/>
        <v>4.246250000000002</v>
      </c>
      <c r="H72" s="42">
        <f t="shared" si="17"/>
        <v>6.369375000000002</v>
      </c>
      <c r="I72" s="7">
        <f t="shared" si="19"/>
        <v>2.8874500000000003</v>
      </c>
      <c r="J72" s="11">
        <f>+B70*(B78)^3/12+I72*H72^2</f>
        <v>121.47932710903653</v>
      </c>
      <c r="K72" s="42">
        <f>+I72*O64</f>
        <v>2.92498685</v>
      </c>
      <c r="L72" s="11">
        <f>+B70*(B78)^3/12+K72*H72^2</f>
        <v>123.00215724529622</v>
      </c>
      <c r="P72" s="11"/>
      <c r="Q72" s="11"/>
      <c r="R72" s="11"/>
      <c r="AQ72" s="1"/>
      <c r="AR72" s="11"/>
    </row>
    <row r="73" spans="1:44" ht="14.25">
      <c r="A73" s="26" t="s">
        <v>62</v>
      </c>
      <c r="B73" s="24">
        <v>50</v>
      </c>
      <c r="C73" s="23" t="s">
        <v>0</v>
      </c>
      <c r="E73" s="7">
        <f t="shared" si="18"/>
        <v>18.085</v>
      </c>
      <c r="F73" s="1" t="s">
        <v>5</v>
      </c>
      <c r="G73" s="7">
        <f t="shared" si="16"/>
        <v>0</v>
      </c>
      <c r="H73" s="42">
        <f t="shared" si="17"/>
        <v>2.123125000000001</v>
      </c>
      <c r="I73" s="7">
        <f t="shared" si="19"/>
        <v>2.887450000000001</v>
      </c>
      <c r="J73" s="11">
        <f>+B70*(B78)^3/12+I73*H73^2</f>
        <v>17.354189587005223</v>
      </c>
      <c r="K73" s="42">
        <f>+I73*O64</f>
        <v>2.9249868500000007</v>
      </c>
      <c r="L73" s="11">
        <f>+B70*(B78)^3/12+K73*H73^2</f>
        <v>17.523392935478523</v>
      </c>
      <c r="P73" s="11"/>
      <c r="Q73" s="11"/>
      <c r="R73" s="11"/>
      <c r="AQ73" s="1"/>
      <c r="AR73" s="11"/>
    </row>
    <row r="74" spans="1:44" ht="14.25">
      <c r="A74" s="26" t="s">
        <v>77</v>
      </c>
      <c r="B74" s="24">
        <v>10500</v>
      </c>
      <c r="C74" s="23" t="s">
        <v>78</v>
      </c>
      <c r="E74" s="7">
        <f t="shared" si="18"/>
        <v>22.33125</v>
      </c>
      <c r="F74" s="1" t="s">
        <v>5</v>
      </c>
      <c r="G74" s="7">
        <f t="shared" si="16"/>
        <v>-4.24625</v>
      </c>
      <c r="H74" s="42">
        <f t="shared" si="17"/>
        <v>-2.123125</v>
      </c>
      <c r="I74" s="7">
        <f t="shared" si="19"/>
        <v>2.8874500000000003</v>
      </c>
      <c r="J74" s="11">
        <f>+B70*(B78)^3/12+I74*H74^2</f>
        <v>17.354189587005205</v>
      </c>
      <c r="K74" s="42">
        <f>+I74*O64</f>
        <v>2.92498685</v>
      </c>
      <c r="L74" s="11">
        <f>+B70*(B78)^3/12+K74*H74^2</f>
        <v>17.523392935478505</v>
      </c>
      <c r="P74" s="11"/>
      <c r="Q74" s="11"/>
      <c r="R74" s="11"/>
      <c r="AQ74" s="1"/>
      <c r="AR74" s="11"/>
    </row>
    <row r="75" spans="1:44" ht="14.25">
      <c r="A75" s="28" t="s">
        <v>24</v>
      </c>
      <c r="B75" s="8">
        <v>2</v>
      </c>
      <c r="C75" s="14"/>
      <c r="E75" s="7">
        <f t="shared" si="18"/>
        <v>26.5775</v>
      </c>
      <c r="F75" s="1" t="s">
        <v>5</v>
      </c>
      <c r="G75" s="7">
        <f t="shared" si="16"/>
        <v>-8.4925</v>
      </c>
      <c r="H75" s="42">
        <f t="shared" si="17"/>
        <v>-6.369375</v>
      </c>
      <c r="I75" s="7">
        <f t="shared" si="19"/>
        <v>2.8874500000000003</v>
      </c>
      <c r="J75" s="11">
        <f>+B70*(B78)^3/12+I75*H75^2</f>
        <v>121.47932710903645</v>
      </c>
      <c r="K75" s="42">
        <f>+I75*O64</f>
        <v>2.92498685</v>
      </c>
      <c r="L75" s="11">
        <f>+B70*(B78)^3/12+K75*H75^2</f>
        <v>123.00215724529613</v>
      </c>
      <c r="P75" s="11"/>
      <c r="Q75" s="11"/>
      <c r="R75" s="11"/>
      <c r="AQ75" s="1"/>
      <c r="AR75" s="11"/>
    </row>
    <row r="76" spans="1:44" ht="14.25">
      <c r="A76" s="28" t="s">
        <v>25</v>
      </c>
      <c r="B76" s="8">
        <v>8</v>
      </c>
      <c r="C76" s="14"/>
      <c r="E76" s="7">
        <f t="shared" si="18"/>
        <v>30.82375</v>
      </c>
      <c r="F76" s="1" t="s">
        <v>5</v>
      </c>
      <c r="G76" s="7">
        <f t="shared" si="16"/>
        <v>-12.73875</v>
      </c>
      <c r="H76" s="42">
        <f t="shared" si="17"/>
        <v>-10.615625</v>
      </c>
      <c r="I76" s="7">
        <f t="shared" si="19"/>
        <v>2.8874500000000003</v>
      </c>
      <c r="J76" s="11">
        <f>+B70*(B78)^3/12+I76*H76^2</f>
        <v>329.729602153099</v>
      </c>
      <c r="K76" s="42">
        <f>+I76*O64</f>
        <v>2.92498685</v>
      </c>
      <c r="L76" s="11">
        <f>+B70*(B78)^3/12+K76*H76^2</f>
        <v>333.9596858649315</v>
      </c>
      <c r="P76" s="11"/>
      <c r="Q76" s="11"/>
      <c r="R76" s="11"/>
      <c r="AQ76" s="1"/>
      <c r="AR76" s="11"/>
    </row>
    <row r="77" spans="1:44" ht="14.25">
      <c r="A77" s="5" t="s">
        <v>26</v>
      </c>
      <c r="B77" s="8">
        <f>+B68/B75</f>
        <v>0.55</v>
      </c>
      <c r="C77" s="14" t="s">
        <v>1</v>
      </c>
      <c r="E77" s="7">
        <f t="shared" si="18"/>
        <v>35.07</v>
      </c>
      <c r="F77" s="1" t="s">
        <v>5</v>
      </c>
      <c r="G77" s="7">
        <f t="shared" si="16"/>
        <v>-16.985</v>
      </c>
      <c r="H77" s="42">
        <f t="shared" si="17"/>
        <v>-14.861875</v>
      </c>
      <c r="I77" s="7">
        <f t="shared" si="19"/>
        <v>2.8874500000000003</v>
      </c>
      <c r="J77" s="11">
        <f>+B70*(B78)^3/12+I77*H77^2</f>
        <v>642.1050147191927</v>
      </c>
      <c r="K77" s="42">
        <f>+I77*O64</f>
        <v>2.92498685</v>
      </c>
      <c r="L77" s="11">
        <f>+B70*(B78)^3/12+K77*H77^2</f>
        <v>650.3959787943843</v>
      </c>
      <c r="P77" s="11"/>
      <c r="Q77" s="11"/>
      <c r="R77" s="11"/>
      <c r="AQ77" s="1"/>
      <c r="AR77" s="11"/>
    </row>
    <row r="78" spans="1:44" ht="14.25">
      <c r="A78" s="5" t="s">
        <v>27</v>
      </c>
      <c r="B78" s="20">
        <f>+(B69-2*B68)/B76</f>
        <v>4.24625</v>
      </c>
      <c r="C78" s="14" t="s">
        <v>1</v>
      </c>
      <c r="E78" s="7">
        <f>+E77+$B$77</f>
        <v>35.62</v>
      </c>
      <c r="F78" s="1" t="s">
        <v>28</v>
      </c>
      <c r="G78" s="7">
        <f t="shared" si="16"/>
        <v>-17.534999999999997</v>
      </c>
      <c r="H78" s="42">
        <f t="shared" si="17"/>
        <v>-17.259999999999998</v>
      </c>
      <c r="I78" s="7">
        <f>+$B$67*(E78-E77)</f>
        <v>6.616499999999966</v>
      </c>
      <c r="J78" s="11">
        <f>+B67*(B77)^3/12+I78*H78^2</f>
        <v>1971.2724263374894</v>
      </c>
      <c r="K78" s="42">
        <f>+I78*O64</f>
        <v>6.702514499999965</v>
      </c>
      <c r="L78" s="11">
        <f>+B67*(B77)^3/12+K78*H78^2</f>
        <v>1996.8967995976893</v>
      </c>
      <c r="P78" s="11"/>
      <c r="Q78" s="11"/>
      <c r="R78" s="11"/>
      <c r="AQ78" s="1"/>
      <c r="AR78" s="11"/>
    </row>
    <row r="79" spans="1:44" ht="15">
      <c r="A79" s="15" t="s">
        <v>17</v>
      </c>
      <c r="B79" s="21">
        <f>+B67*B68</f>
        <v>13.233</v>
      </c>
      <c r="C79" s="31" t="s">
        <v>59</v>
      </c>
      <c r="E79" s="7">
        <f>+E78+$B$77</f>
        <v>36.169999999999995</v>
      </c>
      <c r="F79" s="1" t="s">
        <v>28</v>
      </c>
      <c r="G79" s="7">
        <f t="shared" si="16"/>
        <v>-18.084999999999994</v>
      </c>
      <c r="H79" s="42">
        <f t="shared" si="17"/>
        <v>-17.809999999999995</v>
      </c>
      <c r="I79" s="7">
        <f>+$B$67*(E79-E78)</f>
        <v>6.616499999999966</v>
      </c>
      <c r="J79" s="11">
        <f>+B67*(B77)^3/12+I79*H79^2</f>
        <v>2098.894786587488</v>
      </c>
      <c r="K79" s="42">
        <f>+I79*O64</f>
        <v>6.702514499999965</v>
      </c>
      <c r="L79" s="11">
        <f>+B67*(B77)^3/12+K79*H79^2</f>
        <v>2126.178250530938</v>
      </c>
      <c r="P79" s="11"/>
      <c r="Q79" s="11"/>
      <c r="R79" s="11"/>
      <c r="AQ79" s="1"/>
      <c r="AR79" s="11"/>
    </row>
    <row r="80" spans="1:44" ht="15">
      <c r="A80" s="15" t="s">
        <v>18</v>
      </c>
      <c r="B80" s="21">
        <f>+(B69-2*B68)*B70</f>
        <v>23.099600000000002</v>
      </c>
      <c r="C80" s="14" t="s">
        <v>10</v>
      </c>
      <c r="D80" s="16"/>
      <c r="E80" s="7"/>
      <c r="F80" s="1"/>
      <c r="G80" s="7"/>
      <c r="I80" s="7"/>
      <c r="J80" s="11"/>
      <c r="P80" s="11"/>
      <c r="Q80" s="11"/>
      <c r="R80" s="11"/>
      <c r="AQ80" s="1"/>
      <c r="AR80" s="11"/>
    </row>
    <row r="81" spans="1:44" ht="14.25">
      <c r="A81" s="15" t="s">
        <v>75</v>
      </c>
      <c r="B81" s="8">
        <f>+B71*B73</f>
        <v>33400</v>
      </c>
      <c r="C81" s="14" t="s">
        <v>6</v>
      </c>
      <c r="E81" s="15" t="s">
        <v>73</v>
      </c>
      <c r="F81" s="11">
        <f>+B73*(K81)</f>
        <v>2510.4976399999964</v>
      </c>
      <c r="G81" s="41" t="s">
        <v>20</v>
      </c>
      <c r="H81" s="5" t="s">
        <v>68</v>
      </c>
      <c r="I81" s="7">
        <f>+SUM(I67:I79)</f>
        <v>49.56559999999994</v>
      </c>
      <c r="J81" s="11">
        <f>+SUM(J67:J79)</f>
        <v>10361.670692986645</v>
      </c>
      <c r="K81" s="7">
        <f>+SUM(K67:K79)</f>
        <v>50.209952799999925</v>
      </c>
      <c r="L81" s="11">
        <f>+SUM(L67:L79)</f>
        <v>10495.912529937455</v>
      </c>
      <c r="P81" s="11"/>
      <c r="Q81" s="11"/>
      <c r="R81" s="11"/>
      <c r="AQ81" s="1"/>
      <c r="AR81" s="11"/>
    </row>
    <row r="82" spans="2:44" ht="14.25">
      <c r="B82" s="7"/>
      <c r="C82" s="1"/>
      <c r="D82" s="1"/>
      <c r="E82" s="15" t="s">
        <v>76</v>
      </c>
      <c r="F82" s="1">
        <f>+B72*B73</f>
        <v>29000</v>
      </c>
      <c r="G82" s="41" t="s">
        <v>74</v>
      </c>
      <c r="H82" s="15" t="s">
        <v>71</v>
      </c>
      <c r="I82" s="38">
        <f>+B69*B70</f>
        <v>24.595600000000005</v>
      </c>
      <c r="K82" s="7"/>
      <c r="L82" s="1"/>
      <c r="M82" s="1"/>
      <c r="N82" s="11"/>
      <c r="O82" s="11"/>
      <c r="P82" s="11"/>
      <c r="Q82" s="11"/>
      <c r="R82" s="11"/>
      <c r="AQ82" s="1"/>
      <c r="AR82" s="11"/>
    </row>
    <row r="83" spans="2:44" ht="12.75">
      <c r="B83" s="7"/>
      <c r="C83" s="1"/>
      <c r="D83" s="1"/>
      <c r="E83" s="11"/>
      <c r="F83" s="11"/>
      <c r="G83" s="11"/>
      <c r="H83" s="11"/>
      <c r="I83" s="11"/>
      <c r="K83" s="7"/>
      <c r="L83" s="1"/>
      <c r="M83" s="1"/>
      <c r="N83" s="11"/>
      <c r="O83" s="11"/>
      <c r="P83" s="11"/>
      <c r="Q83" s="11"/>
      <c r="R83" s="11"/>
      <c r="AQ83" s="1"/>
      <c r="AR83" s="11"/>
    </row>
    <row r="84" spans="1:44" ht="14.25">
      <c r="A84" s="22" t="s">
        <v>8</v>
      </c>
      <c r="B84" s="22"/>
      <c r="C84" s="22"/>
      <c r="E84" s="4" t="s">
        <v>2</v>
      </c>
      <c r="F84" s="4" t="s">
        <v>3</v>
      </c>
      <c r="G84" s="4" t="s">
        <v>64</v>
      </c>
      <c r="H84" s="4" t="s">
        <v>66</v>
      </c>
      <c r="I84" s="4" t="s">
        <v>67</v>
      </c>
      <c r="J84" s="4" t="s">
        <v>79</v>
      </c>
      <c r="K84" s="4" t="s">
        <v>81</v>
      </c>
      <c r="L84" s="4" t="s">
        <v>82</v>
      </c>
      <c r="N84" s="26" t="s">
        <v>83</v>
      </c>
      <c r="O84" s="24">
        <v>1.011</v>
      </c>
      <c r="P84" s="11"/>
      <c r="Q84" s="11"/>
      <c r="R84" s="11"/>
      <c r="AQ84" s="1"/>
      <c r="AR84" s="11"/>
    </row>
    <row r="85" spans="1:44" ht="14.25">
      <c r="A85" s="23"/>
      <c r="B85" s="23"/>
      <c r="C85" s="23"/>
      <c r="E85" s="4" t="s">
        <v>1</v>
      </c>
      <c r="F85" s="4"/>
      <c r="G85" s="4" t="s">
        <v>1</v>
      </c>
      <c r="H85" s="4" t="s">
        <v>1</v>
      </c>
      <c r="I85" s="6" t="s">
        <v>65</v>
      </c>
      <c r="J85" s="6" t="s">
        <v>80</v>
      </c>
      <c r="K85" s="6" t="s">
        <v>65</v>
      </c>
      <c r="L85" s="6" t="s">
        <v>80</v>
      </c>
      <c r="N85" s="26"/>
      <c r="O85" s="24"/>
      <c r="P85" s="11"/>
      <c r="Q85" s="11"/>
      <c r="R85" s="11"/>
      <c r="AQ85" s="1"/>
      <c r="AR85" s="11"/>
    </row>
    <row r="86" spans="1:44" ht="12.75">
      <c r="A86" s="26" t="s">
        <v>9</v>
      </c>
      <c r="B86" s="24" t="s">
        <v>91</v>
      </c>
      <c r="C86" s="23"/>
      <c r="P86" s="11"/>
      <c r="Q86" s="11"/>
      <c r="R86" s="11"/>
      <c r="AQ86" s="1"/>
      <c r="AR86" s="11"/>
    </row>
    <row r="87" spans="1:44" ht="14.25">
      <c r="A87" s="26" t="s">
        <v>12</v>
      </c>
      <c r="B87" s="24">
        <v>12.075</v>
      </c>
      <c r="C87" s="23" t="s">
        <v>1</v>
      </c>
      <c r="E87" s="1">
        <v>0</v>
      </c>
      <c r="F87" s="1" t="s">
        <v>4</v>
      </c>
      <c r="G87" s="7">
        <f aca="true" t="shared" si="20" ref="G87:G99">+$B$89/2-E87</f>
        <v>18.165</v>
      </c>
      <c r="H87" s="7">
        <v>0</v>
      </c>
      <c r="I87" s="7">
        <v>0</v>
      </c>
      <c r="P87" s="11"/>
      <c r="Q87" s="11"/>
      <c r="R87" s="11"/>
      <c r="AQ87" s="1"/>
      <c r="AR87" s="11"/>
    </row>
    <row r="88" spans="1:44" ht="14.25">
      <c r="A88" s="26" t="s">
        <v>13</v>
      </c>
      <c r="B88" s="24">
        <v>1.18</v>
      </c>
      <c r="C88" s="23" t="s">
        <v>1</v>
      </c>
      <c r="E88" s="7">
        <f>+B97</f>
        <v>0.59</v>
      </c>
      <c r="F88" s="1" t="s">
        <v>4</v>
      </c>
      <c r="G88" s="7">
        <f t="shared" si="20"/>
        <v>17.575</v>
      </c>
      <c r="H88" s="42">
        <f aca="true" t="shared" si="21" ref="H88:H99">+(G87+G88)/2</f>
        <v>17.869999999999997</v>
      </c>
      <c r="I88" s="7">
        <f>+$B$87*(E88-E87)</f>
        <v>7.124249999999999</v>
      </c>
      <c r="J88" s="11">
        <f>+B87*(B97)^3/12+I88*H88^2</f>
        <v>2275.2425724437494</v>
      </c>
      <c r="K88" s="42">
        <f>+I88*O84</f>
        <v>7.202616749999998</v>
      </c>
      <c r="L88" s="11">
        <f>+B87*(B97)^3/12+K88*H88^2</f>
        <v>2300.267967451824</v>
      </c>
      <c r="P88" s="11"/>
      <c r="Q88" s="11"/>
      <c r="R88" s="11"/>
      <c r="AQ88" s="1"/>
      <c r="AR88" s="11"/>
    </row>
    <row r="89" spans="1:44" ht="14.25">
      <c r="A89" s="26" t="s">
        <v>14</v>
      </c>
      <c r="B89" s="24">
        <v>36.33</v>
      </c>
      <c r="C89" s="23" t="s">
        <v>1</v>
      </c>
      <c r="E89" s="7">
        <f>2*B97</f>
        <v>1.18</v>
      </c>
      <c r="F89" s="1" t="s">
        <v>4</v>
      </c>
      <c r="G89" s="7">
        <f t="shared" si="20"/>
        <v>16.985</v>
      </c>
      <c r="H89" s="42">
        <f t="shared" si="21"/>
        <v>17.28</v>
      </c>
      <c r="I89" s="7">
        <f>+$B$87*(E89-E88)</f>
        <v>7.124249999999999</v>
      </c>
      <c r="J89" s="11">
        <f>+B87*(B97)^3/12+I89*H89^2</f>
        <v>2127.49631381875</v>
      </c>
      <c r="K89" s="42">
        <f>+I89*O84</f>
        <v>7.202616749999998</v>
      </c>
      <c r="L89" s="11">
        <f>+B87*(B97)^3/12+K89*H89^2</f>
        <v>2150.89649998195</v>
      </c>
      <c r="P89" s="11"/>
      <c r="Q89" s="11"/>
      <c r="R89" s="11"/>
      <c r="AQ89" s="1"/>
      <c r="AR89" s="11"/>
    </row>
    <row r="90" spans="1:44" ht="14.25">
      <c r="A90" s="26" t="s">
        <v>15</v>
      </c>
      <c r="B90" s="24">
        <v>0.725</v>
      </c>
      <c r="C90" s="23" t="s">
        <v>1</v>
      </c>
      <c r="E90" s="7">
        <f aca="true" t="shared" si="22" ref="E90:E97">+E89+$B$98</f>
        <v>5.42625</v>
      </c>
      <c r="F90" s="1" t="s">
        <v>5</v>
      </c>
      <c r="G90" s="7">
        <f t="shared" si="20"/>
        <v>12.73875</v>
      </c>
      <c r="H90" s="42">
        <f t="shared" si="21"/>
        <v>14.861875</v>
      </c>
      <c r="I90" s="7">
        <f aca="true" t="shared" si="23" ref="I90:I97">+$B$90*(E90-E89)</f>
        <v>3.0785312499999997</v>
      </c>
      <c r="J90" s="11">
        <f>+B90*(B98)^3/12+I90*H90^2</f>
        <v>684.5972583403156</v>
      </c>
      <c r="K90" s="42">
        <f>+I90*O84</f>
        <v>3.1123950937499996</v>
      </c>
      <c r="L90" s="11">
        <f>+B90*(B98)^3/12+K90*H90^2</f>
        <v>692.0769459533986</v>
      </c>
      <c r="P90" s="11"/>
      <c r="Q90" s="11"/>
      <c r="R90" s="11"/>
      <c r="AQ90" s="1"/>
      <c r="AR90" s="11"/>
    </row>
    <row r="91" spans="1:44" ht="15">
      <c r="A91" s="26" t="s">
        <v>16</v>
      </c>
      <c r="B91" s="24">
        <v>718</v>
      </c>
      <c r="C91" s="23" t="s">
        <v>11</v>
      </c>
      <c r="E91" s="7">
        <f t="shared" si="22"/>
        <v>9.6725</v>
      </c>
      <c r="F91" s="1" t="s">
        <v>5</v>
      </c>
      <c r="G91" s="7">
        <f t="shared" si="20"/>
        <v>8.4925</v>
      </c>
      <c r="H91" s="42">
        <f t="shared" si="21"/>
        <v>10.615625</v>
      </c>
      <c r="I91" s="7">
        <f t="shared" si="23"/>
        <v>3.0785312499999997</v>
      </c>
      <c r="J91" s="11">
        <f>+B90*(B98)^3/12+I91*H91^2</f>
        <v>351.549943472054</v>
      </c>
      <c r="K91" s="42">
        <f>+I91*O84</f>
        <v>3.1123950937499996</v>
      </c>
      <c r="L91" s="11">
        <f>+B90*(B98)^3/12+K91*H91^2</f>
        <v>355.36611062158613</v>
      </c>
      <c r="P91" s="11"/>
      <c r="Q91" s="11"/>
      <c r="R91" s="11"/>
      <c r="AQ91" s="1"/>
      <c r="AR91" s="11"/>
    </row>
    <row r="92" spans="1:44" ht="15">
      <c r="A92" s="26" t="s">
        <v>63</v>
      </c>
      <c r="B92" s="24">
        <v>623</v>
      </c>
      <c r="C92" s="23" t="s">
        <v>11</v>
      </c>
      <c r="E92" s="7">
        <f t="shared" si="22"/>
        <v>13.91875</v>
      </c>
      <c r="F92" s="1" t="s">
        <v>5</v>
      </c>
      <c r="G92" s="7">
        <f t="shared" si="20"/>
        <v>4.24625</v>
      </c>
      <c r="H92" s="42">
        <f t="shared" si="21"/>
        <v>6.369375</v>
      </c>
      <c r="I92" s="7">
        <f t="shared" si="23"/>
        <v>3.0785312499999997</v>
      </c>
      <c r="J92" s="11">
        <f>+B90*(B98)^3/12+I92*H92^2</f>
        <v>129.5184002265462</v>
      </c>
      <c r="K92" s="42">
        <f>+I92*O84</f>
        <v>3.1123950937499996</v>
      </c>
      <c r="L92" s="11">
        <f>+B90*(B98)^3/12+K92*H92^2</f>
        <v>130.89222040037777</v>
      </c>
      <c r="P92" s="11"/>
      <c r="Q92" s="11"/>
      <c r="R92" s="11"/>
      <c r="AQ92" s="1"/>
      <c r="AR92" s="11"/>
    </row>
    <row r="93" spans="1:44" ht="14.25">
      <c r="A93" s="26" t="s">
        <v>62</v>
      </c>
      <c r="B93" s="24">
        <v>50</v>
      </c>
      <c r="C93" s="23" t="s">
        <v>0</v>
      </c>
      <c r="E93" s="7">
        <f t="shared" si="22"/>
        <v>18.165</v>
      </c>
      <c r="F93" s="1" t="s">
        <v>5</v>
      </c>
      <c r="G93" s="7">
        <f t="shared" si="20"/>
        <v>0</v>
      </c>
      <c r="H93" s="42">
        <f t="shared" si="21"/>
        <v>2.123125</v>
      </c>
      <c r="I93" s="7">
        <f t="shared" si="23"/>
        <v>3.0785312499999997</v>
      </c>
      <c r="J93" s="11">
        <f>+B90*(B98)^3/12+I93*H93^2</f>
        <v>18.502628603792314</v>
      </c>
      <c r="K93" s="42">
        <f>+I93*O84</f>
        <v>3.1123950937499996</v>
      </c>
      <c r="L93" s="11">
        <f>+B90*(B98)^3/12+K93*H93^2</f>
        <v>18.6552752897736</v>
      </c>
      <c r="P93" s="11"/>
      <c r="Q93" s="11"/>
      <c r="R93" s="11"/>
      <c r="AQ93" s="1"/>
      <c r="AR93" s="11"/>
    </row>
    <row r="94" spans="1:44" ht="14.25">
      <c r="A94" s="26" t="s">
        <v>77</v>
      </c>
      <c r="B94" s="24">
        <v>11300</v>
      </c>
      <c r="C94" s="23" t="s">
        <v>78</v>
      </c>
      <c r="E94" s="7">
        <f t="shared" si="22"/>
        <v>22.41125</v>
      </c>
      <c r="F94" s="1" t="s">
        <v>5</v>
      </c>
      <c r="G94" s="7">
        <f t="shared" si="20"/>
        <v>-4.24625</v>
      </c>
      <c r="H94" s="42">
        <f t="shared" si="21"/>
        <v>-2.123125</v>
      </c>
      <c r="I94" s="7">
        <f t="shared" si="23"/>
        <v>3.0785312499999997</v>
      </c>
      <c r="J94" s="11">
        <f>+B90*(B98)^3/12+I94*H94^2</f>
        <v>18.502628603792314</v>
      </c>
      <c r="K94" s="42">
        <f>+I94*O84</f>
        <v>3.1123950937499996</v>
      </c>
      <c r="L94" s="11">
        <f>+B90*(B98)^3/12+K94*H94^2</f>
        <v>18.6552752897736</v>
      </c>
      <c r="P94" s="11"/>
      <c r="Q94" s="11"/>
      <c r="R94" s="11"/>
      <c r="AQ94" s="1"/>
      <c r="AR94" s="11"/>
    </row>
    <row r="95" spans="1:44" ht="14.25">
      <c r="A95" s="28" t="s">
        <v>24</v>
      </c>
      <c r="B95" s="8">
        <v>2</v>
      </c>
      <c r="C95" s="14"/>
      <c r="E95" s="7">
        <f t="shared" si="22"/>
        <v>26.6575</v>
      </c>
      <c r="F95" s="1" t="s">
        <v>5</v>
      </c>
      <c r="G95" s="7">
        <f t="shared" si="20"/>
        <v>-8.4925</v>
      </c>
      <c r="H95" s="42">
        <f t="shared" si="21"/>
        <v>-6.369375</v>
      </c>
      <c r="I95" s="7">
        <f t="shared" si="23"/>
        <v>3.0785312499999997</v>
      </c>
      <c r="J95" s="11">
        <f>+B90*(B98)^3/12+I95*H95^2</f>
        <v>129.5184002265462</v>
      </c>
      <c r="K95" s="42">
        <f>+I95*O84</f>
        <v>3.1123950937499996</v>
      </c>
      <c r="L95" s="11">
        <f>+B90*(B98)^3/12+K95*H95^2</f>
        <v>130.89222040037777</v>
      </c>
      <c r="P95" s="11"/>
      <c r="Q95" s="11"/>
      <c r="R95" s="11"/>
      <c r="AQ95" s="1"/>
      <c r="AR95" s="11"/>
    </row>
    <row r="96" spans="1:44" ht="14.25">
      <c r="A96" s="28" t="s">
        <v>25</v>
      </c>
      <c r="B96" s="8">
        <v>8</v>
      </c>
      <c r="C96" s="14"/>
      <c r="E96" s="7">
        <f t="shared" si="22"/>
        <v>30.90375</v>
      </c>
      <c r="F96" s="1" t="s">
        <v>5</v>
      </c>
      <c r="G96" s="7">
        <f t="shared" si="20"/>
        <v>-12.73875</v>
      </c>
      <c r="H96" s="42">
        <f t="shared" si="21"/>
        <v>-10.615625</v>
      </c>
      <c r="I96" s="7">
        <f t="shared" si="23"/>
        <v>3.0785312499999997</v>
      </c>
      <c r="J96" s="11">
        <f>+B90*(B98)^3/12+I96*H96^2</f>
        <v>351.549943472054</v>
      </c>
      <c r="K96" s="42">
        <f>+I96*O84</f>
        <v>3.1123950937499996</v>
      </c>
      <c r="L96" s="11">
        <f>+B90*(B98)^3/12+K96*H96^2</f>
        <v>355.36611062158613</v>
      </c>
      <c r="P96" s="11"/>
      <c r="Q96" s="11"/>
      <c r="R96" s="11"/>
      <c r="AQ96" s="1"/>
      <c r="AR96" s="11"/>
    </row>
    <row r="97" spans="1:44" ht="14.25">
      <c r="A97" s="5" t="s">
        <v>26</v>
      </c>
      <c r="B97" s="8">
        <f>+B88/B95</f>
        <v>0.59</v>
      </c>
      <c r="C97" s="14" t="s">
        <v>1</v>
      </c>
      <c r="E97" s="7">
        <f t="shared" si="22"/>
        <v>35.15</v>
      </c>
      <c r="F97" s="1" t="s">
        <v>5</v>
      </c>
      <c r="G97" s="7">
        <f t="shared" si="20"/>
        <v>-16.985</v>
      </c>
      <c r="H97" s="42">
        <f t="shared" si="21"/>
        <v>-14.861875</v>
      </c>
      <c r="I97" s="7">
        <f t="shared" si="23"/>
        <v>3.0785312499999997</v>
      </c>
      <c r="J97" s="11">
        <f>+B90*(B98)^3/12+I97*H97^2</f>
        <v>684.5972583403156</v>
      </c>
      <c r="K97" s="42">
        <f>+I97*O84</f>
        <v>3.1123950937499996</v>
      </c>
      <c r="L97" s="11">
        <f>+B90*(B98)^3/12+K97*H97^2</f>
        <v>692.0769459533986</v>
      </c>
      <c r="P97" s="11"/>
      <c r="Q97" s="11"/>
      <c r="R97" s="11"/>
      <c r="AQ97" s="1"/>
      <c r="AR97" s="11"/>
    </row>
    <row r="98" spans="1:44" ht="14.25">
      <c r="A98" s="5" t="s">
        <v>27</v>
      </c>
      <c r="B98" s="20">
        <f>+(B89-2*B88)/B96</f>
        <v>4.24625</v>
      </c>
      <c r="C98" s="14" t="s">
        <v>1</v>
      </c>
      <c r="E98" s="7">
        <f>+E97+$B$97</f>
        <v>35.74</v>
      </c>
      <c r="F98" s="1" t="s">
        <v>28</v>
      </c>
      <c r="G98" s="7">
        <f t="shared" si="20"/>
        <v>-17.575000000000003</v>
      </c>
      <c r="H98" s="42">
        <f t="shared" si="21"/>
        <v>-17.28</v>
      </c>
      <c r="I98" s="7">
        <f>+$B$87*(E98-E97)</f>
        <v>7.124250000000041</v>
      </c>
      <c r="J98" s="11">
        <f>+B87*(B97)^3/12+I98*H98^2</f>
        <v>2127.4963138187627</v>
      </c>
      <c r="K98" s="42">
        <f>+I98*O84</f>
        <v>7.202616750000041</v>
      </c>
      <c r="L98" s="11">
        <f>+B87*(B97)^3/12+K98*H98^2</f>
        <v>2150.8964999819627</v>
      </c>
      <c r="P98" s="11"/>
      <c r="Q98" s="11"/>
      <c r="R98" s="11"/>
      <c r="AQ98" s="1"/>
      <c r="AR98" s="11"/>
    </row>
    <row r="99" spans="1:44" ht="15">
      <c r="A99" s="15" t="s">
        <v>17</v>
      </c>
      <c r="B99" s="21">
        <f>+B87*B88</f>
        <v>14.248499999999998</v>
      </c>
      <c r="C99" s="31" t="s">
        <v>59</v>
      </c>
      <c r="E99" s="7">
        <f>+E98+$B$97</f>
        <v>36.330000000000005</v>
      </c>
      <c r="F99" s="1" t="s">
        <v>28</v>
      </c>
      <c r="G99" s="7">
        <f t="shared" si="20"/>
        <v>-18.165000000000006</v>
      </c>
      <c r="H99" s="42">
        <f t="shared" si="21"/>
        <v>-17.870000000000005</v>
      </c>
      <c r="I99" s="7">
        <f>+$B$87*(E99-E98)</f>
        <v>7.124250000000041</v>
      </c>
      <c r="J99" s="11">
        <f>+B87*(B97)^3/12+I99*H99^2</f>
        <v>2275.2425724437644</v>
      </c>
      <c r="K99" s="42">
        <f>+I99*O84</f>
        <v>7.202616750000041</v>
      </c>
      <c r="L99" s="11">
        <f>+B87*(B97)^3/12+K99*H99^2</f>
        <v>2300.2679674518395</v>
      </c>
      <c r="P99" s="11"/>
      <c r="Q99" s="11"/>
      <c r="R99" s="11"/>
      <c r="AQ99" s="1"/>
      <c r="AR99" s="11"/>
    </row>
    <row r="100" spans="1:44" ht="15">
      <c r="A100" s="15" t="s">
        <v>18</v>
      </c>
      <c r="B100" s="21">
        <f>+(B89-2*B88)*B90</f>
        <v>24.628249999999998</v>
      </c>
      <c r="C100" s="14" t="s">
        <v>10</v>
      </c>
      <c r="D100" s="16"/>
      <c r="E100" s="7"/>
      <c r="F100" s="1"/>
      <c r="G100" s="7"/>
      <c r="I100" s="7"/>
      <c r="J100" s="11"/>
      <c r="P100" s="11"/>
      <c r="Q100" s="11"/>
      <c r="R100" s="11"/>
      <c r="AQ100" s="1"/>
      <c r="AR100" s="11"/>
    </row>
    <row r="101" spans="1:44" ht="14.25">
      <c r="A101" s="15" t="s">
        <v>75</v>
      </c>
      <c r="B101" s="8">
        <f>+B91*B93</f>
        <v>35900</v>
      </c>
      <c r="C101" s="14" t="s">
        <v>6</v>
      </c>
      <c r="E101" s="15" t="s">
        <v>73</v>
      </c>
      <c r="F101" s="11">
        <f>+B93*(K101)</f>
        <v>2685.481387500004</v>
      </c>
      <c r="G101" s="41" t="s">
        <v>20</v>
      </c>
      <c r="H101" s="5" t="s">
        <v>68</v>
      </c>
      <c r="I101" s="7">
        <f>+SUM(I87:I99)</f>
        <v>53.12525000000007</v>
      </c>
      <c r="J101" s="11">
        <f>+SUM(J87:J99)</f>
        <v>11173.81423381044</v>
      </c>
      <c r="K101" s="7">
        <f>+SUM(K87:K99)</f>
        <v>53.70962775000008</v>
      </c>
      <c r="L101" s="11">
        <f>+SUM(L87:L99)</f>
        <v>11296.310039397846</v>
      </c>
      <c r="P101" s="11"/>
      <c r="Q101" s="11"/>
      <c r="R101" s="11"/>
      <c r="AQ101" s="1"/>
      <c r="AR101" s="11"/>
    </row>
    <row r="102" spans="2:44" ht="14.25">
      <c r="B102" s="7"/>
      <c r="C102" s="1"/>
      <c r="D102" s="1"/>
      <c r="E102" s="15" t="s">
        <v>76</v>
      </c>
      <c r="F102" s="1">
        <f>+B92*B93</f>
        <v>31150</v>
      </c>
      <c r="G102" s="41" t="s">
        <v>74</v>
      </c>
      <c r="H102" s="15" t="s">
        <v>71</v>
      </c>
      <c r="I102" s="38">
        <f>+B89*B90</f>
        <v>26.339249999999996</v>
      </c>
      <c r="K102" s="7"/>
      <c r="L102" s="1"/>
      <c r="M102" s="1"/>
      <c r="N102" s="11"/>
      <c r="O102" s="11"/>
      <c r="P102" s="11"/>
      <c r="Q102" s="11"/>
      <c r="R102" s="11"/>
      <c r="AQ102" s="1"/>
      <c r="AR102" s="11"/>
    </row>
    <row r="103" spans="2:44" ht="12.75">
      <c r="B103" s="7"/>
      <c r="C103" s="1"/>
      <c r="D103" s="1"/>
      <c r="E103" s="11"/>
      <c r="F103" s="11"/>
      <c r="G103" s="11"/>
      <c r="H103" s="11"/>
      <c r="I103" s="11"/>
      <c r="K103" s="7"/>
      <c r="L103" s="1"/>
      <c r="M103" s="1"/>
      <c r="N103" s="11"/>
      <c r="O103" s="11"/>
      <c r="P103" s="11"/>
      <c r="Q103" s="11"/>
      <c r="R103" s="11"/>
      <c r="AQ103" s="1"/>
      <c r="AR103" s="11"/>
    </row>
    <row r="104" spans="1:44" ht="14.25">
      <c r="A104" s="22" t="s">
        <v>72</v>
      </c>
      <c r="B104" s="22"/>
      <c r="C104" s="22"/>
      <c r="E104" s="4" t="s">
        <v>2</v>
      </c>
      <c r="F104" s="4" t="s">
        <v>3</v>
      </c>
      <c r="G104" s="4" t="s">
        <v>64</v>
      </c>
      <c r="H104" s="4" t="s">
        <v>66</v>
      </c>
      <c r="I104" s="4" t="s">
        <v>67</v>
      </c>
      <c r="J104" s="4" t="s">
        <v>79</v>
      </c>
      <c r="K104" s="4" t="s">
        <v>81</v>
      </c>
      <c r="L104" s="4" t="s">
        <v>82</v>
      </c>
      <c r="N104" s="26" t="s">
        <v>83</v>
      </c>
      <c r="O104" s="24">
        <v>1.011</v>
      </c>
      <c r="P104" s="11"/>
      <c r="Q104" s="11"/>
      <c r="R104" s="11"/>
      <c r="AQ104" s="1"/>
      <c r="AR104" s="11"/>
    </row>
    <row r="105" spans="1:44" ht="14.25">
      <c r="A105" s="23"/>
      <c r="B105" s="23"/>
      <c r="C105" s="23"/>
      <c r="E105" s="4" t="s">
        <v>1</v>
      </c>
      <c r="F105" s="4"/>
      <c r="G105" s="4" t="s">
        <v>1</v>
      </c>
      <c r="H105" s="4" t="s">
        <v>1</v>
      </c>
      <c r="I105" s="6" t="s">
        <v>65</v>
      </c>
      <c r="J105" s="6" t="s">
        <v>80</v>
      </c>
      <c r="K105" s="6" t="s">
        <v>65</v>
      </c>
      <c r="L105" s="6" t="s">
        <v>80</v>
      </c>
      <c r="N105" s="26"/>
      <c r="O105" s="24"/>
      <c r="P105" s="11"/>
      <c r="Q105" s="11"/>
      <c r="R105" s="11"/>
      <c r="AQ105" s="1"/>
      <c r="AR105" s="11"/>
    </row>
    <row r="106" spans="1:44" ht="12.75">
      <c r="A106" s="26" t="s">
        <v>9</v>
      </c>
      <c r="B106" s="24" t="s">
        <v>92</v>
      </c>
      <c r="C106" s="23"/>
      <c r="P106" s="11"/>
      <c r="Q106" s="11"/>
      <c r="R106" s="11"/>
      <c r="AQ106" s="1"/>
      <c r="AR106" s="11"/>
    </row>
    <row r="107" spans="1:44" ht="14.25">
      <c r="A107" s="26" t="s">
        <v>12</v>
      </c>
      <c r="B107" s="24">
        <v>12.115</v>
      </c>
      <c r="C107" s="23" t="s">
        <v>1</v>
      </c>
      <c r="E107" s="1">
        <v>0</v>
      </c>
      <c r="F107" s="1" t="s">
        <v>4</v>
      </c>
      <c r="G107" s="7">
        <f aca="true" t="shared" si="24" ref="G107:G119">+$B$109/2-E107</f>
        <v>18.245</v>
      </c>
      <c r="H107" s="7">
        <v>0</v>
      </c>
      <c r="I107" s="7">
        <v>0</v>
      </c>
      <c r="P107" s="11"/>
      <c r="Q107" s="11"/>
      <c r="R107" s="11"/>
      <c r="AQ107" s="1"/>
      <c r="AR107" s="11"/>
    </row>
    <row r="108" spans="1:44" ht="14.25">
      <c r="A108" s="26" t="s">
        <v>13</v>
      </c>
      <c r="B108" s="24">
        <v>1.26</v>
      </c>
      <c r="C108" s="23" t="s">
        <v>1</v>
      </c>
      <c r="E108" s="7">
        <f>+B117</f>
        <v>0.63</v>
      </c>
      <c r="F108" s="1" t="s">
        <v>4</v>
      </c>
      <c r="G108" s="7">
        <f t="shared" si="24"/>
        <v>17.615000000000002</v>
      </c>
      <c r="H108" s="42">
        <f aca="true" t="shared" si="25" ref="H108:H119">+(G107+G108)/2</f>
        <v>17.93</v>
      </c>
      <c r="I108" s="7">
        <f>+$B$107*(E108-E107)</f>
        <v>7.63245</v>
      </c>
      <c r="J108" s="11">
        <f>+B107*(B117)^3/12+I108*H108^2</f>
        <v>2453.9698682887497</v>
      </c>
      <c r="K108" s="42">
        <f>+I108*O104</f>
        <v>7.71640695</v>
      </c>
      <c r="L108" s="11">
        <f>+B107*(B117)^3/12+K108*H108^2</f>
        <v>2480.960759963805</v>
      </c>
      <c r="P108" s="11"/>
      <c r="Q108" s="11"/>
      <c r="R108" s="11"/>
      <c r="AQ108" s="1"/>
      <c r="AR108" s="11"/>
    </row>
    <row r="109" spans="1:44" ht="14.25">
      <c r="A109" s="26" t="s">
        <v>84</v>
      </c>
      <c r="B109" s="24">
        <v>36.49</v>
      </c>
      <c r="C109" s="23" t="s">
        <v>1</v>
      </c>
      <c r="E109" s="7">
        <f>2*B117</f>
        <v>1.26</v>
      </c>
      <c r="F109" s="1" t="s">
        <v>4</v>
      </c>
      <c r="G109" s="7">
        <f t="shared" si="24"/>
        <v>16.985</v>
      </c>
      <c r="H109" s="42">
        <f t="shared" si="25"/>
        <v>17.3</v>
      </c>
      <c r="I109" s="7">
        <f>+$B$107*(E109-E108)</f>
        <v>7.63245</v>
      </c>
      <c r="J109" s="11">
        <f>+B107*(B117)^3/12+I109*H109^2</f>
        <v>2284.56840378375</v>
      </c>
      <c r="K109" s="42">
        <f>+I109*O104</f>
        <v>7.71640695</v>
      </c>
      <c r="L109" s="11">
        <f>+B107*(B117)^3/12+K109*H109^2</f>
        <v>2309.69587934925</v>
      </c>
      <c r="P109" s="11"/>
      <c r="Q109" s="11"/>
      <c r="R109" s="11"/>
      <c r="AQ109" s="1"/>
      <c r="AR109" s="11"/>
    </row>
    <row r="110" spans="1:44" ht="14.25">
      <c r="A110" s="26" t="s">
        <v>15</v>
      </c>
      <c r="B110" s="24">
        <v>0.765</v>
      </c>
      <c r="C110" s="23" t="s">
        <v>1</v>
      </c>
      <c r="E110" s="7">
        <f aca="true" t="shared" si="26" ref="E110:E117">+E109+$B$118</f>
        <v>5.50625</v>
      </c>
      <c r="F110" s="1" t="s">
        <v>5</v>
      </c>
      <c r="G110" s="7">
        <f t="shared" si="24"/>
        <v>12.738750000000001</v>
      </c>
      <c r="H110" s="42">
        <f t="shared" si="25"/>
        <v>14.861875000000001</v>
      </c>
      <c r="I110" s="7">
        <f aca="true" t="shared" si="27" ref="I110:I117">+$B$110*(E110-E109)</f>
        <v>3.24838125</v>
      </c>
      <c r="J110" s="11">
        <f>+B110*(B118)^3/12+I110*H110^2</f>
        <v>722.3681415590919</v>
      </c>
      <c r="K110" s="42">
        <f>+I110*O104</f>
        <v>3.2841134437499995</v>
      </c>
      <c r="L110" s="11">
        <f>+B110*(B118)^3/12+K110*H110^2</f>
        <v>730.260501592207</v>
      </c>
      <c r="P110" s="11"/>
      <c r="Q110" s="11"/>
      <c r="R110" s="11"/>
      <c r="AQ110" s="1"/>
      <c r="AR110" s="11"/>
    </row>
    <row r="111" spans="1:44" ht="15">
      <c r="A111" s="26" t="s">
        <v>16</v>
      </c>
      <c r="B111" s="24">
        <v>767</v>
      </c>
      <c r="C111" s="23" t="s">
        <v>11</v>
      </c>
      <c r="E111" s="7">
        <f t="shared" si="26"/>
        <v>9.7525</v>
      </c>
      <c r="F111" s="1" t="s">
        <v>5</v>
      </c>
      <c r="G111" s="7">
        <f t="shared" si="24"/>
        <v>8.492500000000001</v>
      </c>
      <c r="H111" s="42">
        <f t="shared" si="25"/>
        <v>10.615625000000001</v>
      </c>
      <c r="I111" s="7">
        <f t="shared" si="27"/>
        <v>3.24838125</v>
      </c>
      <c r="J111" s="11">
        <f>+B110*(B118)^3/12+I111*H111^2</f>
        <v>370.9458024222364</v>
      </c>
      <c r="K111" s="42">
        <f>+I111*O104</f>
        <v>3.2841134437499995</v>
      </c>
      <c r="L111" s="11">
        <f>+B110*(B118)^3/12+K111*H111^2</f>
        <v>374.9725167248461</v>
      </c>
      <c r="P111" s="11"/>
      <c r="Q111" s="11"/>
      <c r="R111" s="11"/>
      <c r="AQ111" s="1"/>
      <c r="AR111" s="11"/>
    </row>
    <row r="112" spans="1:44" ht="15">
      <c r="A112" s="26" t="s">
        <v>63</v>
      </c>
      <c r="B112" s="24">
        <v>664</v>
      </c>
      <c r="C112" s="23" t="s">
        <v>11</v>
      </c>
      <c r="E112" s="7">
        <f t="shared" si="26"/>
        <v>13.99875</v>
      </c>
      <c r="F112" s="1" t="s">
        <v>5</v>
      </c>
      <c r="G112" s="7">
        <f t="shared" si="24"/>
        <v>4.246250000000002</v>
      </c>
      <c r="H112" s="42">
        <f t="shared" si="25"/>
        <v>6.369375000000002</v>
      </c>
      <c r="I112" s="7">
        <f t="shared" si="27"/>
        <v>3.24838125</v>
      </c>
      <c r="J112" s="11">
        <f>+B110*(B118)^3/12+I112*H112^2</f>
        <v>136.6642429976661</v>
      </c>
      <c r="K112" s="42">
        <f>+I112*O104</f>
        <v>3.2841134437499995</v>
      </c>
      <c r="L112" s="11">
        <f>+B110*(B118)^3/12+K112*H112^2</f>
        <v>138.11386014660562</v>
      </c>
      <c r="P112" s="11"/>
      <c r="Q112" s="11"/>
      <c r="R112" s="11"/>
      <c r="AQ112" s="1"/>
      <c r="AR112" s="11"/>
    </row>
    <row r="113" spans="1:44" ht="14.25">
      <c r="A113" s="26" t="s">
        <v>62</v>
      </c>
      <c r="B113" s="24">
        <v>50</v>
      </c>
      <c r="C113" s="23" t="s">
        <v>0</v>
      </c>
      <c r="E113" s="7">
        <f t="shared" si="26"/>
        <v>18.244999999999997</v>
      </c>
      <c r="F113" s="1" t="s">
        <v>5</v>
      </c>
      <c r="G113" s="7">
        <f t="shared" si="24"/>
        <v>0</v>
      </c>
      <c r="H113" s="42">
        <f t="shared" si="25"/>
        <v>2.123125000000001</v>
      </c>
      <c r="I113" s="7">
        <f t="shared" si="27"/>
        <v>3.2483812499999987</v>
      </c>
      <c r="J113" s="11">
        <f>+B110*(B118)^3/12+I113*H113^2</f>
        <v>19.523463285380863</v>
      </c>
      <c r="K113" s="42">
        <f>+I113*O104</f>
        <v>3.284113443749998</v>
      </c>
      <c r="L113" s="11">
        <f>+B110*(B118)^3/12+K113*H113^2</f>
        <v>19.684531857485254</v>
      </c>
      <c r="P113" s="11"/>
      <c r="Q113" s="11"/>
      <c r="R113" s="11"/>
      <c r="AQ113" s="1"/>
      <c r="AR113" s="11"/>
    </row>
    <row r="114" spans="1:44" ht="14.25">
      <c r="A114" s="26" t="s">
        <v>77</v>
      </c>
      <c r="B114" s="24">
        <v>12100</v>
      </c>
      <c r="C114" s="23" t="s">
        <v>78</v>
      </c>
      <c r="E114" s="7">
        <f t="shared" si="26"/>
        <v>22.491249999999997</v>
      </c>
      <c r="F114" s="1" t="s">
        <v>5</v>
      </c>
      <c r="G114" s="7">
        <f t="shared" si="24"/>
        <v>-4.246249999999996</v>
      </c>
      <c r="H114" s="42">
        <f t="shared" si="25"/>
        <v>-2.123124999999998</v>
      </c>
      <c r="I114" s="7">
        <f t="shared" si="27"/>
        <v>3.24838125</v>
      </c>
      <c r="J114" s="11">
        <f>+B110*(B118)^3/12+I114*H114^2</f>
        <v>19.523463285380835</v>
      </c>
      <c r="K114" s="42">
        <f>+I114*O104</f>
        <v>3.2841134437499995</v>
      </c>
      <c r="L114" s="11">
        <f>+B110*(B118)^3/12+K114*H114^2</f>
        <v>19.684531857485222</v>
      </c>
      <c r="P114" s="11"/>
      <c r="Q114" s="11"/>
      <c r="R114" s="11"/>
      <c r="AQ114" s="1"/>
      <c r="AR114" s="11"/>
    </row>
    <row r="115" spans="1:44" ht="14.25">
      <c r="A115" s="28" t="s">
        <v>24</v>
      </c>
      <c r="B115" s="8">
        <v>2</v>
      </c>
      <c r="C115" s="14"/>
      <c r="E115" s="7">
        <f t="shared" si="26"/>
        <v>26.737499999999997</v>
      </c>
      <c r="F115" s="1" t="s">
        <v>5</v>
      </c>
      <c r="G115" s="7">
        <f t="shared" si="24"/>
        <v>-8.492499999999996</v>
      </c>
      <c r="H115" s="42">
        <f t="shared" si="25"/>
        <v>-6.369374999999996</v>
      </c>
      <c r="I115" s="7">
        <f t="shared" si="27"/>
        <v>3.24838125</v>
      </c>
      <c r="J115" s="11">
        <f>+B110*(B118)^3/12+I115*H115^2</f>
        <v>136.66424299766587</v>
      </c>
      <c r="K115" s="42">
        <f>+I115*O104</f>
        <v>3.2841134437499995</v>
      </c>
      <c r="L115" s="11">
        <f>+B110*(B118)^3/12+K115*H115^2</f>
        <v>138.11386014660536</v>
      </c>
      <c r="P115" s="11"/>
      <c r="Q115" s="11"/>
      <c r="R115" s="11"/>
      <c r="AQ115" s="1"/>
      <c r="AR115" s="11"/>
    </row>
    <row r="116" spans="1:44" ht="14.25">
      <c r="A116" s="28" t="s">
        <v>25</v>
      </c>
      <c r="B116" s="8">
        <v>8</v>
      </c>
      <c r="C116" s="14"/>
      <c r="E116" s="7">
        <f t="shared" si="26"/>
        <v>30.983749999999997</v>
      </c>
      <c r="F116" s="1" t="s">
        <v>5</v>
      </c>
      <c r="G116" s="7">
        <f t="shared" si="24"/>
        <v>-12.738749999999996</v>
      </c>
      <c r="H116" s="42">
        <f t="shared" si="25"/>
        <v>-10.615624999999996</v>
      </c>
      <c r="I116" s="7">
        <f t="shared" si="27"/>
        <v>3.24838125</v>
      </c>
      <c r="J116" s="11">
        <f>+B110*(B118)^3/12+I116*H116^2</f>
        <v>370.945802422236</v>
      </c>
      <c r="K116" s="42">
        <f>+I116*O104</f>
        <v>3.2841134437499995</v>
      </c>
      <c r="L116" s="11">
        <f>+B110*(B118)^3/12+K116*H116^2</f>
        <v>374.9725167248458</v>
      </c>
      <c r="P116" s="11"/>
      <c r="Q116" s="11"/>
      <c r="R116" s="11"/>
      <c r="AQ116" s="1"/>
      <c r="AR116" s="11"/>
    </row>
    <row r="117" spans="1:44" ht="14.25">
      <c r="A117" s="5" t="s">
        <v>26</v>
      </c>
      <c r="B117" s="8">
        <f>+B108/B115</f>
        <v>0.63</v>
      </c>
      <c r="C117" s="14" t="s">
        <v>1</v>
      </c>
      <c r="E117" s="7">
        <f t="shared" si="26"/>
        <v>35.23</v>
      </c>
      <c r="F117" s="1" t="s">
        <v>5</v>
      </c>
      <c r="G117" s="7">
        <f t="shared" si="24"/>
        <v>-16.984999999999996</v>
      </c>
      <c r="H117" s="42">
        <f t="shared" si="25"/>
        <v>-14.861874999999996</v>
      </c>
      <c r="I117" s="7">
        <f t="shared" si="27"/>
        <v>3.24838125</v>
      </c>
      <c r="J117" s="11">
        <f>+B110*(B118)^3/12+I117*H117^2</f>
        <v>722.3681415590914</v>
      </c>
      <c r="K117" s="42">
        <f>+I117*O104</f>
        <v>3.2841134437499995</v>
      </c>
      <c r="L117" s="11">
        <f>+B110*(B118)^3/12+K117*H117^2</f>
        <v>730.2605015922065</v>
      </c>
      <c r="P117" s="11"/>
      <c r="Q117" s="11"/>
      <c r="R117" s="11"/>
      <c r="AQ117" s="1"/>
      <c r="AR117" s="11"/>
    </row>
    <row r="118" spans="1:44" ht="14.25">
      <c r="A118" s="5" t="s">
        <v>27</v>
      </c>
      <c r="B118" s="20">
        <f>+(B109-2*B108)/B116</f>
        <v>4.24625</v>
      </c>
      <c r="C118" s="14" t="s">
        <v>1</v>
      </c>
      <c r="E118" s="7">
        <f>+E117+$B$117</f>
        <v>35.86</v>
      </c>
      <c r="F118" s="1" t="s">
        <v>28</v>
      </c>
      <c r="G118" s="7">
        <f t="shared" si="24"/>
        <v>-17.615</v>
      </c>
      <c r="H118" s="42">
        <f t="shared" si="25"/>
        <v>-17.299999999999997</v>
      </c>
      <c r="I118" s="7">
        <f>+$B$107*(E118-E117)</f>
        <v>7.6324500000000315</v>
      </c>
      <c r="J118" s="11">
        <f>+B107*(B117)^3/12+I118*H118^2</f>
        <v>2284.5684037837586</v>
      </c>
      <c r="K118" s="42">
        <f>+I118*O104</f>
        <v>7.716406950000031</v>
      </c>
      <c r="L118" s="11">
        <f>+B107*(B117)^3/12+K118*H118^2</f>
        <v>2309.6958793492586</v>
      </c>
      <c r="P118" s="11"/>
      <c r="Q118" s="11"/>
      <c r="R118" s="11"/>
      <c r="AQ118" s="1"/>
      <c r="AR118" s="11"/>
    </row>
    <row r="119" spans="1:44" ht="15">
      <c r="A119" s="15" t="s">
        <v>17</v>
      </c>
      <c r="B119" s="21">
        <f>+B107*B108</f>
        <v>15.2649</v>
      </c>
      <c r="C119" s="31" t="s">
        <v>59</v>
      </c>
      <c r="E119" s="7">
        <f>+E118+$B$117</f>
        <v>36.49</v>
      </c>
      <c r="F119" s="1" t="s">
        <v>28</v>
      </c>
      <c r="G119" s="7">
        <f t="shared" si="24"/>
        <v>-18.245</v>
      </c>
      <c r="H119" s="42">
        <f t="shared" si="25"/>
        <v>-17.93</v>
      </c>
      <c r="I119" s="7">
        <f>+$B$107*(E119-E118)</f>
        <v>7.6324500000000315</v>
      </c>
      <c r="J119" s="11">
        <f>+B107*(B117)^3/12+I119*H119^2</f>
        <v>2453.9698682887597</v>
      </c>
      <c r="K119" s="42">
        <f>+I119*O104</f>
        <v>7.716406950000031</v>
      </c>
      <c r="L119" s="11">
        <f>+B107*(B117)^3/12+K119*H119^2</f>
        <v>2480.960759963815</v>
      </c>
      <c r="P119" s="11"/>
      <c r="Q119" s="11"/>
      <c r="R119" s="11"/>
      <c r="AQ119" s="1"/>
      <c r="AR119" s="11"/>
    </row>
    <row r="120" spans="1:44" ht="15">
      <c r="A120" s="15" t="s">
        <v>18</v>
      </c>
      <c r="B120" s="21">
        <f>+(B109-2*B108)*B110</f>
        <v>25.98705</v>
      </c>
      <c r="C120" s="14" t="s">
        <v>10</v>
      </c>
      <c r="D120" s="16"/>
      <c r="E120" s="7"/>
      <c r="F120" s="1"/>
      <c r="G120" s="7"/>
      <c r="I120" s="7"/>
      <c r="J120" s="11"/>
      <c r="P120" s="11"/>
      <c r="Q120" s="11"/>
      <c r="R120" s="11"/>
      <c r="AQ120" s="1"/>
      <c r="AR120" s="11"/>
    </row>
    <row r="121" spans="1:44" ht="14.25">
      <c r="A121" s="15" t="s">
        <v>75</v>
      </c>
      <c r="B121" s="8">
        <f>+B111*B113</f>
        <v>38350</v>
      </c>
      <c r="C121" s="14" t="s">
        <v>6</v>
      </c>
      <c r="E121" s="15" t="s">
        <v>73</v>
      </c>
      <c r="F121" s="11">
        <f>+B113*(K121)</f>
        <v>2856.9267675000024</v>
      </c>
      <c r="G121" s="41" t="s">
        <v>20</v>
      </c>
      <c r="H121" s="5" t="s">
        <v>68</v>
      </c>
      <c r="I121" s="7">
        <f>+SUM(I107:I119)</f>
        <v>56.516850000000076</v>
      </c>
      <c r="J121" s="11">
        <f>+SUM(J107:J119)</f>
        <v>11976.079844673766</v>
      </c>
      <c r="K121" s="7">
        <f>+SUM(K107:K119)</f>
        <v>57.13853535000005</v>
      </c>
      <c r="L121" s="11">
        <f>+SUM(L107:L119)</f>
        <v>12107.376099268415</v>
      </c>
      <c r="P121" s="11"/>
      <c r="Q121" s="11"/>
      <c r="R121" s="11"/>
      <c r="AQ121" s="1"/>
      <c r="AR121" s="11"/>
    </row>
    <row r="122" spans="2:44" ht="14.25">
      <c r="B122" s="7"/>
      <c r="C122" s="1"/>
      <c r="D122" s="1"/>
      <c r="E122" s="15" t="s">
        <v>76</v>
      </c>
      <c r="F122" s="1">
        <f>+B112*B113</f>
        <v>33200</v>
      </c>
      <c r="G122" s="41" t="s">
        <v>74</v>
      </c>
      <c r="H122" s="15" t="s">
        <v>71</v>
      </c>
      <c r="I122" s="38">
        <f>+B109*B110</f>
        <v>27.91485</v>
      </c>
      <c r="K122" s="7"/>
      <c r="L122" s="1"/>
      <c r="M122" s="1"/>
      <c r="N122" s="11"/>
      <c r="O122" s="11"/>
      <c r="P122" s="11"/>
      <c r="Q122" s="11"/>
      <c r="R122" s="11"/>
      <c r="AQ122" s="1"/>
      <c r="AR122" s="11"/>
    </row>
    <row r="123" spans="2:44" ht="12.75">
      <c r="B123" s="7"/>
      <c r="C123" s="1"/>
      <c r="D123" s="1"/>
      <c r="E123" s="11"/>
      <c r="F123" s="11"/>
      <c r="G123" s="11"/>
      <c r="H123" s="11"/>
      <c r="I123" s="11"/>
      <c r="K123" s="7"/>
      <c r="L123" s="1"/>
      <c r="M123" s="1"/>
      <c r="N123" s="11"/>
      <c r="O123" s="11"/>
      <c r="P123" s="11"/>
      <c r="Q123" s="11"/>
      <c r="R123" s="11"/>
      <c r="AQ123" s="1"/>
      <c r="AR123" s="11"/>
    </row>
    <row r="124" spans="1:44" ht="14.25">
      <c r="A124" s="22" t="s">
        <v>72</v>
      </c>
      <c r="B124" s="22"/>
      <c r="C124" s="22"/>
      <c r="E124" s="4" t="s">
        <v>2</v>
      </c>
      <c r="F124" s="4" t="s">
        <v>3</v>
      </c>
      <c r="G124" s="4" t="s">
        <v>64</v>
      </c>
      <c r="H124" s="4" t="s">
        <v>66</v>
      </c>
      <c r="I124" s="4" t="s">
        <v>67</v>
      </c>
      <c r="J124" s="4" t="s">
        <v>79</v>
      </c>
      <c r="K124" s="4" t="s">
        <v>81</v>
      </c>
      <c r="L124" s="4" t="s">
        <v>82</v>
      </c>
      <c r="N124" s="26" t="s">
        <v>83</v>
      </c>
      <c r="O124" s="24">
        <v>1.00257</v>
      </c>
      <c r="P124" s="11"/>
      <c r="Q124" s="11"/>
      <c r="R124" s="11"/>
      <c r="AQ124" s="1"/>
      <c r="AR124" s="11"/>
    </row>
    <row r="125" spans="1:44" ht="14.25">
      <c r="A125" s="23"/>
      <c r="B125" s="23"/>
      <c r="C125" s="23"/>
      <c r="E125" s="4" t="s">
        <v>1</v>
      </c>
      <c r="F125" s="4"/>
      <c r="G125" s="4" t="s">
        <v>1</v>
      </c>
      <c r="H125" s="4" t="s">
        <v>1</v>
      </c>
      <c r="I125" s="6" t="s">
        <v>65</v>
      </c>
      <c r="J125" s="6" t="s">
        <v>80</v>
      </c>
      <c r="K125" s="6" t="s">
        <v>65</v>
      </c>
      <c r="L125" s="6" t="s">
        <v>80</v>
      </c>
      <c r="N125" s="26"/>
      <c r="O125" s="24"/>
      <c r="P125" s="11"/>
      <c r="Q125" s="11"/>
      <c r="R125" s="11"/>
      <c r="AQ125" s="1"/>
      <c r="AR125" s="11"/>
    </row>
    <row r="126" spans="1:44" ht="12.75">
      <c r="A126" s="26" t="s">
        <v>9</v>
      </c>
      <c r="B126" s="24" t="s">
        <v>61</v>
      </c>
      <c r="C126" s="23"/>
      <c r="P126" s="11"/>
      <c r="Q126" s="11"/>
      <c r="R126" s="11"/>
      <c r="AQ126" s="1"/>
      <c r="AR126" s="11"/>
    </row>
    <row r="127" spans="1:44" ht="14.25">
      <c r="A127" s="26" t="s">
        <v>12</v>
      </c>
      <c r="B127" s="24">
        <v>16.59</v>
      </c>
      <c r="C127" s="23" t="s">
        <v>1</v>
      </c>
      <c r="E127" s="1">
        <v>0</v>
      </c>
      <c r="F127" s="1" t="s">
        <v>4</v>
      </c>
      <c r="G127" s="7">
        <f aca="true" t="shared" si="28" ref="G127:G139">+$B$129/2-E127</f>
        <v>9.145</v>
      </c>
      <c r="H127" s="7">
        <v>0</v>
      </c>
      <c r="I127" s="7">
        <v>0</v>
      </c>
      <c r="P127" s="11"/>
      <c r="Q127" s="11"/>
      <c r="R127" s="11"/>
      <c r="AQ127" s="1"/>
      <c r="AR127" s="11"/>
    </row>
    <row r="128" spans="1:44" ht="14.25">
      <c r="A128" s="26" t="s">
        <v>13</v>
      </c>
      <c r="B128" s="24">
        <v>2.845</v>
      </c>
      <c r="C128" s="23" t="s">
        <v>1</v>
      </c>
      <c r="E128" s="7">
        <f>+B137</f>
        <v>1.4225</v>
      </c>
      <c r="F128" s="1" t="s">
        <v>4</v>
      </c>
      <c r="G128" s="7">
        <f t="shared" si="28"/>
        <v>7.722499999999999</v>
      </c>
      <c r="H128" s="42">
        <f aca="true" t="shared" si="29" ref="H128:H139">+(G127+G128)/2</f>
        <v>8.43375</v>
      </c>
      <c r="I128" s="7">
        <f>+$B$127*(E128-E127)</f>
        <v>23.599275000000002</v>
      </c>
      <c r="J128" s="11">
        <f>+B127*(B137)^3/12+I128*H128^2</f>
        <v>1682.551954012344</v>
      </c>
      <c r="K128" s="42">
        <f>+I128*O124</f>
        <v>23.65992513675</v>
      </c>
      <c r="L128" s="11">
        <f>+B127*(B137)^3/12+K128*H128^2</f>
        <v>1686.8658853732575</v>
      </c>
      <c r="P128" s="11"/>
      <c r="Q128" s="11"/>
      <c r="R128" s="11"/>
      <c r="AQ128" s="1"/>
      <c r="AR128" s="11"/>
    </row>
    <row r="129" spans="1:44" ht="14.25">
      <c r="A129" s="26" t="s">
        <v>84</v>
      </c>
      <c r="B129" s="24">
        <v>18.29</v>
      </c>
      <c r="C129" s="23" t="s">
        <v>1</v>
      </c>
      <c r="E129" s="7">
        <f>2*B137</f>
        <v>2.845</v>
      </c>
      <c r="F129" s="1" t="s">
        <v>4</v>
      </c>
      <c r="G129" s="7">
        <f t="shared" si="28"/>
        <v>6.299999999999999</v>
      </c>
      <c r="H129" s="42">
        <f t="shared" si="29"/>
        <v>7.011249999999999</v>
      </c>
      <c r="I129" s="7">
        <f>+$B$127*(E129-E128)</f>
        <v>23.599275000000002</v>
      </c>
      <c r="J129" s="11">
        <f>+B127*(B137)^3/12+I129*H129^2</f>
        <v>1164.0637876339058</v>
      </c>
      <c r="K129" s="42">
        <f>+I129*O124</f>
        <v>23.65992513675</v>
      </c>
      <c r="L129" s="11">
        <f>+B127*(B137)^3/12+K129*H129^2</f>
        <v>1167.0452044072267</v>
      </c>
      <c r="P129" s="11"/>
      <c r="Q129" s="11"/>
      <c r="R129" s="11"/>
      <c r="AQ129" s="1"/>
      <c r="AR129" s="11"/>
    </row>
    <row r="130" spans="1:44" ht="14.25">
      <c r="A130" s="26" t="s">
        <v>15</v>
      </c>
      <c r="B130" s="24">
        <v>1.77</v>
      </c>
      <c r="C130" s="23" t="s">
        <v>1</v>
      </c>
      <c r="E130" s="7">
        <f aca="true" t="shared" si="30" ref="E130:E137">+E129+$B$138</f>
        <v>4.42</v>
      </c>
      <c r="F130" s="1" t="s">
        <v>5</v>
      </c>
      <c r="G130" s="7">
        <f t="shared" si="28"/>
        <v>4.725</v>
      </c>
      <c r="H130" s="42">
        <f t="shared" si="29"/>
        <v>5.512499999999999</v>
      </c>
      <c r="I130" s="7">
        <f aca="true" t="shared" si="31" ref="I130:I137">+$B$130*(E130-E129)</f>
        <v>2.7877499999999995</v>
      </c>
      <c r="J130" s="11">
        <f>+B130*(B138)^3/12+I130*H130^2</f>
        <v>85.28946890624997</v>
      </c>
      <c r="K130" s="42">
        <f>+I130*O124</f>
        <v>2.794914517499999</v>
      </c>
      <c r="L130" s="11">
        <f>+B130*(B138)^3/12+K130*H130^2</f>
        <v>85.50718180123707</v>
      </c>
      <c r="P130" s="11"/>
      <c r="Q130" s="11"/>
      <c r="R130" s="11"/>
      <c r="AQ130" s="1"/>
      <c r="AR130" s="11"/>
    </row>
    <row r="131" spans="1:44" ht="15">
      <c r="A131" s="26" t="s">
        <v>16</v>
      </c>
      <c r="B131" s="24">
        <v>801</v>
      </c>
      <c r="C131" s="23" t="s">
        <v>11</v>
      </c>
      <c r="E131" s="7">
        <f t="shared" si="30"/>
        <v>5.994999999999999</v>
      </c>
      <c r="F131" s="1" t="s">
        <v>5</v>
      </c>
      <c r="G131" s="7">
        <f t="shared" si="28"/>
        <v>3.1500000000000004</v>
      </c>
      <c r="H131" s="42">
        <f t="shared" si="29"/>
        <v>3.9375</v>
      </c>
      <c r="I131" s="7">
        <f t="shared" si="31"/>
        <v>2.7877499999999986</v>
      </c>
      <c r="J131" s="11">
        <f>+B130*(B138)^3/12+I131*H131^2</f>
        <v>43.79729484374998</v>
      </c>
      <c r="K131" s="42">
        <f>+I131*O124</f>
        <v>2.7949145174999983</v>
      </c>
      <c r="L131" s="11">
        <f>+B130*(B138)^3/12+K131*H131^2</f>
        <v>43.90837285139646</v>
      </c>
      <c r="P131" s="11"/>
      <c r="Q131" s="11"/>
      <c r="R131" s="11"/>
      <c r="AQ131" s="1"/>
      <c r="AR131" s="11"/>
    </row>
    <row r="132" spans="1:44" ht="15">
      <c r="A132" s="26" t="s">
        <v>63</v>
      </c>
      <c r="B132" s="24">
        <v>656</v>
      </c>
      <c r="C132" s="23" t="s">
        <v>11</v>
      </c>
      <c r="E132" s="7">
        <f t="shared" si="30"/>
        <v>7.5699999999999985</v>
      </c>
      <c r="F132" s="1" t="s">
        <v>5</v>
      </c>
      <c r="G132" s="7">
        <f t="shared" si="28"/>
        <v>1.575000000000001</v>
      </c>
      <c r="H132" s="42">
        <f t="shared" si="29"/>
        <v>2.3625000000000007</v>
      </c>
      <c r="I132" s="7">
        <f t="shared" si="31"/>
        <v>2.7877499999999986</v>
      </c>
      <c r="J132" s="11">
        <f>+B130*(B138)^3/12+I132*H132^2</f>
        <v>16.135845468750002</v>
      </c>
      <c r="K132" s="42">
        <f>+I132*O124</f>
        <v>2.7949145174999983</v>
      </c>
      <c r="L132" s="11">
        <f>+B130*(B138)^3/12+K132*H132^2</f>
        <v>16.175833551502734</v>
      </c>
      <c r="P132" s="11"/>
      <c r="Q132" s="11"/>
      <c r="R132" s="11"/>
      <c r="AQ132" s="1"/>
      <c r="AR132" s="11"/>
    </row>
    <row r="133" spans="1:44" ht="14.25">
      <c r="A133" s="26" t="s">
        <v>62</v>
      </c>
      <c r="B133" s="24">
        <v>50</v>
      </c>
      <c r="C133" s="23" t="s">
        <v>0</v>
      </c>
      <c r="E133" s="7">
        <f t="shared" si="30"/>
        <v>9.144999999999998</v>
      </c>
      <c r="F133" s="1" t="s">
        <v>5</v>
      </c>
      <c r="G133" s="7">
        <f t="shared" si="28"/>
        <v>0</v>
      </c>
      <c r="H133" s="42">
        <f t="shared" si="29"/>
        <v>0.7875000000000005</v>
      </c>
      <c r="I133" s="7">
        <f t="shared" si="31"/>
        <v>2.7877499999999986</v>
      </c>
      <c r="J133" s="11">
        <f>+B130*(B138)^3/12+I133*H133^2</f>
        <v>2.305120781250001</v>
      </c>
      <c r="K133" s="42">
        <f>+I133*O124</f>
        <v>2.7949145174999983</v>
      </c>
      <c r="L133" s="11">
        <f>+B130*(B138)^3/12+K133*H133^2</f>
        <v>2.3095639015558604</v>
      </c>
      <c r="P133" s="11"/>
      <c r="Q133" s="11"/>
      <c r="R133" s="11"/>
      <c r="AQ133" s="1"/>
      <c r="AR133" s="11"/>
    </row>
    <row r="134" spans="1:18" ht="14.25">
      <c r="A134" s="26" t="s">
        <v>77</v>
      </c>
      <c r="B134" s="24">
        <v>6000</v>
      </c>
      <c r="C134" s="23" t="s">
        <v>78</v>
      </c>
      <c r="E134" s="7">
        <f t="shared" si="30"/>
        <v>10.719999999999997</v>
      </c>
      <c r="F134" s="1" t="s">
        <v>5</v>
      </c>
      <c r="G134" s="7">
        <f t="shared" si="28"/>
        <v>-1.5749999999999975</v>
      </c>
      <c r="H134" s="42">
        <f t="shared" si="29"/>
        <v>-0.7874999999999988</v>
      </c>
      <c r="I134" s="7">
        <f t="shared" si="31"/>
        <v>2.7877499999999986</v>
      </c>
      <c r="J134" s="11">
        <f>+B130*(B138)^3/12+I134*H134^2</f>
        <v>2.3051207812499936</v>
      </c>
      <c r="K134" s="42">
        <f>+I134*O124</f>
        <v>2.7949145174999983</v>
      </c>
      <c r="L134" s="11">
        <f>+B130*(B138)^3/12+K134*H134^2</f>
        <v>2.309563901555853</v>
      </c>
      <c r="P134" s="11"/>
      <c r="Q134" s="11"/>
      <c r="R134" s="11"/>
    </row>
    <row r="135" spans="1:18" ht="14.25">
      <c r="A135" s="28" t="s">
        <v>24</v>
      </c>
      <c r="B135" s="8">
        <v>2</v>
      </c>
      <c r="C135" s="14"/>
      <c r="E135" s="7">
        <f t="shared" si="30"/>
        <v>12.294999999999996</v>
      </c>
      <c r="F135" s="1" t="s">
        <v>5</v>
      </c>
      <c r="G135" s="7">
        <f t="shared" si="28"/>
        <v>-3.149999999999997</v>
      </c>
      <c r="H135" s="42">
        <f t="shared" si="29"/>
        <v>-2.362499999999997</v>
      </c>
      <c r="I135" s="7">
        <f t="shared" si="31"/>
        <v>2.7877499999999986</v>
      </c>
      <c r="J135" s="11">
        <f>+B130*(B138)^3/12+I135*H135^2</f>
        <v>16.135845468749956</v>
      </c>
      <c r="K135" s="42">
        <f>+I135*O124</f>
        <v>2.7949145174999983</v>
      </c>
      <c r="L135" s="11">
        <f>+B130*(B138)^3/12+K135*H135^2</f>
        <v>16.175833551502688</v>
      </c>
      <c r="P135" s="11"/>
      <c r="Q135" s="11"/>
      <c r="R135" s="11"/>
    </row>
    <row r="136" spans="1:18" ht="14.25">
      <c r="A136" s="28" t="s">
        <v>25</v>
      </c>
      <c r="B136" s="8">
        <v>8</v>
      </c>
      <c r="C136" s="14"/>
      <c r="E136" s="7">
        <f t="shared" si="30"/>
        <v>13.869999999999996</v>
      </c>
      <c r="F136" s="1" t="s">
        <v>5</v>
      </c>
      <c r="G136" s="7">
        <f t="shared" si="28"/>
        <v>-4.724999999999996</v>
      </c>
      <c r="H136" s="42">
        <f t="shared" si="29"/>
        <v>-3.9374999999999964</v>
      </c>
      <c r="I136" s="7">
        <f t="shared" si="31"/>
        <v>2.7877499999999986</v>
      </c>
      <c r="J136" s="11">
        <f>+B130*(B138)^3/12+I136*H136^2</f>
        <v>43.797294843749896</v>
      </c>
      <c r="K136" s="42">
        <f>+I136*O124</f>
        <v>2.7949145174999983</v>
      </c>
      <c r="L136" s="11">
        <f>+B130*(B138)^3/12+K136*H136^2</f>
        <v>43.90837285139638</v>
      </c>
      <c r="P136" s="11"/>
      <c r="Q136" s="11"/>
      <c r="R136" s="11"/>
    </row>
    <row r="137" spans="1:18" ht="14.25">
      <c r="A137" s="5" t="s">
        <v>26</v>
      </c>
      <c r="B137" s="8">
        <f>+B128/B135</f>
        <v>1.4225</v>
      </c>
      <c r="C137" s="14" t="s">
        <v>1</v>
      </c>
      <c r="E137" s="7">
        <f t="shared" si="30"/>
        <v>15.444999999999995</v>
      </c>
      <c r="F137" s="1" t="s">
        <v>5</v>
      </c>
      <c r="G137" s="7">
        <f t="shared" si="28"/>
        <v>-6.299999999999995</v>
      </c>
      <c r="H137" s="42">
        <f t="shared" si="29"/>
        <v>-5.512499999999996</v>
      </c>
      <c r="I137" s="7">
        <f t="shared" si="31"/>
        <v>2.7877499999999986</v>
      </c>
      <c r="J137" s="11">
        <f>+B130*(B138)^3/12+I137*H137^2</f>
        <v>85.28946890624984</v>
      </c>
      <c r="K137" s="42">
        <f>+I137*O124</f>
        <v>2.7949145174999983</v>
      </c>
      <c r="L137" s="11">
        <f>+B130*(B138)^3/12+K137*H137^2</f>
        <v>85.50718180123694</v>
      </c>
      <c r="P137" s="11"/>
      <c r="Q137" s="11"/>
      <c r="R137" s="11"/>
    </row>
    <row r="138" spans="1:16" ht="14.25">
      <c r="A138" s="5" t="s">
        <v>27</v>
      </c>
      <c r="B138" s="20">
        <f>+(B129-2*B128)/B136</f>
        <v>1.5749999999999997</v>
      </c>
      <c r="C138" s="14" t="s">
        <v>1</v>
      </c>
      <c r="E138" s="7">
        <f>+E137+$B$137</f>
        <v>16.867499999999996</v>
      </c>
      <c r="F138" s="1" t="s">
        <v>28</v>
      </c>
      <c r="G138" s="7">
        <f t="shared" si="28"/>
        <v>-7.722499999999997</v>
      </c>
      <c r="H138" s="42">
        <f t="shared" si="29"/>
        <v>-7.011249999999996</v>
      </c>
      <c r="I138" s="7">
        <f>+$B$127*(E138-E137)</f>
        <v>23.59927500000002</v>
      </c>
      <c r="J138" s="11">
        <f>+B127*(B137)^3/12+I138*H138^2</f>
        <v>1164.0637876339058</v>
      </c>
      <c r="K138" s="42">
        <f>+I138*O124</f>
        <v>23.65992513675002</v>
      </c>
      <c r="L138" s="11">
        <f>+B127*(B137)^3/12+K138*H138^2</f>
        <v>1167.045204407227</v>
      </c>
      <c r="P138" s="12"/>
    </row>
    <row r="139" spans="1:16" ht="15">
      <c r="A139" s="15" t="s">
        <v>17</v>
      </c>
      <c r="B139" s="21">
        <f>+B127*B128</f>
        <v>47.198550000000004</v>
      </c>
      <c r="C139" s="31" t="s">
        <v>59</v>
      </c>
      <c r="E139" s="7">
        <f>+E138+$B$137</f>
        <v>18.289999999999996</v>
      </c>
      <c r="F139" s="1" t="s">
        <v>28</v>
      </c>
      <c r="G139" s="7">
        <f t="shared" si="28"/>
        <v>-9.144999999999996</v>
      </c>
      <c r="H139" s="42">
        <f t="shared" si="29"/>
        <v>-8.433749999999996</v>
      </c>
      <c r="I139" s="7">
        <f>+$B$127*(E139-E138)</f>
        <v>23.59927499999999</v>
      </c>
      <c r="J139" s="11">
        <f>+B127*(B137)^3/12+I139*H139^2</f>
        <v>1682.5519540123416</v>
      </c>
      <c r="K139" s="42">
        <f>+I139*O124</f>
        <v>23.65992513674999</v>
      </c>
      <c r="L139" s="11">
        <f>+B127*(B137)^3/12+K139*H139^2</f>
        <v>1686.8658853732552</v>
      </c>
      <c r="P139" s="13"/>
    </row>
    <row r="140" spans="1:16" ht="15">
      <c r="A140" s="15" t="s">
        <v>18</v>
      </c>
      <c r="B140" s="21">
        <f>+(B129-2*B128)*B130</f>
        <v>22.301999999999996</v>
      </c>
      <c r="C140" s="14" t="s">
        <v>10</v>
      </c>
      <c r="D140" s="16"/>
      <c r="E140" s="7"/>
      <c r="F140" s="1"/>
      <c r="G140" s="7"/>
      <c r="I140" s="7"/>
      <c r="J140" s="11"/>
      <c r="P140" s="11"/>
    </row>
    <row r="141" spans="1:12" ht="14.25">
      <c r="A141" s="15" t="s">
        <v>75</v>
      </c>
      <c r="B141" s="8">
        <f>+B131*B133</f>
        <v>40050</v>
      </c>
      <c r="C141" s="14" t="s">
        <v>6</v>
      </c>
      <c r="E141" s="15" t="s">
        <v>73</v>
      </c>
      <c r="F141" s="11">
        <f>+B133*(K141)</f>
        <v>5849.95083435</v>
      </c>
      <c r="G141" s="41" t="s">
        <v>20</v>
      </c>
      <c r="H141" s="5" t="s">
        <v>68</v>
      </c>
      <c r="I141" s="7">
        <f>+SUM(I127:I139)</f>
        <v>116.6991</v>
      </c>
      <c r="J141" s="11">
        <f>+SUM(J127:J139)</f>
        <v>5988.286943292497</v>
      </c>
      <c r="K141" s="7">
        <f>+SUM(K127:K139)</f>
        <v>116.99901668700001</v>
      </c>
      <c r="L141" s="11">
        <f>+SUM(L127:L139)</f>
        <v>6003.624083772351</v>
      </c>
    </row>
    <row r="142" spans="2:9" ht="14.25">
      <c r="B142" s="7"/>
      <c r="C142" s="1"/>
      <c r="D142" s="1"/>
      <c r="E142" s="15" t="s">
        <v>76</v>
      </c>
      <c r="F142" s="1">
        <f>+B132*B133</f>
        <v>32800</v>
      </c>
      <c r="G142" s="41" t="s">
        <v>74</v>
      </c>
      <c r="H142" s="15" t="s">
        <v>71</v>
      </c>
      <c r="I142" s="38">
        <f>+B129*B130</f>
        <v>32.3733</v>
      </c>
    </row>
    <row r="143" spans="1:9" ht="12.75">
      <c r="A143" s="15"/>
      <c r="B143" s="8"/>
      <c r="C143" s="14"/>
      <c r="D143" s="15"/>
      <c r="E143" s="21"/>
      <c r="F143" s="14"/>
      <c r="G143" s="14"/>
      <c r="H143" s="14"/>
      <c r="I143" s="14"/>
    </row>
    <row r="144" spans="1:15" ht="14.25">
      <c r="A144" s="22" t="s">
        <v>72</v>
      </c>
      <c r="B144" s="22"/>
      <c r="C144" s="22"/>
      <c r="E144" s="4" t="s">
        <v>2</v>
      </c>
      <c r="F144" s="4" t="s">
        <v>3</v>
      </c>
      <c r="G144" s="4" t="s">
        <v>64</v>
      </c>
      <c r="H144" s="4" t="s">
        <v>66</v>
      </c>
      <c r="I144" s="4" t="s">
        <v>67</v>
      </c>
      <c r="J144" s="4" t="s">
        <v>79</v>
      </c>
      <c r="K144" s="4" t="s">
        <v>81</v>
      </c>
      <c r="L144" s="4" t="s">
        <v>82</v>
      </c>
      <c r="N144" s="26" t="s">
        <v>83</v>
      </c>
      <c r="O144" s="24">
        <v>1.002</v>
      </c>
    </row>
    <row r="145" spans="1:15" ht="14.25">
      <c r="A145" s="23"/>
      <c r="B145" s="23"/>
      <c r="C145" s="23"/>
      <c r="E145" s="4" t="s">
        <v>1</v>
      </c>
      <c r="F145" s="4"/>
      <c r="G145" s="4" t="s">
        <v>1</v>
      </c>
      <c r="H145" s="4" t="s">
        <v>1</v>
      </c>
      <c r="I145" s="6" t="s">
        <v>65</v>
      </c>
      <c r="J145" s="6" t="s">
        <v>80</v>
      </c>
      <c r="K145" s="6" t="s">
        <v>65</v>
      </c>
      <c r="L145" s="6" t="s">
        <v>80</v>
      </c>
      <c r="N145" s="26"/>
      <c r="O145" s="24"/>
    </row>
    <row r="146" spans="1:3" ht="12.75">
      <c r="A146" s="26" t="s">
        <v>9</v>
      </c>
      <c r="B146" s="24" t="s">
        <v>86</v>
      </c>
      <c r="C146" s="23"/>
    </row>
    <row r="147" spans="1:9" ht="14.25">
      <c r="A147" s="26" t="s">
        <v>12</v>
      </c>
      <c r="B147" s="24">
        <v>16.475</v>
      </c>
      <c r="C147" s="23" t="s">
        <v>1</v>
      </c>
      <c r="E147" s="1">
        <v>0</v>
      </c>
      <c r="F147" s="1" t="s">
        <v>4</v>
      </c>
      <c r="G147" s="7">
        <f aca="true" t="shared" si="32" ref="G147:G159">+$B$149/2-E147</f>
        <v>8.96</v>
      </c>
      <c r="H147" s="7">
        <v>0</v>
      </c>
      <c r="I147" s="7">
        <v>0</v>
      </c>
    </row>
    <row r="148" spans="1:14" ht="14.25">
      <c r="A148" s="26" t="s">
        <v>13</v>
      </c>
      <c r="B148" s="24">
        <v>2.66</v>
      </c>
      <c r="C148" s="23" t="s">
        <v>1</v>
      </c>
      <c r="E148" s="7">
        <f>+B157</f>
        <v>1.33</v>
      </c>
      <c r="F148" s="1" t="s">
        <v>4</v>
      </c>
      <c r="G148" s="7">
        <f t="shared" si="32"/>
        <v>7.630000000000001</v>
      </c>
      <c r="H148" s="42">
        <f aca="true" t="shared" si="33" ref="H148:H159">+(G147+G148)/2</f>
        <v>8.295000000000002</v>
      </c>
      <c r="I148" s="7">
        <f>+$B$147*(E148-E147)</f>
        <v>21.91175</v>
      </c>
      <c r="J148" s="11">
        <f>+B147*(B157)^3/12+I148*H148^2</f>
        <v>1510.9123045916674</v>
      </c>
      <c r="K148" s="42">
        <f>+I148*O144</f>
        <v>21.9555735</v>
      </c>
      <c r="L148" s="11">
        <f>+B147*(B157)^3/12+K148*H148^2</f>
        <v>1513.9276692517549</v>
      </c>
      <c r="M148">
        <f aca="true" t="shared" si="34" ref="M148:M153">+K148*$B$153*H148</f>
        <v>10162.378705783502</v>
      </c>
      <c r="N148">
        <f aca="true" t="shared" si="35" ref="N148:N153">+K148*H148^2</f>
        <v>1510.6976947038381</v>
      </c>
    </row>
    <row r="149" spans="1:14" ht="14.25">
      <c r="A149" s="26" t="s">
        <v>84</v>
      </c>
      <c r="B149" s="24">
        <v>17.92</v>
      </c>
      <c r="C149" s="23" t="s">
        <v>1</v>
      </c>
      <c r="E149" s="7">
        <f>2*B157</f>
        <v>2.66</v>
      </c>
      <c r="F149" s="1" t="s">
        <v>4</v>
      </c>
      <c r="G149" s="7">
        <f t="shared" si="32"/>
        <v>6.300000000000001</v>
      </c>
      <c r="H149" s="42">
        <f t="shared" si="33"/>
        <v>6.965000000000001</v>
      </c>
      <c r="I149" s="7">
        <f>+$B$147*(E149-E148)</f>
        <v>21.91175</v>
      </c>
      <c r="J149" s="11">
        <f>+B147*(B157)^3/12+I149*H149^2</f>
        <v>1066.195808941667</v>
      </c>
      <c r="K149" s="42">
        <f>+I149*O144</f>
        <v>21.9555735</v>
      </c>
      <c r="L149" s="11">
        <f>+B147*(B157)^3/12+K149*H149^2</f>
        <v>1068.3217406104545</v>
      </c>
      <c r="M149">
        <f t="shared" si="34"/>
        <v>8532.967774054501</v>
      </c>
      <c r="N149">
        <f t="shared" si="35"/>
        <v>1065.0917660625378</v>
      </c>
    </row>
    <row r="150" spans="1:14" ht="14.25">
      <c r="A150" s="26" t="s">
        <v>15</v>
      </c>
      <c r="B150" s="24">
        <v>1.655</v>
      </c>
      <c r="C150" s="23" t="s">
        <v>1</v>
      </c>
      <c r="E150" s="7">
        <f aca="true" t="shared" si="36" ref="E150:E157">+E149+$B$158</f>
        <v>4.235</v>
      </c>
      <c r="F150" s="1" t="s">
        <v>5</v>
      </c>
      <c r="G150" s="7">
        <f t="shared" si="32"/>
        <v>4.7250000000000005</v>
      </c>
      <c r="H150" s="42">
        <f t="shared" si="33"/>
        <v>5.512500000000001</v>
      </c>
      <c r="I150" s="7">
        <f aca="true" t="shared" si="37" ref="I150:I157">+$B$150*(E150-E149)</f>
        <v>2.606625</v>
      </c>
      <c r="J150" s="11">
        <f>+B150*(B158)^3/12+I150*H150^2</f>
        <v>79.74806273437504</v>
      </c>
      <c r="K150" s="42">
        <f>+I150*O144</f>
        <v>2.6118382500000004</v>
      </c>
      <c r="L150" s="11">
        <f>+B150*(B158)^3/12+K150*H150^2</f>
        <v>79.90648118332037</v>
      </c>
      <c r="M150">
        <f t="shared" si="34"/>
        <v>803.3949161043752</v>
      </c>
      <c r="N150">
        <f t="shared" si="35"/>
        <v>79.36764292160161</v>
      </c>
    </row>
    <row r="151" spans="1:14" ht="15">
      <c r="A151" s="26" t="s">
        <v>16</v>
      </c>
      <c r="B151" s="24">
        <v>736</v>
      </c>
      <c r="C151" s="23" t="s">
        <v>11</v>
      </c>
      <c r="E151" s="7">
        <f t="shared" si="36"/>
        <v>5.8100000000000005</v>
      </c>
      <c r="F151" s="1" t="s">
        <v>5</v>
      </c>
      <c r="G151" s="7">
        <f t="shared" si="32"/>
        <v>3.1500000000000004</v>
      </c>
      <c r="H151" s="42">
        <f t="shared" si="33"/>
        <v>3.9375000000000004</v>
      </c>
      <c r="I151" s="7">
        <f t="shared" si="37"/>
        <v>2.606625</v>
      </c>
      <c r="J151" s="11">
        <f>+B150*(B158)^3/12+I151*H151^2</f>
        <v>40.951707890625016</v>
      </c>
      <c r="K151" s="42">
        <f>+I151*O144</f>
        <v>2.6118382500000004</v>
      </c>
      <c r="L151" s="11">
        <f>+B150*(B158)^3/12+K151*H151^2</f>
        <v>41.03253362988283</v>
      </c>
      <c r="M151">
        <f t="shared" si="34"/>
        <v>573.8535115031251</v>
      </c>
      <c r="N151">
        <f t="shared" si="35"/>
        <v>40.493695368164076</v>
      </c>
    </row>
    <row r="152" spans="1:14" ht="15">
      <c r="A152" s="26" t="s">
        <v>63</v>
      </c>
      <c r="B152" s="24">
        <v>370</v>
      </c>
      <c r="C152" s="23" t="s">
        <v>11</v>
      </c>
      <c r="E152" s="7">
        <f t="shared" si="36"/>
        <v>7.385000000000001</v>
      </c>
      <c r="F152" s="1" t="s">
        <v>5</v>
      </c>
      <c r="G152" s="7">
        <f t="shared" si="32"/>
        <v>1.5750000000000002</v>
      </c>
      <c r="H152" s="42">
        <f t="shared" si="33"/>
        <v>2.3625000000000003</v>
      </c>
      <c r="I152" s="7">
        <f t="shared" si="37"/>
        <v>2.606625</v>
      </c>
      <c r="J152" s="11">
        <f>+B150*(B158)^3/12+I152*H152^2</f>
        <v>15.087471328125005</v>
      </c>
      <c r="K152" s="42">
        <f>+I152*O144</f>
        <v>2.6118382500000004</v>
      </c>
      <c r="L152" s="11">
        <f>+B150*(B158)^3/12+K152*H152^2</f>
        <v>15.116568594257819</v>
      </c>
      <c r="M152">
        <f t="shared" si="34"/>
        <v>344.31210690187504</v>
      </c>
      <c r="N152">
        <f t="shared" si="35"/>
        <v>14.577730332539069</v>
      </c>
    </row>
    <row r="153" spans="1:14" ht="14.25">
      <c r="A153" s="26" t="s">
        <v>62</v>
      </c>
      <c r="B153" s="24">
        <v>55.8</v>
      </c>
      <c r="C153" s="23" t="s">
        <v>0</v>
      </c>
      <c r="E153" s="7">
        <f t="shared" si="36"/>
        <v>8.96</v>
      </c>
      <c r="F153" s="1" t="s">
        <v>5</v>
      </c>
      <c r="G153" s="7">
        <f t="shared" si="32"/>
        <v>0</v>
      </c>
      <c r="H153" s="42">
        <f t="shared" si="33"/>
        <v>0.7875000000000001</v>
      </c>
      <c r="I153" s="7">
        <f t="shared" si="37"/>
        <v>2.606625</v>
      </c>
      <c r="J153" s="11">
        <f>+B150*(B158)^3/12+I153*H153^2</f>
        <v>2.155353046875001</v>
      </c>
      <c r="K153" s="42">
        <f>+I153*O144</f>
        <v>2.6118382500000004</v>
      </c>
      <c r="L153" s="11">
        <f>+B150*(B158)^3/12+K153*H153^2</f>
        <v>2.1585860764453133</v>
      </c>
      <c r="M153">
        <f t="shared" si="34"/>
        <v>114.77070230062502</v>
      </c>
      <c r="N153">
        <f t="shared" si="35"/>
        <v>1.6197478147265632</v>
      </c>
    </row>
    <row r="154" spans="1:12" ht="14.25">
      <c r="A154" s="26" t="s">
        <v>77</v>
      </c>
      <c r="B154" s="24">
        <v>5440</v>
      </c>
      <c r="C154" s="23" t="s">
        <v>78</v>
      </c>
      <c r="E154" s="7">
        <f t="shared" si="36"/>
        <v>10.535</v>
      </c>
      <c r="F154" s="1" t="s">
        <v>5</v>
      </c>
      <c r="G154" s="7">
        <f t="shared" si="32"/>
        <v>-1.5749999999999993</v>
      </c>
      <c r="H154" s="42">
        <f t="shared" si="33"/>
        <v>-0.7874999999999996</v>
      </c>
      <c r="I154" s="7">
        <f t="shared" si="37"/>
        <v>2.606624999999999</v>
      </c>
      <c r="J154" s="11">
        <f>+B150*(B158)^3/12+I154*H154^2</f>
        <v>2.155353046874998</v>
      </c>
      <c r="K154" s="42">
        <f>+I154*O144</f>
        <v>2.611838249999999</v>
      </c>
      <c r="L154" s="11">
        <f>+B150*(B158)^3/12+K154*H154^2</f>
        <v>2.1585860764453106</v>
      </c>
    </row>
    <row r="155" spans="1:12" ht="14.25">
      <c r="A155" s="28" t="s">
        <v>24</v>
      </c>
      <c r="B155" s="8">
        <v>2</v>
      </c>
      <c r="C155" s="14"/>
      <c r="E155" s="7">
        <f t="shared" si="36"/>
        <v>12.11</v>
      </c>
      <c r="F155" s="1" t="s">
        <v>5</v>
      </c>
      <c r="G155" s="7">
        <f t="shared" si="32"/>
        <v>-3.1499999999999986</v>
      </c>
      <c r="H155" s="42">
        <f t="shared" si="33"/>
        <v>-2.362499999999999</v>
      </c>
      <c r="I155" s="7">
        <f t="shared" si="37"/>
        <v>2.606624999999999</v>
      </c>
      <c r="J155" s="11">
        <f>+B150*(B158)^3/12+I155*H155^2</f>
        <v>15.08747132812498</v>
      </c>
      <c r="K155" s="42">
        <f>+I155*O144</f>
        <v>2.611838249999999</v>
      </c>
      <c r="L155" s="11">
        <f>+B150*(B158)^3/12+K155*H155^2</f>
        <v>15.116568594257794</v>
      </c>
    </row>
    <row r="156" spans="1:12" ht="14.25">
      <c r="A156" s="28" t="s">
        <v>25</v>
      </c>
      <c r="B156" s="8">
        <v>8</v>
      </c>
      <c r="C156" s="14"/>
      <c r="E156" s="7">
        <f t="shared" si="36"/>
        <v>13.684999999999999</v>
      </c>
      <c r="F156" s="1" t="s">
        <v>5</v>
      </c>
      <c r="G156" s="7">
        <f t="shared" si="32"/>
        <v>-4.724999999999998</v>
      </c>
      <c r="H156" s="42">
        <f t="shared" si="33"/>
        <v>-3.9374999999999982</v>
      </c>
      <c r="I156" s="7">
        <f t="shared" si="37"/>
        <v>2.606624999999999</v>
      </c>
      <c r="J156" s="11">
        <f>+B150*(B158)^3/12+I156*H156^2</f>
        <v>40.951707890624945</v>
      </c>
      <c r="K156" s="42">
        <f>+I156*O144</f>
        <v>2.611838249999999</v>
      </c>
      <c r="L156" s="11">
        <f>+B150*(B158)^3/12+K156*H156^2</f>
        <v>41.032533629882764</v>
      </c>
    </row>
    <row r="157" spans="1:12" ht="14.25">
      <c r="A157" s="5" t="s">
        <v>26</v>
      </c>
      <c r="B157" s="8">
        <f>+B148/B155</f>
        <v>1.33</v>
      </c>
      <c r="C157" s="14" t="s">
        <v>1</v>
      </c>
      <c r="E157" s="7">
        <f t="shared" si="36"/>
        <v>15.259999999999998</v>
      </c>
      <c r="F157" s="1" t="s">
        <v>5</v>
      </c>
      <c r="G157" s="7">
        <f t="shared" si="32"/>
        <v>-6.299999999999997</v>
      </c>
      <c r="H157" s="42">
        <f t="shared" si="33"/>
        <v>-5.5124999999999975</v>
      </c>
      <c r="I157" s="7">
        <f t="shared" si="37"/>
        <v>2.606624999999999</v>
      </c>
      <c r="J157" s="11">
        <f>+B150*(B158)^3/12+I157*H157^2</f>
        <v>79.7480627343749</v>
      </c>
      <c r="K157" s="42">
        <f>+I157*O144</f>
        <v>2.611838249999999</v>
      </c>
      <c r="L157" s="11">
        <f>+B150*(B158)^3/12+K157*H157^2</f>
        <v>79.90648118332022</v>
      </c>
    </row>
    <row r="158" spans="1:12" ht="14.25">
      <c r="A158" s="5" t="s">
        <v>27</v>
      </c>
      <c r="B158" s="20">
        <f>+(B149-2*B148)/B156</f>
        <v>1.5750000000000002</v>
      </c>
      <c r="C158" s="14" t="s">
        <v>1</v>
      </c>
      <c r="E158" s="7">
        <f>+E157+$B$157</f>
        <v>16.589999999999996</v>
      </c>
      <c r="F158" s="1" t="s">
        <v>28</v>
      </c>
      <c r="G158" s="7">
        <f t="shared" si="32"/>
        <v>-7.6299999999999955</v>
      </c>
      <c r="H158" s="42">
        <f t="shared" si="33"/>
        <v>-6.964999999999996</v>
      </c>
      <c r="I158" s="7">
        <f>+$B$147*(E158-E157)</f>
        <v>21.911749999999973</v>
      </c>
      <c r="J158" s="11">
        <f>+B147*(B157)^3/12+I158*H158^2</f>
        <v>1066.1958089416642</v>
      </c>
      <c r="K158" s="42">
        <f>+I158*O144</f>
        <v>21.95557349999997</v>
      </c>
      <c r="L158" s="11">
        <f>+B147*(B157)^3/12+K158*H158^2</f>
        <v>1068.3217406104518</v>
      </c>
    </row>
    <row r="159" spans="1:12" ht="15">
      <c r="A159" s="15" t="s">
        <v>17</v>
      </c>
      <c r="B159" s="21">
        <f>+B147*B148</f>
        <v>43.8235</v>
      </c>
      <c r="C159" s="31" t="s">
        <v>59</v>
      </c>
      <c r="E159" s="7">
        <f>+E158+$B$157</f>
        <v>17.919999999999995</v>
      </c>
      <c r="F159" s="1" t="s">
        <v>28</v>
      </c>
      <c r="G159" s="7">
        <f t="shared" si="32"/>
        <v>-8.959999999999994</v>
      </c>
      <c r="H159" s="42">
        <f t="shared" si="33"/>
        <v>-8.294999999999995</v>
      </c>
      <c r="I159" s="7">
        <f>+$B$147*(E159-E158)</f>
        <v>21.911749999999973</v>
      </c>
      <c r="J159" s="11">
        <f>+B147*(B157)^3/12+I159*H159^2</f>
        <v>1510.9123045916629</v>
      </c>
      <c r="K159" s="42">
        <f>+I159*O144</f>
        <v>21.95557349999997</v>
      </c>
      <c r="L159" s="11">
        <f>+B147*(B157)^3/12+K159*H159^2</f>
        <v>1513.9276692517503</v>
      </c>
    </row>
    <row r="160" spans="1:10" ht="15">
      <c r="A160" s="15" t="s">
        <v>18</v>
      </c>
      <c r="B160" s="21">
        <f>+(B149-2*B148)*B150</f>
        <v>20.853</v>
      </c>
      <c r="C160" s="14" t="s">
        <v>10</v>
      </c>
      <c r="D160" s="16"/>
      <c r="E160" s="7"/>
      <c r="F160" s="1"/>
      <c r="G160" s="7"/>
      <c r="I160" s="7"/>
      <c r="J160" s="11"/>
    </row>
    <row r="161" spans="1:14" ht="14.25">
      <c r="A161" s="15" t="s">
        <v>75</v>
      </c>
      <c r="B161" s="8">
        <f>+B151*B153</f>
        <v>41068.799999999996</v>
      </c>
      <c r="C161" s="14" t="s">
        <v>6</v>
      </c>
      <c r="E161" s="15" t="s">
        <v>73</v>
      </c>
      <c r="F161" s="11">
        <f>+B153*(K161)</f>
        <v>6066.408599999995</v>
      </c>
      <c r="G161" s="41" t="s">
        <v>20</v>
      </c>
      <c r="H161" s="5" t="s">
        <v>68</v>
      </c>
      <c r="I161" s="7">
        <f>+SUM(I147:I159)</f>
        <v>108.49999999999994</v>
      </c>
      <c r="J161" s="11">
        <f>+SUM(J147:J159)</f>
        <v>5430.101417066662</v>
      </c>
      <c r="K161" s="7">
        <f>+SUM(K147:K159)</f>
        <v>108.71699999999993</v>
      </c>
      <c r="L161" s="11">
        <f>+SUM(L147:L159)</f>
        <v>5440.927158692224</v>
      </c>
      <c r="M161" s="43">
        <f>+SUM(M148:M153)*2</f>
        <v>41063.355433296005</v>
      </c>
      <c r="N161" s="43">
        <f>+SUM(N148:N153)*2</f>
        <v>5423.696554406813</v>
      </c>
    </row>
    <row r="162" spans="2:13" ht="14.25">
      <c r="B162" s="7"/>
      <c r="C162" s="1"/>
      <c r="D162" s="1"/>
      <c r="E162" s="15" t="s">
        <v>76</v>
      </c>
      <c r="F162" s="1">
        <f>+B152*B153</f>
        <v>20646</v>
      </c>
      <c r="G162" s="41" t="s">
        <v>74</v>
      </c>
      <c r="H162" s="15" t="s">
        <v>71</v>
      </c>
      <c r="I162" s="38">
        <f>+B149*B150</f>
        <v>29.657600000000002</v>
      </c>
      <c r="M162" s="37"/>
    </row>
    <row r="163" spans="1:9" ht="12.75">
      <c r="A163" s="34"/>
      <c r="B163" s="34"/>
      <c r="C163" s="14"/>
      <c r="D163" s="14"/>
      <c r="E163" s="40"/>
      <c r="F163" s="14"/>
      <c r="G163" s="14"/>
      <c r="H163" s="40"/>
      <c r="I163" s="14"/>
    </row>
    <row r="164" spans="1:15" ht="14.25">
      <c r="A164" s="22" t="s">
        <v>72</v>
      </c>
      <c r="B164" s="22"/>
      <c r="C164" s="22"/>
      <c r="E164" s="4" t="s">
        <v>2</v>
      </c>
      <c r="F164" s="4" t="s">
        <v>3</v>
      </c>
      <c r="G164" s="4" t="s">
        <v>64</v>
      </c>
      <c r="H164" s="4" t="s">
        <v>66</v>
      </c>
      <c r="I164" s="4" t="s">
        <v>67</v>
      </c>
      <c r="J164" s="4" t="s">
        <v>79</v>
      </c>
      <c r="K164" s="4" t="s">
        <v>81</v>
      </c>
      <c r="L164" s="4" t="s">
        <v>82</v>
      </c>
      <c r="N164" s="26" t="s">
        <v>83</v>
      </c>
      <c r="O164" s="24">
        <v>1.003</v>
      </c>
    </row>
    <row r="165" spans="1:15" ht="14.25">
      <c r="A165" s="23"/>
      <c r="B165" s="23"/>
      <c r="C165" s="23"/>
      <c r="E165" s="4" t="s">
        <v>1</v>
      </c>
      <c r="F165" s="4"/>
      <c r="G165" s="4" t="s">
        <v>1</v>
      </c>
      <c r="H165" s="4" t="s">
        <v>1</v>
      </c>
      <c r="I165" s="6" t="s">
        <v>65</v>
      </c>
      <c r="J165" s="6" t="s">
        <v>80</v>
      </c>
      <c r="K165" s="6" t="s">
        <v>65</v>
      </c>
      <c r="L165" s="6" t="s">
        <v>80</v>
      </c>
      <c r="N165" s="26"/>
      <c r="O165" s="24"/>
    </row>
    <row r="166" spans="1:3" ht="12.75">
      <c r="A166" s="26" t="s">
        <v>9</v>
      </c>
      <c r="B166" s="24" t="s">
        <v>85</v>
      </c>
      <c r="C166" s="23"/>
    </row>
    <row r="167" spans="1:9" ht="14.25">
      <c r="A167" s="26" t="s">
        <v>12</v>
      </c>
      <c r="B167" s="24">
        <v>16.23</v>
      </c>
      <c r="C167" s="23" t="s">
        <v>1</v>
      </c>
      <c r="E167" s="1">
        <v>0</v>
      </c>
      <c r="F167" s="1" t="s">
        <v>4</v>
      </c>
      <c r="G167" s="7">
        <f aca="true" t="shared" si="38" ref="G167:G179">+$B$169/2-E167</f>
        <v>8.56</v>
      </c>
      <c r="H167" s="7">
        <v>0</v>
      </c>
      <c r="I167" s="7">
        <v>0</v>
      </c>
    </row>
    <row r="168" spans="1:14" ht="14.25">
      <c r="A168" s="26" t="s">
        <v>13</v>
      </c>
      <c r="B168" s="24">
        <v>2.26</v>
      </c>
      <c r="C168" s="23" t="s">
        <v>1</v>
      </c>
      <c r="E168" s="7">
        <f>+B177</f>
        <v>1.13</v>
      </c>
      <c r="F168" s="1" t="s">
        <v>4</v>
      </c>
      <c r="G168" s="7">
        <f t="shared" si="38"/>
        <v>7.430000000000001</v>
      </c>
      <c r="H168" s="42">
        <f aca="true" t="shared" si="39" ref="H168:H179">+(G167+G168)/2</f>
        <v>7.995000000000001</v>
      </c>
      <c r="I168" s="7">
        <f>+$B$167*(E168-E167)</f>
        <v>18.3399</v>
      </c>
      <c r="J168" s="11">
        <f>+B167*(B177)^3/12+I168*H168^2</f>
        <v>1174.2383846900004</v>
      </c>
      <c r="K168" s="42">
        <f>+I168*O164</f>
        <v>18.3949197</v>
      </c>
      <c r="L168" s="11">
        <f>+B167*(B177)^3/12+K168*H168^2</f>
        <v>1177.755245289493</v>
      </c>
      <c r="M168">
        <f aca="true" t="shared" si="40" ref="M168:M173">+K168*$B$153*H168</f>
        <v>8206.3599714837</v>
      </c>
      <c r="N168">
        <f aca="true" t="shared" si="41" ref="N168:N173">+K168*H168^2</f>
        <v>1175.8037270969928</v>
      </c>
    </row>
    <row r="169" spans="1:14" ht="14.25">
      <c r="A169" s="26" t="s">
        <v>84</v>
      </c>
      <c r="B169" s="24">
        <v>17.12</v>
      </c>
      <c r="C169" s="23" t="s">
        <v>1</v>
      </c>
      <c r="E169" s="7">
        <f>2*B177</f>
        <v>2.26</v>
      </c>
      <c r="F169" s="1" t="s">
        <v>4</v>
      </c>
      <c r="G169" s="7">
        <f t="shared" si="38"/>
        <v>6.300000000000001</v>
      </c>
      <c r="H169" s="42">
        <f t="shared" si="39"/>
        <v>6.865</v>
      </c>
      <c r="I169" s="7">
        <f>+$B$167*(E169-E168)</f>
        <v>18.3399</v>
      </c>
      <c r="J169" s="11">
        <f>+B167*(B177)^3/12+I169*H169^2</f>
        <v>866.27845187</v>
      </c>
      <c r="K169" s="42">
        <f>+I169*O164</f>
        <v>18.3949197</v>
      </c>
      <c r="L169" s="11">
        <f>+B167*(B177)^3/12+K169*H169^2</f>
        <v>868.8714326710325</v>
      </c>
      <c r="M169">
        <f t="shared" si="40"/>
        <v>7046.4867047198995</v>
      </c>
      <c r="N169">
        <f t="shared" si="41"/>
        <v>866.9199144785325</v>
      </c>
    </row>
    <row r="170" spans="1:14" ht="14.25">
      <c r="A170" s="26" t="s">
        <v>15</v>
      </c>
      <c r="B170" s="24">
        <v>1.41</v>
      </c>
      <c r="C170" s="23" t="s">
        <v>1</v>
      </c>
      <c r="E170" s="7">
        <f aca="true" t="shared" si="42" ref="E170:E177">+E169+$B$178</f>
        <v>3.835</v>
      </c>
      <c r="F170" s="1" t="s">
        <v>5</v>
      </c>
      <c r="G170" s="7">
        <f t="shared" si="38"/>
        <v>4.7250000000000005</v>
      </c>
      <c r="H170" s="42">
        <f t="shared" si="39"/>
        <v>5.512500000000001</v>
      </c>
      <c r="I170" s="7">
        <f aca="true" t="shared" si="43" ref="I170:I177">+$B$170*(E170-E169)</f>
        <v>2.2207500000000002</v>
      </c>
      <c r="J170" s="11">
        <f>+B170*(B178)^3/12+I170*H170^2</f>
        <v>67.94245828125003</v>
      </c>
      <c r="K170" s="42">
        <f>+I170*O164</f>
        <v>2.22741225</v>
      </c>
      <c r="L170" s="11">
        <f>+B170*(B178)^3/12+K170*H170^2</f>
        <v>68.14490844410159</v>
      </c>
      <c r="M170">
        <f t="shared" si="40"/>
        <v>685.1464395693752</v>
      </c>
      <c r="N170">
        <f t="shared" si="41"/>
        <v>67.6858377800391</v>
      </c>
    </row>
    <row r="171" spans="1:14" ht="15">
      <c r="A171" s="26" t="s">
        <v>16</v>
      </c>
      <c r="B171" s="24">
        <v>603</v>
      </c>
      <c r="C171" s="23" t="s">
        <v>11</v>
      </c>
      <c r="E171" s="7">
        <f t="shared" si="42"/>
        <v>5.41</v>
      </c>
      <c r="F171" s="1" t="s">
        <v>5</v>
      </c>
      <c r="G171" s="7">
        <f t="shared" si="38"/>
        <v>3.1500000000000004</v>
      </c>
      <c r="H171" s="42">
        <f t="shared" si="39"/>
        <v>3.9375000000000004</v>
      </c>
      <c r="I171" s="7">
        <f t="shared" si="43"/>
        <v>2.2207500000000002</v>
      </c>
      <c r="J171" s="11">
        <f>+B170*(B178)^3/12+I171*H171^2</f>
        <v>34.889370468750016</v>
      </c>
      <c r="K171" s="42">
        <f>+I171*O164</f>
        <v>2.22741225</v>
      </c>
      <c r="L171" s="11">
        <f>+B170*(B178)^3/12+K171*H171^2</f>
        <v>34.99266136816407</v>
      </c>
      <c r="M171">
        <f t="shared" si="40"/>
        <v>489.39031397812505</v>
      </c>
      <c r="N171">
        <f t="shared" si="41"/>
        <v>34.53359070410157</v>
      </c>
    </row>
    <row r="172" spans="1:14" ht="15">
      <c r="A172" s="26" t="s">
        <v>63</v>
      </c>
      <c r="B172" s="24">
        <v>506</v>
      </c>
      <c r="C172" s="23" t="s">
        <v>11</v>
      </c>
      <c r="E172" s="7">
        <f t="shared" si="42"/>
        <v>6.985</v>
      </c>
      <c r="F172" s="1" t="s">
        <v>5</v>
      </c>
      <c r="G172" s="7">
        <f t="shared" si="38"/>
        <v>1.5750000000000002</v>
      </c>
      <c r="H172" s="42">
        <f t="shared" si="39"/>
        <v>2.3625000000000003</v>
      </c>
      <c r="I172" s="7">
        <f t="shared" si="43"/>
        <v>2.2207500000000002</v>
      </c>
      <c r="J172" s="11">
        <f>+B170*(B178)^3/12+I172*H172^2</f>
        <v>12.853978593750004</v>
      </c>
      <c r="K172" s="42">
        <f>+I172*O164</f>
        <v>2.22741225</v>
      </c>
      <c r="L172" s="11">
        <f>+B170*(B178)^3/12+K172*H172^2</f>
        <v>12.891163317539066</v>
      </c>
      <c r="M172">
        <f t="shared" si="40"/>
        <v>293.634188386875</v>
      </c>
      <c r="N172">
        <f t="shared" si="41"/>
        <v>12.432092653476566</v>
      </c>
    </row>
    <row r="173" spans="1:14" ht="14.25">
      <c r="A173" s="26" t="s">
        <v>62</v>
      </c>
      <c r="B173" s="24">
        <v>55.8</v>
      </c>
      <c r="C173" s="23" t="s">
        <v>0</v>
      </c>
      <c r="E173" s="7">
        <f t="shared" si="42"/>
        <v>8.56</v>
      </c>
      <c r="F173" s="1" t="s">
        <v>5</v>
      </c>
      <c r="G173" s="7">
        <f t="shared" si="38"/>
        <v>0</v>
      </c>
      <c r="H173" s="42">
        <f t="shared" si="39"/>
        <v>0.7875000000000001</v>
      </c>
      <c r="I173" s="7">
        <f t="shared" si="43"/>
        <v>2.2207500000000002</v>
      </c>
      <c r="J173" s="11">
        <f>+B170*(B178)^3/12+I173*H173^2</f>
        <v>1.8362826562500008</v>
      </c>
      <c r="K173" s="42">
        <f>+I173*O164</f>
        <v>2.22741225</v>
      </c>
      <c r="L173" s="11">
        <f>+B170*(B178)^3/12+K173*H173^2</f>
        <v>1.8404142922265632</v>
      </c>
      <c r="M173">
        <f t="shared" si="40"/>
        <v>97.87806279562501</v>
      </c>
      <c r="N173">
        <f t="shared" si="41"/>
        <v>1.381343628164063</v>
      </c>
    </row>
    <row r="174" spans="1:12" ht="14.25">
      <c r="A174" s="26" t="s">
        <v>77</v>
      </c>
      <c r="B174" s="24">
        <v>4330</v>
      </c>
      <c r="C174" s="23" t="s">
        <v>78</v>
      </c>
      <c r="E174" s="7">
        <f t="shared" si="42"/>
        <v>10.135000000000002</v>
      </c>
      <c r="F174" s="1" t="s">
        <v>5</v>
      </c>
      <c r="G174" s="7">
        <f t="shared" si="38"/>
        <v>-1.575000000000001</v>
      </c>
      <c r="H174" s="42">
        <f t="shared" si="39"/>
        <v>-0.7875000000000005</v>
      </c>
      <c r="I174" s="7">
        <f t="shared" si="43"/>
        <v>2.2207500000000016</v>
      </c>
      <c r="J174" s="11">
        <f>+B170*(B178)^3/12+I174*H174^2</f>
        <v>1.836282656250003</v>
      </c>
      <c r="K174" s="42">
        <f>+I174*O164</f>
        <v>2.2274122500000013</v>
      </c>
      <c r="L174" s="11">
        <f>+B170*(B178)^3/12+K174*H174^2</f>
        <v>1.8404142922265654</v>
      </c>
    </row>
    <row r="175" spans="1:12" ht="14.25">
      <c r="A175" s="28" t="s">
        <v>24</v>
      </c>
      <c r="B175" s="8">
        <v>2</v>
      </c>
      <c r="C175" s="14"/>
      <c r="E175" s="7">
        <f t="shared" si="42"/>
        <v>11.71</v>
      </c>
      <c r="F175" s="1" t="s">
        <v>5</v>
      </c>
      <c r="G175" s="7">
        <f t="shared" si="38"/>
        <v>-3.1500000000000004</v>
      </c>
      <c r="H175" s="42">
        <f t="shared" si="39"/>
        <v>-2.3625000000000007</v>
      </c>
      <c r="I175" s="7">
        <f t="shared" si="43"/>
        <v>2.220749999999999</v>
      </c>
      <c r="J175" s="11">
        <f>+B170*(B178)^3/12+I175*H175^2</f>
        <v>12.85397859375</v>
      </c>
      <c r="K175" s="42">
        <f>+I175*O164</f>
        <v>2.2274122499999987</v>
      </c>
      <c r="L175" s="11">
        <f>+B170*(B178)^3/12+K175*H175^2</f>
        <v>12.891163317539062</v>
      </c>
    </row>
    <row r="176" spans="1:12" ht="14.25">
      <c r="A176" s="28" t="s">
        <v>25</v>
      </c>
      <c r="B176" s="8">
        <v>8</v>
      </c>
      <c r="C176" s="14"/>
      <c r="E176" s="7">
        <f t="shared" si="42"/>
        <v>13.285</v>
      </c>
      <c r="F176" s="1" t="s">
        <v>5</v>
      </c>
      <c r="G176" s="7">
        <f t="shared" si="38"/>
        <v>-4.725</v>
      </c>
      <c r="H176" s="42">
        <f t="shared" si="39"/>
        <v>-3.9375</v>
      </c>
      <c r="I176" s="7">
        <f t="shared" si="43"/>
        <v>2.220749999999999</v>
      </c>
      <c r="J176" s="11">
        <f>+B170*(B178)^3/12+I176*H176^2</f>
        <v>34.88937046874999</v>
      </c>
      <c r="K176" s="42">
        <f>+I176*O164</f>
        <v>2.2274122499999987</v>
      </c>
      <c r="L176" s="11">
        <f>+B170*(B178)^3/12+K176*H176^2</f>
        <v>34.99266136816404</v>
      </c>
    </row>
    <row r="177" spans="1:12" ht="14.25">
      <c r="A177" s="5" t="s">
        <v>26</v>
      </c>
      <c r="B177" s="8">
        <f>+B168/B175</f>
        <v>1.13</v>
      </c>
      <c r="C177" s="14" t="s">
        <v>1</v>
      </c>
      <c r="E177" s="7">
        <f t="shared" si="42"/>
        <v>14.86</v>
      </c>
      <c r="F177" s="1" t="s">
        <v>5</v>
      </c>
      <c r="G177" s="7">
        <f t="shared" si="38"/>
        <v>-6.299999999999999</v>
      </c>
      <c r="H177" s="42">
        <f t="shared" si="39"/>
        <v>-5.512499999999999</v>
      </c>
      <c r="I177" s="7">
        <f t="shared" si="43"/>
        <v>2.220749999999999</v>
      </c>
      <c r="J177" s="11">
        <f>+B170*(B178)^3/12+I177*H177^2</f>
        <v>67.94245828124994</v>
      </c>
      <c r="K177" s="42">
        <f>+I177*O164</f>
        <v>2.2274122499999987</v>
      </c>
      <c r="L177" s="11">
        <f>+B170*(B178)^3/12+K177*H177^2</f>
        <v>68.1449084441015</v>
      </c>
    </row>
    <row r="178" spans="1:12" ht="14.25">
      <c r="A178" s="5" t="s">
        <v>27</v>
      </c>
      <c r="B178" s="20">
        <f>+(B169-2*B168)/B176</f>
        <v>1.5750000000000002</v>
      </c>
      <c r="C178" s="14" t="s">
        <v>1</v>
      </c>
      <c r="E178" s="7">
        <f>+E177+$B$177</f>
        <v>15.989999999999998</v>
      </c>
      <c r="F178" s="1" t="s">
        <v>28</v>
      </c>
      <c r="G178" s="7">
        <f t="shared" si="38"/>
        <v>-7.429999999999998</v>
      </c>
      <c r="H178" s="42">
        <f t="shared" si="39"/>
        <v>-6.864999999999998</v>
      </c>
      <c r="I178" s="7">
        <f>+$B$167*(E178-E177)</f>
        <v>18.339899999999986</v>
      </c>
      <c r="J178" s="11">
        <f>+B167*(B177)^3/12+I178*H178^2</f>
        <v>866.2784518699989</v>
      </c>
      <c r="K178" s="42">
        <f>+I178*O164</f>
        <v>18.394919699999985</v>
      </c>
      <c r="L178" s="11">
        <f>+B167*(B177)^3/12+K178*H178^2</f>
        <v>868.8714326710314</v>
      </c>
    </row>
    <row r="179" spans="1:12" ht="15">
      <c r="A179" s="15" t="s">
        <v>17</v>
      </c>
      <c r="B179" s="21">
        <f>+B167*B168</f>
        <v>36.6798</v>
      </c>
      <c r="C179" s="31" t="s">
        <v>59</v>
      </c>
      <c r="E179" s="7">
        <f>+E178+$B$177</f>
        <v>17.119999999999997</v>
      </c>
      <c r="F179" s="1" t="s">
        <v>28</v>
      </c>
      <c r="G179" s="7">
        <f t="shared" si="38"/>
        <v>-8.559999999999997</v>
      </c>
      <c r="H179" s="42">
        <f t="shared" si="39"/>
        <v>-7.994999999999997</v>
      </c>
      <c r="I179" s="7">
        <f>+$B$167*(E179-E178)</f>
        <v>18.339899999999986</v>
      </c>
      <c r="J179" s="11">
        <f>+B167*(B177)^3/12+I179*H179^2</f>
        <v>1174.2383846899984</v>
      </c>
      <c r="K179" s="42">
        <f>+I179*O164</f>
        <v>18.394919699999985</v>
      </c>
      <c r="L179" s="11">
        <f>+B167*(B177)^3/12+K179*H179^2</f>
        <v>1177.7552452894909</v>
      </c>
    </row>
    <row r="180" spans="1:10" ht="15">
      <c r="A180" s="15" t="s">
        <v>18</v>
      </c>
      <c r="B180" s="21">
        <f>+(B169-2*B168)*B170</f>
        <v>17.766000000000002</v>
      </c>
      <c r="C180" s="14" t="s">
        <v>10</v>
      </c>
      <c r="D180" s="16"/>
      <c r="E180" s="7"/>
      <c r="F180" s="1"/>
      <c r="G180" s="7"/>
      <c r="I180" s="7"/>
      <c r="J180" s="11"/>
    </row>
    <row r="181" spans="1:14" ht="14.25">
      <c r="A181" s="15" t="s">
        <v>75</v>
      </c>
      <c r="B181" s="8">
        <f>+B171*B173</f>
        <v>33647.4</v>
      </c>
      <c r="C181" s="14" t="s">
        <v>6</v>
      </c>
      <c r="E181" s="15" t="s">
        <v>73</v>
      </c>
      <c r="F181" s="11">
        <f>+B173*(K181)</f>
        <v>5100.062905439998</v>
      </c>
      <c r="G181" s="41" t="s">
        <v>20</v>
      </c>
      <c r="H181" s="5" t="s">
        <v>68</v>
      </c>
      <c r="I181" s="7">
        <f>+SUM(I167:I179)</f>
        <v>91.12559999999998</v>
      </c>
      <c r="J181" s="11">
        <f>+SUM(J167:J179)</f>
        <v>4316.077853119998</v>
      </c>
      <c r="K181" s="7">
        <f>+SUM(K167:K179)</f>
        <v>91.39897679999997</v>
      </c>
      <c r="L181" s="11">
        <f>+SUM(L167:L179)</f>
        <v>4328.99165076511</v>
      </c>
      <c r="M181" s="43">
        <f>+SUM(M168:M173)*2</f>
        <v>33637.791361867196</v>
      </c>
      <c r="N181" s="43">
        <f>+SUM(N168:N173)*2</f>
        <v>4317.513012682613</v>
      </c>
    </row>
    <row r="182" spans="2:13" ht="14.25">
      <c r="B182" s="7"/>
      <c r="C182" s="1"/>
      <c r="D182" s="1"/>
      <c r="E182" s="15" t="s">
        <v>76</v>
      </c>
      <c r="F182" s="1">
        <f>+B172*B173</f>
        <v>28234.8</v>
      </c>
      <c r="G182" s="41" t="s">
        <v>74</v>
      </c>
      <c r="H182" s="15" t="s">
        <v>71</v>
      </c>
      <c r="I182" s="38">
        <f>+B169*B170</f>
        <v>24.1392</v>
      </c>
      <c r="M182" s="37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34"/>
      <c r="C184" s="34"/>
      <c r="D184" s="21"/>
      <c r="E184" s="8"/>
      <c r="F184" s="21"/>
      <c r="G184" s="14"/>
      <c r="H184" s="14"/>
      <c r="I184" s="14"/>
    </row>
    <row r="185" spans="1:9" ht="12.75">
      <c r="A185" s="14"/>
      <c r="B185" s="34"/>
      <c r="C185" s="34"/>
      <c r="D185" s="21"/>
      <c r="E185" s="8"/>
      <c r="F185" s="21"/>
      <c r="G185" s="14"/>
      <c r="H185" s="14"/>
      <c r="I185" s="14"/>
    </row>
    <row r="186" spans="1:9" ht="12.75">
      <c r="A186" s="14"/>
      <c r="B186" s="34"/>
      <c r="C186" s="34"/>
      <c r="D186" s="21"/>
      <c r="E186" s="8"/>
      <c r="F186" s="21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6"/>
      <c r="G188" s="21"/>
      <c r="H188" s="14"/>
      <c r="I188" s="14"/>
    </row>
    <row r="189" spans="1:9" ht="12.75">
      <c r="A189" s="14"/>
      <c r="B189" s="14"/>
      <c r="C189" s="14"/>
      <c r="D189" s="14"/>
      <c r="E189" s="14"/>
      <c r="F189" s="28"/>
      <c r="G189" s="21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11" ht="12.75">
      <c r="A192" s="14"/>
      <c r="B192" s="28"/>
      <c r="C192" s="21"/>
      <c r="D192" s="14"/>
      <c r="E192" s="14"/>
      <c r="F192" s="28"/>
      <c r="G192" s="21"/>
      <c r="H192" s="14"/>
      <c r="I192" s="14"/>
      <c r="J192" s="36"/>
      <c r="K192" s="11"/>
    </row>
    <row r="193" spans="1:11" ht="12.75">
      <c r="A193" s="14"/>
      <c r="B193" s="28"/>
      <c r="C193" s="21"/>
      <c r="D193" s="14"/>
      <c r="E193" s="14"/>
      <c r="F193" s="28"/>
      <c r="G193" s="21"/>
      <c r="H193" s="14"/>
      <c r="I193" s="14"/>
      <c r="J193" s="36"/>
      <c r="K193" s="11"/>
    </row>
    <row r="194" spans="1:11" ht="12.75">
      <c r="A194" s="14"/>
      <c r="B194" s="28"/>
      <c r="C194" s="21"/>
      <c r="D194" s="14"/>
      <c r="E194" s="14"/>
      <c r="F194" s="28"/>
      <c r="G194" s="21"/>
      <c r="H194" s="14"/>
      <c r="I194" s="14"/>
      <c r="J194" s="36"/>
      <c r="K194" s="11"/>
    </row>
    <row r="195" spans="1:11" ht="12.75">
      <c r="A195" s="14"/>
      <c r="B195" s="28"/>
      <c r="C195" s="21"/>
      <c r="D195" s="14"/>
      <c r="E195" s="14"/>
      <c r="F195" s="28"/>
      <c r="G195" s="21"/>
      <c r="H195" s="14"/>
      <c r="I195" s="14"/>
      <c r="J195" s="36"/>
      <c r="K195" s="11"/>
    </row>
    <row r="196" spans="1:9" ht="12.75">
      <c r="A196" s="14"/>
      <c r="B196" s="28"/>
      <c r="C196" s="21"/>
      <c r="D196" s="14"/>
      <c r="E196" s="39"/>
      <c r="F196" s="28"/>
      <c r="G196" s="8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3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5"/>
      <c r="B200" s="20"/>
      <c r="C200" s="14"/>
      <c r="D200" s="15"/>
      <c r="E200" s="20"/>
      <c r="F200" s="14"/>
      <c r="G200" s="28"/>
      <c r="H200" s="21"/>
      <c r="I200" s="14"/>
    </row>
    <row r="201" spans="1:9" ht="12.75">
      <c r="A201" s="15"/>
      <c r="B201" s="8"/>
      <c r="C201" s="14"/>
      <c r="D201" s="5"/>
      <c r="E201" s="21"/>
      <c r="F201" s="14"/>
      <c r="G201" s="14"/>
      <c r="H201" s="14"/>
      <c r="I201" s="14"/>
    </row>
    <row r="202" spans="1:9" ht="12.75">
      <c r="A202" s="28"/>
      <c r="B202" s="8"/>
      <c r="C202" s="14"/>
      <c r="D202" s="5"/>
      <c r="E202" s="21"/>
      <c r="F202" s="14"/>
      <c r="G202" s="14"/>
      <c r="H202" s="14"/>
      <c r="I202" s="14"/>
    </row>
    <row r="203" spans="1:9" ht="12.75">
      <c r="A203" s="28"/>
      <c r="B203" s="8"/>
      <c r="C203" s="14"/>
      <c r="D203" s="5"/>
      <c r="E203" s="21"/>
      <c r="F203" s="14"/>
      <c r="G203" s="14"/>
      <c r="H203" s="14"/>
      <c r="I203" s="14"/>
    </row>
    <row r="204" spans="1:9" ht="12.75">
      <c r="A204" s="14"/>
      <c r="B204" s="14"/>
      <c r="C204" s="14"/>
      <c r="D204" s="15"/>
      <c r="E204" s="21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39"/>
      <c r="F205" s="28"/>
      <c r="G205" s="8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3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28"/>
      <c r="B209" s="20"/>
      <c r="C209" s="14"/>
      <c r="D209" s="14"/>
      <c r="E209" s="14"/>
      <c r="F209" s="14"/>
      <c r="G209" s="14"/>
      <c r="H209" s="14"/>
      <c r="I209" s="14"/>
    </row>
    <row r="210" spans="1:9" ht="12.75">
      <c r="A210" s="15"/>
      <c r="B210" s="8"/>
      <c r="C210" s="14"/>
      <c r="D210" s="5"/>
      <c r="E210" s="21"/>
      <c r="F210" s="14"/>
      <c r="G210" s="14"/>
      <c r="H210" s="14"/>
      <c r="I210" s="14"/>
    </row>
    <row r="211" spans="1:9" ht="12.75">
      <c r="A211" s="28"/>
      <c r="B211" s="8"/>
      <c r="C211" s="14"/>
      <c r="D211" s="15"/>
      <c r="E211" s="21"/>
      <c r="F211" s="14"/>
      <c r="G211" s="14"/>
      <c r="H211" s="14"/>
      <c r="I211" s="14"/>
    </row>
    <row r="212" spans="1:9" ht="12.75">
      <c r="A212" s="28"/>
      <c r="B212" s="8"/>
      <c r="C212" s="14"/>
      <c r="D212" s="14"/>
      <c r="E212" s="39"/>
      <c r="F212" s="28"/>
      <c r="G212" s="8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.7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</sheetData>
  <printOptions/>
  <pageMargins left="1.25" right="0.75" top="1" bottom="0.5" header="0.5" footer="0.5"/>
  <pageSetup fitToHeight="2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lehigh</dc:creator>
  <cp:keywords/>
  <dc:description/>
  <cp:lastModifiedBy>Familia Emen</cp:lastModifiedBy>
  <cp:lastPrinted>2001-10-06T23:03:54Z</cp:lastPrinted>
  <dcterms:created xsi:type="dcterms:W3CDTF">1999-02-24T21:33:49Z</dcterms:created>
  <dcterms:modified xsi:type="dcterms:W3CDTF">2007-07-31T01:27:14Z</dcterms:modified>
  <cp:category/>
  <cp:version/>
  <cp:contentType/>
  <cp:contentStatus/>
</cp:coreProperties>
</file>