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170" tabRatio="724" firstSheet="3" activeTab="4"/>
  </bookViews>
  <sheets>
    <sheet name="ANALISIS MERCADO" sheetId="1" r:id="rId1"/>
    <sheet name="PROY. INGRESOS" sheetId="2" r:id="rId2"/>
    <sheet name="PROY. GASTOS" sheetId="3" r:id="rId3"/>
    <sheet name="ANALISIS COSTOS" sheetId="4" r:id="rId4"/>
    <sheet name="EVAL. INVERSION" sheetId="5" r:id="rId5"/>
    <sheet name="PYG" sheetId="6" r:id="rId6"/>
    <sheet name="LIQ. IMPTOS." sheetId="7" r:id="rId7"/>
    <sheet name="PRESTAMOS" sheetId="8" r:id="rId8"/>
    <sheet name="SUELDOS" sheetId="9" r:id="rId9"/>
    <sheet name="G. CONST." sheetId="10" r:id="rId10"/>
    <sheet name="ACTIVOS FIJOS" sheetId="11" r:id="rId11"/>
  </sheets>
  <definedNames/>
  <calcPr fullCalcOnLoad="1"/>
</workbook>
</file>

<file path=xl/sharedStrings.xml><?xml version="1.0" encoding="utf-8"?>
<sst xmlns="http://schemas.openxmlformats.org/spreadsheetml/2006/main" count="652" uniqueCount="247">
  <si>
    <t>ATRAME CIA. LTDA.</t>
  </si>
  <si>
    <t>PROYECCION DE GASTOS</t>
  </si>
  <si>
    <t>PROYECCION DE INGRESOS</t>
  </si>
  <si>
    <t>TRAMITES ADUANEROS</t>
  </si>
  <si>
    <t>TRAMITES SOCIETARIOS:</t>
  </si>
  <si>
    <t>CONSTITUCION DE COMPAÑIAS</t>
  </si>
  <si>
    <t>LIQUIDACION DE COMPAÑIAS</t>
  </si>
  <si>
    <t>REFORMAS ESTATUTARIAS</t>
  </si>
  <si>
    <t>TRAMITES ADUANEROS:</t>
  </si>
  <si>
    <t>IMPORTACION (INTEGRAL)</t>
  </si>
  <si>
    <t>EXPORTACION (INTEGRAL)</t>
  </si>
  <si>
    <t>SERVICIO CONTABLE:</t>
  </si>
  <si>
    <t>PRESENTACION DE ESTADOS FINANCIEROS</t>
  </si>
  <si>
    <t>C. UNIDAD</t>
  </si>
  <si>
    <t>REALIZACION DE CONTABILIDAD</t>
  </si>
  <si>
    <t xml:space="preserve">REVISION DE CONTABILIDAD </t>
  </si>
  <si>
    <t>REV. Y REAL. DECLARACION DE IVA</t>
  </si>
  <si>
    <t>REV. Y REAL. DECLARACION DE RET. I. RENTA</t>
  </si>
  <si>
    <t>REV. Y REAL. DECLARACION DE IMPTO RENTA</t>
  </si>
  <si>
    <t>CANTIDAD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</si>
  <si>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</si>
  <si>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</si>
  <si>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</si>
  <si>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</si>
  <si>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</si>
  <si>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</si>
  <si>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</si>
  <si>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</si>
  <si>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</si>
  <si>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</si>
  <si>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</si>
  <si>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</si>
  <si>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EMPRESAS GUAYAQUIL</t>
  </si>
  <si>
    <t>GRANDES</t>
  </si>
  <si>
    <t>MEDIANAS</t>
  </si>
  <si>
    <t>PEQUEÑAS</t>
  </si>
  <si>
    <t>P. NATURALES OB. CONTABILIDAD</t>
  </si>
  <si>
    <t>P. NATURALES NO OB. CONTABILIDAD</t>
  </si>
  <si>
    <t>POBLACION</t>
  </si>
  <si>
    <t>% POBLACION</t>
  </si>
  <si>
    <t>TOTAL</t>
  </si>
  <si>
    <t>MICROEMPRESAS</t>
  </si>
  <si>
    <t>MERCADO POTENCIAL %</t>
  </si>
  <si>
    <t xml:space="preserve">TRAMITES SOCIETARIOS </t>
  </si>
  <si>
    <t># EMPRESAS CREADAS</t>
  </si>
  <si>
    <t># EMPRESAS CERRADAS</t>
  </si>
  <si>
    <t>COMPETENCIA:</t>
  </si>
  <si>
    <t>AGENTES ADUANEROS</t>
  </si>
  <si>
    <t>EMPRESAS SERVICIOS CONTABLES</t>
  </si>
  <si>
    <t>TRAMITADORES INFORMALES</t>
  </si>
  <si>
    <t>CANITDAD</t>
  </si>
  <si>
    <t>ABOGADOS TRIBUTARISTAS/SOCIET</t>
  </si>
  <si>
    <t>ADUANEROS</t>
  </si>
  <si>
    <t>TRIB. / SOCIET</t>
  </si>
  <si>
    <t>SERV. CONTAB</t>
  </si>
  <si>
    <t>INFORMALES</t>
  </si>
  <si>
    <t>PERSONAL PROPIO</t>
  </si>
  <si>
    <t>TERCIARIZAN SERVICIO %</t>
  </si>
  <si>
    <t xml:space="preserve">TERCIARIZAN SERVICIO </t>
  </si>
  <si>
    <t>PERSONAL PROPIO %</t>
  </si>
  <si>
    <t xml:space="preserve">PERSONAL PROPIO </t>
  </si>
  <si>
    <t xml:space="preserve">MERCADO POTENCIAL </t>
  </si>
  <si>
    <t>CLIENTES %</t>
  </si>
  <si>
    <t xml:space="preserve">CLIENTES </t>
  </si>
  <si>
    <t>CREACION DE EMPRESAS</t>
  </si>
  <si>
    <t>LIQUIDACION DE EMPRESAS</t>
  </si>
  <si>
    <t>REFORMA ESTATUTARIA</t>
  </si>
  <si>
    <t>IMPORTACION DE BIENES</t>
  </si>
  <si>
    <t># IMPORTACIONES</t>
  </si>
  <si>
    <t>EXPORTACION DE BIENES</t>
  </si>
  <si>
    <t># EXPORTACIONES</t>
  </si>
  <si>
    <t>SERVICIOS CONTABLES</t>
  </si>
  <si>
    <t>LLEVA CONTABILIDAD</t>
  </si>
  <si>
    <t>SERVICIO PRESTADO %</t>
  </si>
  <si>
    <t xml:space="preserve">SERVICIO PRESTADO </t>
  </si>
  <si>
    <t>PROFESIONALES</t>
  </si>
  <si>
    <t>GASTOS OPERATIVOS:</t>
  </si>
  <si>
    <t>ALQUILER DE OFICINA</t>
  </si>
  <si>
    <t>ENERGIA ELECTRICA</t>
  </si>
  <si>
    <t>AGUA POTABLE</t>
  </si>
  <si>
    <t>TELEFONO CONVENCIONAL Y CELULAR</t>
  </si>
  <si>
    <t>INTERNET</t>
  </si>
  <si>
    <t>IMPUESTOS</t>
  </si>
  <si>
    <t>SUMINISTROS DE OFICINA</t>
  </si>
  <si>
    <t>DEPRECIACION DE ACTIVOS FIJOS</t>
  </si>
  <si>
    <t>AMORTIZACION DE GASTOS CONSTITUCION</t>
  </si>
  <si>
    <t>SUELDOS</t>
  </si>
  <si>
    <t>APORTE PATRONAL 12,15%</t>
  </si>
  <si>
    <t>DECIMO TERCER SUELDO</t>
  </si>
  <si>
    <t>DECIMO CUARTO SUELDO</t>
  </si>
  <si>
    <t>FONDOS DE RESERVA</t>
  </si>
  <si>
    <t>VACACIONES</t>
  </si>
  <si>
    <t>CUOTAS Y SUSCRIPCIONES</t>
  </si>
  <si>
    <t>PROYECCION DE GASTOS POR NOMINA DE PERSONAL</t>
  </si>
  <si>
    <t>SECRETARIA</t>
  </si>
  <si>
    <t>GERENTE GENERAL</t>
  </si>
  <si>
    <t>CONTADOR</t>
  </si>
  <si>
    <t>ASISTENTES 4</t>
  </si>
  <si>
    <t>ASISTENTES 1</t>
  </si>
  <si>
    <t>ASISTENTES 2</t>
  </si>
  <si>
    <t>ASISTENTES 3</t>
  </si>
  <si>
    <t>MENSAJERO 1</t>
  </si>
  <si>
    <t>MENSAJERO 2</t>
  </si>
  <si>
    <t>SERVICIOS PRESTADOS ADUANEROS</t>
  </si>
  <si>
    <t>SERVICIOS PRESTADOS LEGALES</t>
  </si>
  <si>
    <t>APORTE IESS 9,35%</t>
  </si>
  <si>
    <t>NETO A PAGAR</t>
  </si>
  <si>
    <t>DEC. TERCERO</t>
  </si>
  <si>
    <t>DEC. CUARTO</t>
  </si>
  <si>
    <t>VACACION</t>
  </si>
  <si>
    <t>FDOS. RESERVA</t>
  </si>
  <si>
    <t>COSTO MENSUAL NOMINA</t>
  </si>
  <si>
    <t>AÑO 1</t>
  </si>
  <si>
    <t>AÑO 2</t>
  </si>
  <si>
    <t>AÑO 3</t>
  </si>
  <si>
    <t>AÑO 4</t>
  </si>
  <si>
    <t>AÑO 5</t>
  </si>
  <si>
    <t>APORTE PATR. 12,15%</t>
  </si>
  <si>
    <t>CONCEPTO</t>
  </si>
  <si>
    <t>VALOR</t>
  </si>
  <si>
    <t>Abogado</t>
  </si>
  <si>
    <t>Notario</t>
  </si>
  <si>
    <t>Registro Mercantil</t>
  </si>
  <si>
    <t>Municipio</t>
  </si>
  <si>
    <t>SRI</t>
  </si>
  <si>
    <t>Afiliaciones</t>
  </si>
  <si>
    <t>Varios (transporte, copias, etc.)</t>
  </si>
  <si>
    <t>PROYECCION DE GASTOS DE CONSTITUCION</t>
  </si>
  <si>
    <t>PERIODO</t>
  </si>
  <si>
    <t>AMORTIZACION ANUAL</t>
  </si>
  <si>
    <t>AMORTIZACION MENSUAL</t>
  </si>
  <si>
    <t>PROYECCION DE ADQUISICION DE ACTIVOS FIJOS</t>
  </si>
  <si>
    <t>AIRE ACONDICIONADO</t>
  </si>
  <si>
    <t>MOTOS</t>
  </si>
  <si>
    <t>COPIADORA</t>
  </si>
  <si>
    <t>SURTIDORES DE AGUA</t>
  </si>
  <si>
    <t>CAFETERA</t>
  </si>
  <si>
    <t xml:space="preserve">MUEBLES </t>
  </si>
  <si>
    <t>COMPUTADORAS</t>
  </si>
  <si>
    <t>IMPRESORAS</t>
  </si>
  <si>
    <t>C. TOTAL</t>
  </si>
  <si>
    <t>V. UTIL</t>
  </si>
  <si>
    <t>DEP. AÑO 1</t>
  </si>
  <si>
    <t>DEP. AÑO 2</t>
  </si>
  <si>
    <t>DEP. AÑO 3</t>
  </si>
  <si>
    <t>DEP. AÑO 4</t>
  </si>
  <si>
    <t>DEP. AÑO 5</t>
  </si>
  <si>
    <t>DEPRECIACION MENSUAL</t>
  </si>
  <si>
    <t>ANALISIS DE COSTOS Y PUNTO DE EQUILIBRIO</t>
  </si>
  <si>
    <t>COSTOS FIJOS</t>
  </si>
  <si>
    <t>TOTAL COSTOS FIJOS</t>
  </si>
  <si>
    <t>COSTOS VARIABLES</t>
  </si>
  <si>
    <t>TOTAL COSTOS VARIABLES</t>
  </si>
  <si>
    <t>COSTO TOTAL</t>
  </si>
  <si>
    <t>SERVICIOS PRESTADOS CONTABLES</t>
  </si>
  <si>
    <t>PROPORCION</t>
  </si>
  <si>
    <t>PAQUETE DE SERVICIOS</t>
  </si>
  <si>
    <t>%</t>
  </si>
  <si>
    <t>COSTO TOTAL PRORRATEADO</t>
  </si>
  <si>
    <t>PRECIOS DE VENTA:</t>
  </si>
  <si>
    <t>UNI</t>
  </si>
  <si>
    <t>PRECIOS</t>
  </si>
  <si>
    <t>UNIDAD</t>
  </si>
  <si>
    <t>VENTA TOTAL</t>
  </si>
  <si>
    <t>UTILIDAD POR PAQUETE:</t>
  </si>
  <si>
    <t>UTILIDAD TOTAL</t>
  </si>
  <si>
    <t>ESTADO DE PERDIDAS Y GANANCIAS</t>
  </si>
  <si>
    <t>VENTAS</t>
  </si>
  <si>
    <t>COSTOS Y GASTOS:</t>
  </si>
  <si>
    <t>UTILIDAD EN VENTAS</t>
  </si>
  <si>
    <t>PARTICIPACION UTILIDADES 15%</t>
  </si>
  <si>
    <t>UTILIDAD ANTES DE IMPUESTO</t>
  </si>
  <si>
    <t>IMPUESTO RENTA 25%</t>
  </si>
  <si>
    <t>RESERVA LEGAL 5%</t>
  </si>
  <si>
    <t>UTILIDAD NETA</t>
  </si>
  <si>
    <t>IVA 12%</t>
  </si>
  <si>
    <t>VALOR NETO DE VENTAS</t>
  </si>
  <si>
    <t>ANTICIPO 30%</t>
  </si>
  <si>
    <t>CREDITO 70%</t>
  </si>
  <si>
    <t>RECUPERACION DE CARTERA</t>
  </si>
  <si>
    <t>INGRESO EN EFECTIVO</t>
  </si>
  <si>
    <t>CUENTA POR COBRAR</t>
  </si>
  <si>
    <t>PRESTAMO A BANCO</t>
  </si>
  <si>
    <t>MONTO:</t>
  </si>
  <si>
    <t xml:space="preserve">TASA </t>
  </si>
  <si>
    <t>PERIODOS</t>
  </si>
  <si>
    <t>TABLA DE AMORTIZACION</t>
  </si>
  <si>
    <t xml:space="preserve"> </t>
  </si>
  <si>
    <t>CANON</t>
  </si>
  <si>
    <t>TASA</t>
  </si>
  <si>
    <t>INTERÉS</t>
  </si>
  <si>
    <t>CAPITAL</t>
  </si>
  <si>
    <t>SALDO</t>
  </si>
  <si>
    <t xml:space="preserve">  </t>
  </si>
  <si>
    <t>SUMAN</t>
  </si>
  <si>
    <t>ENERO DE 2010</t>
  </si>
  <si>
    <t>INTERESES POR PRESTAMO</t>
  </si>
  <si>
    <t>INTERESES POR PRESTAMOS</t>
  </si>
  <si>
    <t>LIQUIDACION DE IMPUESTOS</t>
  </si>
  <si>
    <t>LIQUIDACION DE IVA</t>
  </si>
  <si>
    <t>IVA COBRADO</t>
  </si>
  <si>
    <t>IVA PAGADO</t>
  </si>
  <si>
    <t>RET. IVA A FAVOR</t>
  </si>
  <si>
    <t>IMPUESTO CAUSADO</t>
  </si>
  <si>
    <t>IVA POR PAGAR</t>
  </si>
  <si>
    <t>LIQUIDACION DE RETENCION</t>
  </si>
  <si>
    <t>COMPRAS RET. 1%</t>
  </si>
  <si>
    <t>COMPRAS RET. 2%</t>
  </si>
  <si>
    <t>COMPRAS RET. 8%</t>
  </si>
  <si>
    <t>RETENCIONES POR PAGAR</t>
  </si>
  <si>
    <t>RETENCION 1%</t>
  </si>
  <si>
    <t>RETENCION 2%</t>
  </si>
  <si>
    <t>RETENCION 8%</t>
  </si>
  <si>
    <t>IVA PROFESIONALES Y ARRIENDO</t>
  </si>
  <si>
    <t>RET. IVA 100%</t>
  </si>
  <si>
    <t>TOTAL IVA POR PAGAR</t>
  </si>
  <si>
    <t>AÑO 0</t>
  </si>
  <si>
    <t>INVERSION INICIAL</t>
  </si>
  <si>
    <t>VENTAS TRAMITES SOCIETARIOS</t>
  </si>
  <si>
    <t>VENTAS TRAMITES ADUANEROS</t>
  </si>
  <si>
    <t>VENTAS SERVICIOS CONTABLES</t>
  </si>
  <si>
    <t xml:space="preserve">COSTOS FIJOS </t>
  </si>
  <si>
    <t>TOTAL VENTAS</t>
  </si>
  <si>
    <t>TOTAL COSTOS Y GASTOS</t>
  </si>
  <si>
    <t>(-) 15% PARTICIPACION TRABAJADORES</t>
  </si>
  <si>
    <t>(=) UTILIDAD GRAVABLE</t>
  </si>
  <si>
    <t>(-) 25% IMPUESTO A LA RENTA</t>
  </si>
  <si>
    <t>UTILIDAD NETA PARA ACCIONISTA</t>
  </si>
  <si>
    <t>(+) DEPRECIACION</t>
  </si>
  <si>
    <t>(+) AMORTIZACION</t>
  </si>
  <si>
    <t>UTILIDAD LIQUIDA</t>
  </si>
  <si>
    <t xml:space="preserve">FLUJO DE EFECTIVO </t>
  </si>
  <si>
    <t xml:space="preserve">(=) UTILIDAD NETA </t>
  </si>
  <si>
    <t>(-) 5% RESERVA LEGAL</t>
  </si>
  <si>
    <t>FLUJO DE CAJA NETO</t>
  </si>
  <si>
    <t>ANÁLISIS DE RENTABILIDAD DEL PROYECTO</t>
  </si>
  <si>
    <t>INVERSIÓN INICIAL</t>
  </si>
  <si>
    <t>COSTO DE OPORTUNIDAD</t>
  </si>
  <si>
    <t xml:space="preserve">VAN </t>
  </si>
  <si>
    <t>TIR</t>
  </si>
  <si>
    <t>PERIODO DE RECUPERACIÓN DE CARTERA</t>
  </si>
  <si>
    <t>AÑOS</t>
  </si>
  <si>
    <t xml:space="preserve">% POBLACION </t>
  </si>
  <si>
    <t xml:space="preserve">Gastos de Publicidad </t>
  </si>
  <si>
    <t>ANEXOS TRIBUTARIOS</t>
  </si>
  <si>
    <t xml:space="preserve">PRIMER AÑO </t>
  </si>
  <si>
    <t>ASISTENTES 5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</si>
</sst>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dd\-mm\-yy;@"/>
    <numFmt numFmtId="181" formatCode="0.000000"/>
    <numFmt numFmtId="182" formatCode="_-[$$-409]* #,##0.00_ ;_-[$$-409]* \-#,##0.00\ ;_-[$$-409]* &quot;-&quot;??_ ;_-@_ "/>
    <numFmt numFmtId="183" formatCode="#,##0.0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42"/>
      <name val="Calibri"/>
      <family val="2"/>
    </font>
    <font>
      <b/>
      <sz val="18"/>
      <color indexed="8"/>
      <name val="Calibri"/>
      <family val="2"/>
    </font>
    <font>
      <sz val="11"/>
      <color indexed="42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42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42"/>
      <name val="Calibri"/>
      <family val="2"/>
    </font>
    <font>
      <b/>
      <sz val="16"/>
      <color indexed="42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6"/>
      <color indexed="9"/>
      <name val="Calibri"/>
      <family val="2"/>
    </font>
    <font>
      <sz val="10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u val="single"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6"/>
      <name val="Calibri"/>
      <family val="2"/>
    </font>
    <font>
      <b/>
      <u val="single"/>
      <sz val="12"/>
      <name val="Calibri"/>
      <family val="2"/>
    </font>
    <font>
      <b/>
      <sz val="10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42"/>
      <name val="Calibri"/>
      <family val="2"/>
    </font>
    <font>
      <b/>
      <i/>
      <sz val="8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u val="single"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u val="single"/>
      <sz val="9"/>
      <color theme="1"/>
      <name val="Calibri"/>
      <family val="2"/>
    </font>
    <font>
      <sz val="8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9" fillId="29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74" fillId="21" borderId="5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68" fillId="0" borderId="8" applyNumberFormat="0" applyFill="0" applyAlignment="0" applyProtection="0"/>
    <xf numFmtId="0" fontId="80" fillId="0" borderId="9" applyNumberFormat="0" applyFill="0" applyAlignment="0" applyProtection="0"/>
  </cellStyleXfs>
  <cellXfs count="289">
    <xf numFmtId="0" fontId="0" fillId="0" borderId="0" xfId="0" applyFont="1" applyAlignment="1">
      <alignment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1" fillId="33" borderId="0" xfId="0" applyFont="1" applyFill="1" applyAlignment="1">
      <alignment horizontal="center"/>
    </xf>
    <xf numFmtId="4" fontId="11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4" fontId="0" fillId="33" borderId="0" xfId="0" applyNumberFormat="1" applyFill="1" applyAlignment="1">
      <alignment horizontal="center"/>
    </xf>
    <xf numFmtId="4" fontId="11" fillId="33" borderId="0" xfId="0" applyNumberFormat="1" applyFont="1" applyFill="1" applyAlignment="1">
      <alignment horizontal="center"/>
    </xf>
    <xf numFmtId="2" fontId="11" fillId="33" borderId="0" xfId="0" applyNumberFormat="1" applyFont="1" applyFill="1" applyAlignment="1">
      <alignment horizontal="center" vertical="center" wrapText="1"/>
    </xf>
    <xf numFmtId="4" fontId="11" fillId="33" borderId="0" xfId="0" applyNumberFormat="1" applyFont="1" applyFill="1" applyAlignment="1">
      <alignment horizontal="center" vertical="center" wrapText="1"/>
    </xf>
    <xf numFmtId="2" fontId="12" fillId="34" borderId="0" xfId="0" applyNumberFormat="1" applyFont="1" applyFill="1" applyAlignment="1">
      <alignment horizontal="center" vertical="center" wrapText="1"/>
    </xf>
    <xf numFmtId="4" fontId="12" fillId="34" borderId="0" xfId="0" applyNumberFormat="1" applyFont="1" applyFill="1" applyAlignment="1">
      <alignment horizontal="center" vertical="center" wrapText="1"/>
    </xf>
    <xf numFmtId="4" fontId="0" fillId="35" borderId="0" xfId="0" applyNumberFormat="1" applyFill="1" applyAlignment="1">
      <alignment/>
    </xf>
    <xf numFmtId="4" fontId="11" fillId="36" borderId="0" xfId="0" applyNumberFormat="1" applyFont="1" applyFill="1" applyAlignment="1">
      <alignment/>
    </xf>
    <xf numFmtId="2" fontId="13" fillId="33" borderId="0" xfId="0" applyNumberFormat="1" applyFont="1" applyFill="1" applyAlignment="1">
      <alignment vertical="center"/>
    </xf>
    <xf numFmtId="4" fontId="0" fillId="33" borderId="0" xfId="0" applyNumberFormat="1" applyFill="1" applyAlignment="1">
      <alignment vertical="center"/>
    </xf>
    <xf numFmtId="2" fontId="0" fillId="33" borderId="0" xfId="0" applyNumberFormat="1" applyFill="1" applyAlignment="1">
      <alignment horizontal="center" vertical="center"/>
    </xf>
    <xf numFmtId="4" fontId="0" fillId="33" borderId="0" xfId="0" applyNumberFormat="1" applyFill="1" applyAlignment="1">
      <alignment horizontal="right" vertical="center"/>
    </xf>
    <xf numFmtId="2" fontId="0" fillId="33" borderId="0" xfId="0" applyNumberFormat="1" applyFill="1" applyAlignment="1">
      <alignment horizontal="right" vertical="center"/>
    </xf>
    <xf numFmtId="2" fontId="0" fillId="33" borderId="0" xfId="0" applyNumberFormat="1" applyFill="1" applyAlignment="1">
      <alignment vertical="center"/>
    </xf>
    <xf numFmtId="2" fontId="0" fillId="35" borderId="0" xfId="0" applyNumberFormat="1" applyFill="1" applyAlignment="1">
      <alignment vertical="center"/>
    </xf>
    <xf numFmtId="4" fontId="0" fillId="35" borderId="0" xfId="0" applyNumberFormat="1" applyFill="1" applyAlignment="1">
      <alignment vertical="center"/>
    </xf>
    <xf numFmtId="2" fontId="0" fillId="35" borderId="0" xfId="0" applyNumberFormat="1" applyFill="1" applyAlignment="1">
      <alignment horizontal="center" vertical="center"/>
    </xf>
    <xf numFmtId="4" fontId="0" fillId="35" borderId="0" xfId="0" applyNumberFormat="1" applyFill="1" applyAlignment="1">
      <alignment horizontal="right" vertical="center"/>
    </xf>
    <xf numFmtId="2" fontId="0" fillId="35" borderId="0" xfId="0" applyNumberFormat="1" applyFill="1" applyAlignment="1">
      <alignment horizontal="right" vertical="center"/>
    </xf>
    <xf numFmtId="2" fontId="11" fillId="37" borderId="0" xfId="0" applyNumberFormat="1" applyFont="1" applyFill="1" applyAlignment="1">
      <alignment vertical="center"/>
    </xf>
    <xf numFmtId="4" fontId="11" fillId="37" borderId="0" xfId="0" applyNumberFormat="1" applyFont="1" applyFill="1" applyAlignment="1">
      <alignment vertical="center"/>
    </xf>
    <xf numFmtId="4" fontId="11" fillId="37" borderId="0" xfId="0" applyNumberFormat="1" applyFont="1" applyFill="1" applyAlignment="1">
      <alignment horizontal="center" vertical="center"/>
    </xf>
    <xf numFmtId="4" fontId="11" fillId="37" borderId="0" xfId="0" applyNumberFormat="1" applyFont="1" applyFill="1" applyAlignment="1">
      <alignment horizontal="right" vertical="center"/>
    </xf>
    <xf numFmtId="2" fontId="12" fillId="38" borderId="0" xfId="0" applyNumberFormat="1" applyFont="1" applyFill="1" applyAlignment="1">
      <alignment vertical="center"/>
    </xf>
    <xf numFmtId="4" fontId="14" fillId="38" borderId="0" xfId="0" applyNumberFormat="1" applyFont="1" applyFill="1" applyAlignment="1">
      <alignment vertical="center"/>
    </xf>
    <xf numFmtId="2" fontId="14" fillId="38" borderId="0" xfId="0" applyNumberFormat="1" applyFont="1" applyFill="1" applyAlignment="1">
      <alignment horizontal="center" vertical="center"/>
    </xf>
    <xf numFmtId="4" fontId="12" fillId="38" borderId="0" xfId="0" applyNumberFormat="1" applyFont="1" applyFill="1" applyAlignment="1">
      <alignment horizontal="right" vertical="center"/>
    </xf>
    <xf numFmtId="4" fontId="11" fillId="33" borderId="0" xfId="0" applyNumberFormat="1" applyFont="1" applyFill="1" applyAlignment="1">
      <alignment horizontal="right" vertical="center"/>
    </xf>
    <xf numFmtId="4" fontId="12" fillId="34" borderId="0" xfId="0" applyNumberFormat="1" applyFont="1" applyFill="1" applyAlignment="1">
      <alignment horizontal="center"/>
    </xf>
    <xf numFmtId="4" fontId="12" fillId="38" borderId="0" xfId="0" applyNumberFormat="1" applyFont="1" applyFill="1" applyAlignment="1">
      <alignment horizontal="center"/>
    </xf>
    <xf numFmtId="4" fontId="12" fillId="39" borderId="0" xfId="0" applyNumberFormat="1" applyFont="1" applyFill="1" applyAlignment="1">
      <alignment horizontal="center"/>
    </xf>
    <xf numFmtId="4" fontId="15" fillId="40" borderId="0" xfId="0" applyNumberFormat="1" applyFont="1" applyFill="1" applyAlignment="1">
      <alignment/>
    </xf>
    <xf numFmtId="4" fontId="0" fillId="40" borderId="0" xfId="0" applyNumberFormat="1" applyFill="1" applyAlignment="1">
      <alignment/>
    </xf>
    <xf numFmtId="4" fontId="16" fillId="33" borderId="0" xfId="0" applyNumberFormat="1" applyFont="1" applyFill="1" applyAlignment="1">
      <alignment/>
    </xf>
    <xf numFmtId="4" fontId="0" fillId="41" borderId="0" xfId="0" applyNumberFormat="1" applyFill="1" applyAlignment="1">
      <alignment/>
    </xf>
    <xf numFmtId="4" fontId="11" fillId="41" borderId="0" xfId="0" applyNumberFormat="1" applyFont="1" applyFill="1" applyAlignment="1">
      <alignment/>
    </xf>
    <xf numFmtId="4" fontId="0" fillId="42" borderId="0" xfId="0" applyNumberFormat="1" applyFill="1" applyAlignment="1">
      <alignment/>
    </xf>
    <xf numFmtId="4" fontId="11" fillId="42" borderId="0" xfId="0" applyNumberFormat="1" applyFont="1" applyFill="1" applyAlignment="1">
      <alignment/>
    </xf>
    <xf numFmtId="4" fontId="17" fillId="39" borderId="0" xfId="0" applyNumberFormat="1" applyFont="1" applyFill="1" applyAlignment="1">
      <alignment horizontal="center" vertical="center" wrapText="1"/>
    </xf>
    <xf numFmtId="4" fontId="18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4" fontId="18" fillId="33" borderId="0" xfId="0" applyNumberFormat="1" applyFont="1" applyFill="1" applyAlignment="1">
      <alignment/>
    </xf>
    <xf numFmtId="0" fontId="18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4" fontId="20" fillId="33" borderId="0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3" fontId="22" fillId="33" borderId="0" xfId="0" applyNumberFormat="1" applyFont="1" applyFill="1" applyBorder="1" applyAlignment="1">
      <alignment horizontal="center" vertical="center" wrapText="1"/>
    </xf>
    <xf numFmtId="4" fontId="22" fillId="33" borderId="0" xfId="0" applyNumberFormat="1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4" fontId="12" fillId="34" borderId="0" xfId="0" applyNumberFormat="1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/>
    </xf>
    <xf numFmtId="3" fontId="22" fillId="42" borderId="0" xfId="0" applyNumberFormat="1" applyFont="1" applyFill="1" applyBorder="1" applyAlignment="1">
      <alignment horizontal="left" vertical="center" wrapText="1"/>
    </xf>
    <xf numFmtId="4" fontId="22" fillId="42" borderId="0" xfId="0" applyNumberFormat="1" applyFont="1" applyFill="1" applyBorder="1" applyAlignment="1">
      <alignment horizontal="right" vertical="center" wrapText="1"/>
    </xf>
    <xf numFmtId="3" fontId="22" fillId="33" borderId="0" xfId="0" applyNumberFormat="1" applyFont="1" applyFill="1" applyBorder="1" applyAlignment="1">
      <alignment/>
    </xf>
    <xf numFmtId="4" fontId="23" fillId="33" borderId="0" xfId="0" applyNumberFormat="1" applyFont="1" applyFill="1" applyBorder="1" applyAlignment="1">
      <alignment/>
    </xf>
    <xf numFmtId="0" fontId="22" fillId="33" borderId="0" xfId="0" applyFont="1" applyFill="1" applyBorder="1" applyAlignment="1">
      <alignment/>
    </xf>
    <xf numFmtId="4" fontId="18" fillId="33" borderId="0" xfId="0" applyNumberFormat="1" applyFont="1" applyFill="1" applyBorder="1" applyAlignment="1">
      <alignment horizontal="center"/>
    </xf>
    <xf numFmtId="0" fontId="23" fillId="35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3" fontId="22" fillId="42" borderId="0" xfId="0" applyNumberFormat="1" applyFont="1" applyFill="1" applyBorder="1" applyAlignment="1">
      <alignment horizontal="center" vertical="center" wrapText="1"/>
    </xf>
    <xf numFmtId="4" fontId="23" fillId="35" borderId="0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11" fillId="42" borderId="0" xfId="0" applyFont="1" applyFill="1" applyAlignment="1">
      <alignment/>
    </xf>
    <xf numFmtId="0" fontId="11" fillId="36" borderId="0" xfId="0" applyFont="1" applyFill="1" applyAlignment="1">
      <alignment/>
    </xf>
    <xf numFmtId="0" fontId="0" fillId="43" borderId="0" xfId="0" applyFill="1" applyAlignment="1">
      <alignment/>
    </xf>
    <xf numFmtId="4" fontId="0" fillId="43" borderId="0" xfId="0" applyNumberFormat="1" applyFill="1" applyAlignment="1">
      <alignment/>
    </xf>
    <xf numFmtId="4" fontId="11" fillId="43" borderId="0" xfId="0" applyNumberFormat="1" applyFont="1" applyFill="1" applyAlignment="1">
      <alignment/>
    </xf>
    <xf numFmtId="4" fontId="0" fillId="43" borderId="0" xfId="0" applyNumberFormat="1" applyFont="1" applyFill="1" applyAlignment="1">
      <alignment/>
    </xf>
    <xf numFmtId="0" fontId="11" fillId="43" borderId="0" xfId="0" applyFont="1" applyFill="1" applyAlignment="1">
      <alignment/>
    </xf>
    <xf numFmtId="4" fontId="0" fillId="41" borderId="0" xfId="0" applyNumberFormat="1" applyFont="1" applyFill="1" applyAlignment="1">
      <alignment/>
    </xf>
    <xf numFmtId="4" fontId="15" fillId="43" borderId="0" xfId="0" applyNumberFormat="1" applyFont="1" applyFill="1" applyAlignment="1">
      <alignment/>
    </xf>
    <xf numFmtId="3" fontId="11" fillId="33" borderId="0" xfId="0" applyNumberFormat="1" applyFont="1" applyFill="1" applyAlignment="1">
      <alignment horizontal="center"/>
    </xf>
    <xf numFmtId="4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right"/>
    </xf>
    <xf numFmtId="4" fontId="11" fillId="35" borderId="0" xfId="0" applyNumberFormat="1" applyFont="1" applyFill="1" applyAlignment="1">
      <alignment/>
    </xf>
    <xf numFmtId="0" fontId="11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0" fillId="35" borderId="0" xfId="0" applyFont="1" applyFill="1" applyAlignment="1">
      <alignment/>
    </xf>
    <xf numFmtId="4" fontId="0" fillId="35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80" fontId="0" fillId="33" borderId="0" xfId="0" applyNumberFormat="1" applyFill="1" applyAlignment="1">
      <alignment horizontal="center"/>
    </xf>
    <xf numFmtId="1" fontId="0" fillId="33" borderId="0" xfId="0" applyNumberFormat="1" applyFill="1" applyAlignment="1">
      <alignment/>
    </xf>
    <xf numFmtId="181" fontId="0" fillId="33" borderId="0" xfId="0" applyNumberForma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182" fontId="3" fillId="33" borderId="0" xfId="0" applyNumberFormat="1" applyFont="1" applyFill="1" applyAlignment="1">
      <alignment/>
    </xf>
    <xf numFmtId="1" fontId="5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181" fontId="4" fillId="33" borderId="0" xfId="0" applyNumberFormat="1" applyFont="1" applyFill="1" applyAlignment="1">
      <alignment horizontal="center"/>
    </xf>
    <xf numFmtId="183" fontId="3" fillId="33" borderId="0" xfId="54" applyNumberFormat="1" applyFont="1" applyFill="1" applyAlignment="1">
      <alignment/>
    </xf>
    <xf numFmtId="1" fontId="3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 horizontal="center"/>
    </xf>
    <xf numFmtId="181" fontId="3" fillId="33" borderId="0" xfId="0" applyNumberFormat="1" applyFont="1" applyFill="1" applyAlignment="1">
      <alignment horizontal="center"/>
    </xf>
    <xf numFmtId="10" fontId="3" fillId="33" borderId="0" xfId="0" applyNumberFormat="1" applyFont="1" applyFill="1" applyAlignment="1">
      <alignment horizontal="center"/>
    </xf>
    <xf numFmtId="1" fontId="7" fillId="44" borderId="10" xfId="0" applyNumberFormat="1" applyFont="1" applyFill="1" applyBorder="1" applyAlignment="1">
      <alignment horizontal="center" vertical="center" wrapText="1"/>
    </xf>
    <xf numFmtId="0" fontId="7" fillId="44" borderId="10" xfId="0" applyFont="1" applyFill="1" applyBorder="1" applyAlignment="1">
      <alignment horizontal="center" vertical="center" wrapText="1"/>
    </xf>
    <xf numFmtId="181" fontId="7" fillId="44" borderId="10" xfId="0" applyNumberFormat="1" applyFont="1" applyFill="1" applyBorder="1" applyAlignment="1">
      <alignment horizontal="center" vertical="center" wrapText="1"/>
    </xf>
    <xf numFmtId="180" fontId="0" fillId="33" borderId="0" xfId="0" applyNumberForma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center"/>
    </xf>
    <xf numFmtId="181" fontId="0" fillId="35" borderId="10" xfId="0" applyNumberFormat="1" applyFill="1" applyBorder="1" applyAlignment="1">
      <alignment horizontal="center"/>
    </xf>
    <xf numFmtId="4" fontId="0" fillId="35" borderId="10" xfId="0" applyNumberFormat="1" applyFill="1" applyBorder="1" applyAlignment="1">
      <alignment/>
    </xf>
    <xf numFmtId="1" fontId="0" fillId="35" borderId="10" xfId="0" applyNumberFormat="1" applyFill="1" applyBorder="1" applyAlignment="1">
      <alignment horizontal="center"/>
    </xf>
    <xf numFmtId="4" fontId="1" fillId="35" borderId="10" xfId="48" applyNumberFormat="1" applyFont="1" applyFill="1" applyBorder="1" applyAlignment="1">
      <alignment horizontal="center"/>
    </xf>
    <xf numFmtId="181" fontId="1" fillId="35" borderId="10" xfId="48" applyNumberFormat="1" applyFont="1" applyFill="1" applyBorder="1" applyAlignment="1">
      <alignment horizontal="center"/>
    </xf>
    <xf numFmtId="4" fontId="1" fillId="35" borderId="10" xfId="48" applyNumberFormat="1" applyFont="1" applyFill="1" applyBorder="1" applyAlignment="1">
      <alignment/>
    </xf>
    <xf numFmtId="1" fontId="8" fillId="35" borderId="10" xfId="0" applyNumberFormat="1" applyFont="1" applyFill="1" applyBorder="1" applyAlignment="1">
      <alignment horizontal="center"/>
    </xf>
    <xf numFmtId="4" fontId="8" fillId="35" borderId="10" xfId="48" applyNumberFormat="1" applyFont="1" applyFill="1" applyBorder="1" applyAlignment="1">
      <alignment horizontal="center"/>
    </xf>
    <xf numFmtId="181" fontId="8" fillId="35" borderId="10" xfId="48" applyNumberFormat="1" applyFont="1" applyFill="1" applyBorder="1" applyAlignment="1">
      <alignment horizontal="center"/>
    </xf>
    <xf numFmtId="4" fontId="8" fillId="35" borderId="10" xfId="48" applyNumberFormat="1" applyFont="1" applyFill="1" applyBorder="1" applyAlignment="1">
      <alignment/>
    </xf>
    <xf numFmtId="4" fontId="8" fillId="33" borderId="0" xfId="0" applyNumberFormat="1" applyFont="1" applyFill="1" applyAlignment="1">
      <alignment horizontal="center"/>
    </xf>
    <xf numFmtId="1" fontId="0" fillId="35" borderId="10" xfId="0" applyNumberFormat="1" applyFill="1" applyBorder="1" applyAlignment="1">
      <alignment horizontal="left"/>
    </xf>
    <xf numFmtId="1" fontId="3" fillId="42" borderId="10" xfId="0" applyNumberFormat="1" applyFont="1" applyFill="1" applyBorder="1" applyAlignment="1">
      <alignment horizontal="left"/>
    </xf>
    <xf numFmtId="4" fontId="3" fillId="42" borderId="10" xfId="48" applyNumberFormat="1" applyFont="1" applyFill="1" applyBorder="1" applyAlignment="1">
      <alignment horizontal="center"/>
    </xf>
    <xf numFmtId="181" fontId="3" fillId="42" borderId="10" xfId="48" applyNumberFormat="1" applyFont="1" applyFill="1" applyBorder="1" applyAlignment="1">
      <alignment horizontal="center"/>
    </xf>
    <xf numFmtId="4" fontId="3" fillId="42" borderId="10" xfId="48" applyNumberFormat="1" applyFont="1" applyFill="1" applyBorder="1" applyAlignment="1">
      <alignment/>
    </xf>
    <xf numFmtId="0" fontId="12" fillId="39" borderId="0" xfId="0" applyFont="1" applyFill="1" applyAlignment="1">
      <alignment/>
    </xf>
    <xf numFmtId="0" fontId="11" fillId="45" borderId="0" xfId="0" applyFont="1" applyFill="1" applyAlignment="1">
      <alignment/>
    </xf>
    <xf numFmtId="4" fontId="11" fillId="45" borderId="0" xfId="0" applyNumberFormat="1" applyFont="1" applyFill="1" applyAlignment="1">
      <alignment/>
    </xf>
    <xf numFmtId="0" fontId="12" fillId="39" borderId="0" xfId="0" applyFont="1" applyFill="1" applyAlignment="1">
      <alignment horizontal="center"/>
    </xf>
    <xf numFmtId="0" fontId="25" fillId="39" borderId="0" xfId="0" applyFont="1" applyFill="1" applyAlignment="1">
      <alignment horizontal="center"/>
    </xf>
    <xf numFmtId="3" fontId="12" fillId="39" borderId="0" xfId="0" applyNumberFormat="1" applyFont="1" applyFill="1" applyAlignment="1">
      <alignment horizontal="center"/>
    </xf>
    <xf numFmtId="0" fontId="12" fillId="44" borderId="0" xfId="0" applyFont="1" applyFill="1" applyAlignment="1">
      <alignment/>
    </xf>
    <xf numFmtId="4" fontId="12" fillId="44" borderId="0" xfId="0" applyNumberFormat="1" applyFont="1" applyFill="1" applyAlignment="1">
      <alignment/>
    </xf>
    <xf numFmtId="4" fontId="11" fillId="46" borderId="0" xfId="0" applyNumberFormat="1" applyFont="1" applyFill="1" applyAlignment="1">
      <alignment/>
    </xf>
    <xf numFmtId="10" fontId="11" fillId="46" borderId="0" xfId="0" applyNumberFormat="1" applyFont="1" applyFill="1" applyAlignment="1">
      <alignment/>
    </xf>
    <xf numFmtId="9" fontId="1" fillId="33" borderId="0" xfId="54" applyFont="1" applyFill="1" applyAlignment="1">
      <alignment vertical="center"/>
    </xf>
    <xf numFmtId="2" fontId="10" fillId="33" borderId="0" xfId="0" applyNumberFormat="1" applyFont="1" applyFill="1" applyAlignment="1">
      <alignment horizontal="center" vertical="center" wrapText="1"/>
    </xf>
    <xf numFmtId="2" fontId="9" fillId="33" borderId="0" xfId="0" applyNumberFormat="1" applyFont="1" applyFill="1" applyAlignment="1">
      <alignment vertical="center"/>
    </xf>
    <xf numFmtId="2" fontId="10" fillId="33" borderId="0" xfId="0" applyNumberFormat="1" applyFont="1" applyFill="1" applyBorder="1" applyAlignment="1">
      <alignment horizontal="center" vertical="center" wrapText="1"/>
    </xf>
    <xf numFmtId="4" fontId="9" fillId="33" borderId="0" xfId="0" applyNumberFormat="1" applyFont="1" applyFill="1" applyBorder="1" applyAlignment="1">
      <alignment horizontal="right" vertical="center"/>
    </xf>
    <xf numFmtId="2" fontId="9" fillId="33" borderId="0" xfId="0" applyNumberFormat="1" applyFont="1" applyFill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 horizontal="center" wrapText="1"/>
    </xf>
    <xf numFmtId="2" fontId="12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4" fontId="12" fillId="33" borderId="0" xfId="0" applyNumberFormat="1" applyFont="1" applyFill="1" applyAlignment="1">
      <alignment horizontal="center" vertical="center" wrapText="1"/>
    </xf>
    <xf numFmtId="1" fontId="0" fillId="33" borderId="0" xfId="0" applyNumberFormat="1" applyFill="1" applyAlignment="1">
      <alignment vertical="center"/>
    </xf>
    <xf numFmtId="9" fontId="1" fillId="33" borderId="0" xfId="54" applyFont="1" applyFill="1" applyAlignment="1">
      <alignment vertical="center"/>
    </xf>
    <xf numFmtId="2" fontId="29" fillId="38" borderId="11" xfId="0" applyNumberFormat="1" applyFont="1" applyFill="1" applyBorder="1" applyAlignment="1">
      <alignment horizontal="center" vertical="center"/>
    </xf>
    <xf numFmtId="2" fontId="30" fillId="38" borderId="12" xfId="0" applyNumberFormat="1" applyFont="1" applyFill="1" applyBorder="1" applyAlignment="1">
      <alignment horizontal="center" vertical="center"/>
    </xf>
    <xf numFmtId="2" fontId="31" fillId="38" borderId="12" xfId="0" applyNumberFormat="1" applyFont="1" applyFill="1" applyBorder="1" applyAlignment="1">
      <alignment horizontal="center" vertical="center"/>
    </xf>
    <xf numFmtId="2" fontId="31" fillId="38" borderId="12" xfId="0" applyNumberFormat="1" applyFont="1" applyFill="1" applyBorder="1" applyAlignment="1">
      <alignment horizontal="center" vertical="center" wrapText="1"/>
    </xf>
    <xf numFmtId="2" fontId="32" fillId="38" borderId="13" xfId="0" applyNumberFormat="1" applyFont="1" applyFill="1" applyBorder="1" applyAlignment="1">
      <alignment vertical="center" wrapText="1"/>
    </xf>
    <xf numFmtId="2" fontId="0" fillId="40" borderId="14" xfId="0" applyNumberFormat="1" applyFill="1" applyBorder="1" applyAlignment="1">
      <alignment vertical="center"/>
    </xf>
    <xf numFmtId="9" fontId="1" fillId="40" borderId="15" xfId="54" applyFont="1" applyFill="1" applyBorder="1" applyAlignment="1">
      <alignment horizontal="center" vertical="center"/>
    </xf>
    <xf numFmtId="9" fontId="1" fillId="40" borderId="16" xfId="54" applyFont="1" applyFill="1" applyBorder="1" applyAlignment="1">
      <alignment horizontal="center"/>
    </xf>
    <xf numFmtId="2" fontId="0" fillId="40" borderId="17" xfId="0" applyNumberFormat="1" applyFill="1" applyBorder="1" applyAlignment="1">
      <alignment vertical="center"/>
    </xf>
    <xf numFmtId="9" fontId="1" fillId="40" borderId="10" xfId="54" applyFont="1" applyFill="1" applyBorder="1" applyAlignment="1">
      <alignment horizontal="center" vertical="center"/>
    </xf>
    <xf numFmtId="9" fontId="1" fillId="40" borderId="18" xfId="54" applyFont="1" applyFill="1" applyBorder="1" applyAlignment="1">
      <alignment horizontal="center"/>
    </xf>
    <xf numFmtId="9" fontId="1" fillId="40" borderId="18" xfId="54" applyFont="1" applyFill="1" applyBorder="1" applyAlignment="1">
      <alignment horizontal="center" vertical="center"/>
    </xf>
    <xf numFmtId="2" fontId="0" fillId="40" borderId="19" xfId="0" applyNumberFormat="1" applyFill="1" applyBorder="1" applyAlignment="1">
      <alignment vertical="center"/>
    </xf>
    <xf numFmtId="9" fontId="1" fillId="40" borderId="20" xfId="54" applyFont="1" applyFill="1" applyBorder="1" applyAlignment="1">
      <alignment horizontal="center" vertical="center"/>
    </xf>
    <xf numFmtId="9" fontId="1" fillId="40" borderId="21" xfId="54" applyFont="1" applyFill="1" applyBorder="1" applyAlignment="1">
      <alignment horizontal="center" vertical="center"/>
    </xf>
    <xf numFmtId="4" fontId="0" fillId="43" borderId="0" xfId="0" applyNumberForma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3" fontId="11" fillId="33" borderId="0" xfId="0" applyNumberFormat="1" applyFont="1" applyFill="1" applyBorder="1" applyAlignment="1">
      <alignment horizontal="center"/>
    </xf>
    <xf numFmtId="4" fontId="11" fillId="43" borderId="0" xfId="0" applyNumberFormat="1" applyFont="1" applyFill="1" applyBorder="1" applyAlignment="1">
      <alignment/>
    </xf>
    <xf numFmtId="0" fontId="11" fillId="43" borderId="0" xfId="0" applyFont="1" applyFill="1" applyBorder="1" applyAlignment="1">
      <alignment/>
    </xf>
    <xf numFmtId="4" fontId="15" fillId="43" borderId="0" xfId="0" applyNumberFormat="1" applyFont="1" applyFill="1" applyBorder="1" applyAlignment="1">
      <alignment/>
    </xf>
    <xf numFmtId="4" fontId="0" fillId="43" borderId="0" xfId="0" applyNumberFormat="1" applyFont="1" applyFill="1" applyBorder="1" applyAlignment="1">
      <alignment/>
    </xf>
    <xf numFmtId="0" fontId="0" fillId="43" borderId="0" xfId="0" applyFill="1" applyBorder="1" applyAlignment="1">
      <alignment/>
    </xf>
    <xf numFmtId="0" fontId="11" fillId="36" borderId="0" xfId="0" applyFont="1" applyFill="1" applyBorder="1" applyAlignment="1">
      <alignment/>
    </xf>
    <xf numFmtId="4" fontId="11" fillId="36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33" borderId="0" xfId="0" applyNumberFormat="1" applyFill="1" applyBorder="1" applyAlignment="1">
      <alignment/>
    </xf>
    <xf numFmtId="4" fontId="28" fillId="33" borderId="0" xfId="0" applyNumberFormat="1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12" fillId="34" borderId="23" xfId="0" applyFont="1" applyFill="1" applyBorder="1" applyAlignment="1">
      <alignment horizontal="center" vertical="center" wrapText="1"/>
    </xf>
    <xf numFmtId="4" fontId="12" fillId="34" borderId="23" xfId="0" applyNumberFormat="1" applyFont="1" applyFill="1" applyBorder="1" applyAlignment="1">
      <alignment horizontal="center" vertical="center" wrapText="1"/>
    </xf>
    <xf numFmtId="4" fontId="12" fillId="34" borderId="24" xfId="0" applyNumberFormat="1" applyFont="1" applyFill="1" applyBorder="1" applyAlignment="1">
      <alignment horizontal="center" vertical="center" wrapText="1"/>
    </xf>
    <xf numFmtId="0" fontId="0" fillId="35" borderId="25" xfId="0" applyFill="1" applyBorder="1" applyAlignment="1">
      <alignment/>
    </xf>
    <xf numFmtId="0" fontId="0" fillId="35" borderId="0" xfId="0" applyFill="1" applyBorder="1" applyAlignment="1">
      <alignment horizontal="center"/>
    </xf>
    <xf numFmtId="4" fontId="0" fillId="35" borderId="0" xfId="0" applyNumberFormat="1" applyFill="1" applyBorder="1" applyAlignment="1">
      <alignment/>
    </xf>
    <xf numFmtId="4" fontId="0" fillId="35" borderId="0" xfId="0" applyNumberFormat="1" applyFill="1" applyBorder="1" applyAlignment="1">
      <alignment horizontal="right"/>
    </xf>
    <xf numFmtId="4" fontId="0" fillId="35" borderId="26" xfId="0" applyNumberFormat="1" applyFill="1" applyBorder="1" applyAlignment="1">
      <alignment/>
    </xf>
    <xf numFmtId="0" fontId="11" fillId="42" borderId="27" xfId="0" applyFont="1" applyFill="1" applyBorder="1" applyAlignment="1">
      <alignment/>
    </xf>
    <xf numFmtId="0" fontId="11" fillId="42" borderId="28" xfId="0" applyFont="1" applyFill="1" applyBorder="1" applyAlignment="1">
      <alignment horizontal="center"/>
    </xf>
    <xf numFmtId="4" fontId="11" fillId="42" borderId="28" xfId="0" applyNumberFormat="1" applyFont="1" applyFill="1" applyBorder="1" applyAlignment="1">
      <alignment/>
    </xf>
    <xf numFmtId="4" fontId="11" fillId="42" borderId="28" xfId="0" applyNumberFormat="1" applyFont="1" applyFill="1" applyBorder="1" applyAlignment="1">
      <alignment horizontal="right"/>
    </xf>
    <xf numFmtId="4" fontId="11" fillId="42" borderId="29" xfId="0" applyNumberFormat="1" applyFont="1" applyFill="1" applyBorder="1" applyAlignment="1">
      <alignment/>
    </xf>
    <xf numFmtId="0" fontId="11" fillId="33" borderId="30" xfId="0" applyFont="1" applyFill="1" applyBorder="1" applyAlignment="1">
      <alignment/>
    </xf>
    <xf numFmtId="0" fontId="11" fillId="33" borderId="31" xfId="0" applyFont="1" applyFill="1" applyBorder="1" applyAlignment="1">
      <alignment horizontal="center"/>
    </xf>
    <xf numFmtId="4" fontId="11" fillId="33" borderId="31" xfId="0" applyNumberFormat="1" applyFont="1" applyFill="1" applyBorder="1" applyAlignment="1">
      <alignment/>
    </xf>
    <xf numFmtId="4" fontId="11" fillId="33" borderId="31" xfId="0" applyNumberFormat="1" applyFont="1" applyFill="1" applyBorder="1" applyAlignment="1">
      <alignment horizontal="center"/>
    </xf>
    <xf numFmtId="4" fontId="11" fillId="33" borderId="32" xfId="0" applyNumberFormat="1" applyFont="1" applyFill="1" applyBorder="1" applyAlignment="1">
      <alignment/>
    </xf>
    <xf numFmtId="4" fontId="33" fillId="33" borderId="0" xfId="0" applyNumberFormat="1" applyFont="1" applyFill="1" applyAlignment="1">
      <alignment/>
    </xf>
    <xf numFmtId="0" fontId="34" fillId="33" borderId="0" xfId="0" applyFont="1" applyFill="1" applyAlignment="1">
      <alignment horizontal="center"/>
    </xf>
    <xf numFmtId="4" fontId="34" fillId="33" borderId="0" xfId="0" applyNumberFormat="1" applyFont="1" applyFill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 horizontal="center"/>
    </xf>
    <xf numFmtId="4" fontId="0" fillId="35" borderId="23" xfId="0" applyNumberFormat="1" applyFill="1" applyBorder="1" applyAlignment="1">
      <alignment/>
    </xf>
    <xf numFmtId="4" fontId="0" fillId="35" borderId="23" xfId="0" applyNumberFormat="1" applyFill="1" applyBorder="1" applyAlignment="1">
      <alignment horizontal="right"/>
    </xf>
    <xf numFmtId="4" fontId="0" fillId="35" borderId="24" xfId="0" applyNumberFormat="1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 horizontal="center"/>
    </xf>
    <xf numFmtId="4" fontId="0" fillId="35" borderId="28" xfId="0" applyNumberFormat="1" applyFill="1" applyBorder="1" applyAlignment="1">
      <alignment/>
    </xf>
    <xf numFmtId="4" fontId="0" fillId="35" borderId="28" xfId="0" applyNumberFormat="1" applyFill="1" applyBorder="1" applyAlignment="1">
      <alignment horizontal="right"/>
    </xf>
    <xf numFmtId="4" fontId="0" fillId="35" borderId="29" xfId="0" applyNumberFormat="1" applyFill="1" applyBorder="1" applyAlignment="1">
      <alignment/>
    </xf>
    <xf numFmtId="3" fontId="12" fillId="34" borderId="30" xfId="0" applyNumberFormat="1" applyFont="1" applyFill="1" applyBorder="1" applyAlignment="1">
      <alignment horizontal="center" vertical="center" wrapText="1"/>
    </xf>
    <xf numFmtId="4" fontId="12" fillId="34" borderId="32" xfId="0" applyNumberFormat="1" applyFont="1" applyFill="1" applyBorder="1" applyAlignment="1">
      <alignment horizontal="center" vertical="center" wrapText="1"/>
    </xf>
    <xf numFmtId="3" fontId="23" fillId="35" borderId="25" xfId="0" applyNumberFormat="1" applyFont="1" applyFill="1" applyBorder="1" applyAlignment="1">
      <alignment horizontal="left" vertical="center" wrapText="1"/>
    </xf>
    <xf numFmtId="4" fontId="23" fillId="35" borderId="26" xfId="0" applyNumberFormat="1" applyFont="1" applyFill="1" applyBorder="1" applyAlignment="1">
      <alignment horizontal="right" vertical="center" wrapText="1"/>
    </xf>
    <xf numFmtId="0" fontId="23" fillId="35" borderId="25" xfId="0" applyFont="1" applyFill="1" applyBorder="1" applyAlignment="1">
      <alignment horizontal="left" vertical="center" wrapText="1"/>
    </xf>
    <xf numFmtId="3" fontId="23" fillId="35" borderId="27" xfId="0" applyNumberFormat="1" applyFont="1" applyFill="1" applyBorder="1" applyAlignment="1">
      <alignment horizontal="left" vertical="center" wrapText="1"/>
    </xf>
    <xf numFmtId="4" fontId="23" fillId="35" borderId="29" xfId="0" applyNumberFormat="1" applyFont="1" applyFill="1" applyBorder="1" applyAlignment="1">
      <alignment horizontal="right" vertical="center" wrapText="1"/>
    </xf>
    <xf numFmtId="4" fontId="35" fillId="33" borderId="0" xfId="0" applyNumberFormat="1" applyFont="1" applyFill="1" applyAlignment="1">
      <alignment/>
    </xf>
    <xf numFmtId="4" fontId="36" fillId="33" borderId="0" xfId="0" applyNumberFormat="1" applyFont="1" applyFill="1" applyBorder="1" applyAlignment="1">
      <alignment/>
    </xf>
    <xf numFmtId="4" fontId="37" fillId="33" borderId="0" xfId="0" applyNumberFormat="1" applyFont="1" applyFill="1" applyAlignment="1">
      <alignment/>
    </xf>
    <xf numFmtId="4" fontId="0" fillId="35" borderId="25" xfId="0" applyNumberFormat="1" applyFill="1" applyBorder="1" applyAlignment="1">
      <alignment/>
    </xf>
    <xf numFmtId="4" fontId="0" fillId="42" borderId="27" xfId="0" applyNumberFormat="1" applyFill="1" applyBorder="1" applyAlignment="1">
      <alignment/>
    </xf>
    <xf numFmtId="4" fontId="17" fillId="39" borderId="30" xfId="0" applyNumberFormat="1" applyFont="1" applyFill="1" applyBorder="1" applyAlignment="1">
      <alignment horizontal="center" vertical="center" wrapText="1"/>
    </xf>
    <xf numFmtId="4" fontId="12" fillId="34" borderId="31" xfId="0" applyNumberFormat="1" applyFont="1" applyFill="1" applyBorder="1" applyAlignment="1">
      <alignment horizontal="center" vertical="center" wrapText="1"/>
    </xf>
    <xf numFmtId="4" fontId="81" fillId="33" borderId="0" xfId="0" applyNumberFormat="1" applyFont="1" applyFill="1" applyAlignment="1">
      <alignment/>
    </xf>
    <xf numFmtId="4" fontId="0" fillId="35" borderId="22" xfId="0" applyNumberFormat="1" applyFill="1" applyBorder="1" applyAlignment="1">
      <alignment/>
    </xf>
    <xf numFmtId="4" fontId="0" fillId="35" borderId="27" xfId="0" applyNumberFormat="1" applyFill="1" applyBorder="1" applyAlignment="1">
      <alignment/>
    </xf>
    <xf numFmtId="0" fontId="24" fillId="3" borderId="0" xfId="0" applyFont="1" applyFill="1" applyAlignment="1">
      <alignment/>
    </xf>
    <xf numFmtId="4" fontId="0" fillId="3" borderId="0" xfId="0" applyNumberFormat="1" applyFill="1" applyAlignment="1">
      <alignment/>
    </xf>
    <xf numFmtId="0" fontId="11" fillId="3" borderId="0" xfId="0" applyFont="1" applyFill="1" applyAlignment="1">
      <alignment horizontal="center"/>
    </xf>
    <xf numFmtId="3" fontId="11" fillId="3" borderId="0" xfId="0" applyNumberFormat="1" applyFont="1" applyFill="1" applyAlignment="1">
      <alignment horizontal="center"/>
    </xf>
    <xf numFmtId="4" fontId="11" fillId="3" borderId="0" xfId="0" applyNumberFormat="1" applyFont="1" applyFill="1" applyAlignment="1">
      <alignment/>
    </xf>
    <xf numFmtId="4" fontId="24" fillId="3" borderId="0" xfId="0" applyNumberFormat="1" applyFont="1" applyFill="1" applyAlignment="1">
      <alignment/>
    </xf>
    <xf numFmtId="4" fontId="0" fillId="3" borderId="0" xfId="0" applyNumberFormat="1" applyFont="1" applyFill="1" applyAlignment="1">
      <alignment/>
    </xf>
    <xf numFmtId="0" fontId="11" fillId="3" borderId="0" xfId="0" applyFont="1" applyFill="1" applyAlignment="1">
      <alignment/>
    </xf>
    <xf numFmtId="0" fontId="0" fillId="3" borderId="0" xfId="0" applyFill="1" applyAlignment="1">
      <alignment/>
    </xf>
    <xf numFmtId="4" fontId="22" fillId="17" borderId="30" xfId="0" applyNumberFormat="1" applyFont="1" applyFill="1" applyBorder="1" applyAlignment="1">
      <alignment horizontal="center"/>
    </xf>
    <xf numFmtId="4" fontId="22" fillId="17" borderId="31" xfId="0" applyNumberFormat="1" applyFont="1" applyFill="1" applyBorder="1" applyAlignment="1">
      <alignment horizontal="center"/>
    </xf>
    <xf numFmtId="0" fontId="22" fillId="33" borderId="31" xfId="0" applyFont="1" applyFill="1" applyBorder="1" applyAlignment="1">
      <alignment horizontal="center"/>
    </xf>
    <xf numFmtId="3" fontId="22" fillId="33" borderId="31" xfId="0" applyNumberFormat="1" applyFont="1" applyFill="1" applyBorder="1" applyAlignment="1">
      <alignment horizontal="center"/>
    </xf>
    <xf numFmtId="4" fontId="22" fillId="17" borderId="32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0" fillId="47" borderId="0" xfId="0" applyNumberFormat="1" applyFill="1" applyAlignment="1">
      <alignment/>
    </xf>
    <xf numFmtId="4" fontId="11" fillId="47" borderId="0" xfId="0" applyNumberFormat="1" applyFont="1" applyFill="1" applyAlignment="1">
      <alignment/>
    </xf>
    <xf numFmtId="4" fontId="15" fillId="40" borderId="25" xfId="0" applyNumberFormat="1" applyFont="1" applyFill="1" applyBorder="1" applyAlignment="1">
      <alignment/>
    </xf>
    <xf numFmtId="4" fontId="0" fillId="40" borderId="0" xfId="0" applyNumberFormat="1" applyFill="1" applyBorder="1" applyAlignment="1">
      <alignment/>
    </xf>
    <xf numFmtId="4" fontId="0" fillId="40" borderId="26" xfId="0" applyNumberFormat="1" applyFill="1" applyBorder="1" applyAlignment="1">
      <alignment/>
    </xf>
    <xf numFmtId="4" fontId="0" fillId="40" borderId="25" xfId="0" applyNumberFormat="1" applyFill="1" applyBorder="1" applyAlignment="1">
      <alignment/>
    </xf>
    <xf numFmtId="4" fontId="12" fillId="39" borderId="30" xfId="0" applyNumberFormat="1" applyFont="1" applyFill="1" applyBorder="1" applyAlignment="1">
      <alignment horizontal="center"/>
    </xf>
    <xf numFmtId="4" fontId="12" fillId="39" borderId="31" xfId="0" applyNumberFormat="1" applyFont="1" applyFill="1" applyBorder="1" applyAlignment="1">
      <alignment horizontal="center"/>
    </xf>
    <xf numFmtId="4" fontId="12" fillId="38" borderId="31" xfId="0" applyNumberFormat="1" applyFont="1" applyFill="1" applyBorder="1" applyAlignment="1">
      <alignment horizontal="center"/>
    </xf>
    <xf numFmtId="4" fontId="12" fillId="39" borderId="32" xfId="0" applyNumberFormat="1" applyFont="1" applyFill="1" applyBorder="1" applyAlignment="1">
      <alignment horizontal="center"/>
    </xf>
    <xf numFmtId="4" fontId="0" fillId="42" borderId="30" xfId="0" applyNumberFormat="1" applyFill="1" applyBorder="1" applyAlignment="1">
      <alignment/>
    </xf>
    <xf numFmtId="4" fontId="11" fillId="42" borderId="31" xfId="0" applyNumberFormat="1" applyFont="1" applyFill="1" applyBorder="1" applyAlignment="1">
      <alignment/>
    </xf>
    <xf numFmtId="4" fontId="11" fillId="42" borderId="32" xfId="0" applyNumberFormat="1" applyFont="1" applyFill="1" applyBorder="1" applyAlignment="1">
      <alignment/>
    </xf>
    <xf numFmtId="0" fontId="0" fillId="4" borderId="0" xfId="0" applyFill="1" applyAlignment="1">
      <alignment/>
    </xf>
    <xf numFmtId="4" fontId="0" fillId="4" borderId="0" xfId="0" applyNumberFormat="1" applyFill="1" applyAlignment="1">
      <alignment/>
    </xf>
    <xf numFmtId="0" fontId="11" fillId="4" borderId="0" xfId="0" applyFont="1" applyFill="1" applyAlignment="1">
      <alignment/>
    </xf>
    <xf numFmtId="4" fontId="15" fillId="4" borderId="0" xfId="0" applyNumberFormat="1" applyFont="1" applyFill="1" applyAlignment="1">
      <alignment/>
    </xf>
    <xf numFmtId="4" fontId="11" fillId="4" borderId="0" xfId="0" applyNumberFormat="1" applyFont="1" applyFill="1" applyAlignment="1">
      <alignment/>
    </xf>
    <xf numFmtId="4" fontId="0" fillId="4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4" fontId="82" fillId="33" borderId="0" xfId="0" applyNumberFormat="1" applyFont="1" applyFill="1" applyAlignment="1">
      <alignment/>
    </xf>
    <xf numFmtId="4" fontId="39" fillId="33" borderId="0" xfId="0" applyNumberFormat="1" applyFont="1" applyFill="1" applyAlignment="1">
      <alignment/>
    </xf>
    <xf numFmtId="4" fontId="83" fillId="33" borderId="0" xfId="0" applyNumberFormat="1" applyFont="1" applyFill="1" applyAlignment="1">
      <alignment/>
    </xf>
    <xf numFmtId="4" fontId="83" fillId="33" borderId="0" xfId="0" applyNumberFormat="1" applyFont="1" applyFill="1" applyAlignment="1">
      <alignment horizontal="center"/>
    </xf>
    <xf numFmtId="4" fontId="84" fillId="33" borderId="0" xfId="0" applyNumberFormat="1" applyFont="1" applyFill="1" applyAlignment="1">
      <alignment/>
    </xf>
    <xf numFmtId="4" fontId="40" fillId="33" borderId="0" xfId="0" applyNumberFormat="1" applyFont="1" applyFill="1" applyAlignment="1">
      <alignment horizontal="center"/>
    </xf>
    <xf numFmtId="4" fontId="41" fillId="38" borderId="0" xfId="0" applyNumberFormat="1" applyFont="1" applyFill="1" applyAlignment="1">
      <alignment horizontal="center"/>
    </xf>
    <xf numFmtId="4" fontId="41" fillId="39" borderId="0" xfId="0" applyNumberFormat="1" applyFont="1" applyFill="1" applyAlignment="1">
      <alignment horizontal="center"/>
    </xf>
    <xf numFmtId="4" fontId="83" fillId="40" borderId="0" xfId="0" applyNumberFormat="1" applyFont="1" applyFill="1" applyAlignment="1">
      <alignment/>
    </xf>
    <xf numFmtId="4" fontId="40" fillId="40" borderId="0" xfId="0" applyNumberFormat="1" applyFont="1" applyFill="1" applyAlignment="1">
      <alignment/>
    </xf>
    <xf numFmtId="4" fontId="40" fillId="42" borderId="0" xfId="0" applyNumberFormat="1" applyFont="1" applyFill="1" applyAlignment="1">
      <alignment/>
    </xf>
    <xf numFmtId="4" fontId="83" fillId="42" borderId="0" xfId="0" applyNumberFormat="1" applyFont="1" applyFill="1" applyAlignment="1">
      <alignment/>
    </xf>
    <xf numFmtId="4" fontId="42" fillId="40" borderId="0" xfId="0" applyNumberFormat="1" applyFont="1" applyFill="1" applyAlignment="1">
      <alignment/>
    </xf>
    <xf numFmtId="4" fontId="85" fillId="40" borderId="0" xfId="0" applyNumberFormat="1" applyFont="1" applyFill="1" applyAlignment="1">
      <alignment/>
    </xf>
    <xf numFmtId="4" fontId="82" fillId="33" borderId="0" xfId="0" applyNumberFormat="1" applyFont="1" applyFill="1" applyBorder="1" applyAlignment="1">
      <alignment/>
    </xf>
    <xf numFmtId="4" fontId="38" fillId="33" borderId="0" xfId="0" applyNumberFormat="1" applyFont="1" applyFill="1" applyBorder="1" applyAlignment="1">
      <alignment/>
    </xf>
    <xf numFmtId="4" fontId="83" fillId="33" borderId="0" xfId="0" applyNumberFormat="1" applyFont="1" applyFill="1" applyBorder="1" applyAlignment="1">
      <alignment horizontal="center"/>
    </xf>
    <xf numFmtId="4" fontId="40" fillId="33" borderId="0" xfId="0" applyNumberFormat="1" applyFont="1" applyFill="1" applyBorder="1" applyAlignment="1">
      <alignment horizontal="center"/>
    </xf>
    <xf numFmtId="4" fontId="40" fillId="0" borderId="0" xfId="0" applyNumberFormat="1" applyFont="1" applyFill="1" applyBorder="1" applyAlignment="1">
      <alignment horizontal="center"/>
    </xf>
    <xf numFmtId="4" fontId="40" fillId="47" borderId="0" xfId="0" applyNumberFormat="1" applyFont="1" applyFill="1" applyAlignment="1">
      <alignment/>
    </xf>
    <xf numFmtId="4" fontId="83" fillId="47" borderId="0" xfId="0" applyNumberFormat="1" applyFont="1" applyFill="1" applyAlignment="1">
      <alignment/>
    </xf>
    <xf numFmtId="4" fontId="40" fillId="47" borderId="0" xfId="0" applyNumberFormat="1" applyFont="1" applyFill="1" applyBorder="1" applyAlignment="1">
      <alignment horizontal="center"/>
    </xf>
    <xf numFmtId="4" fontId="26" fillId="48" borderId="0" xfId="0" applyNumberFormat="1" applyFont="1" applyFill="1" applyAlignment="1">
      <alignment horizontal="center" vertical="center"/>
    </xf>
    <xf numFmtId="0" fontId="2" fillId="39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6" fillId="38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338"/>
  <sheetViews>
    <sheetView zoomScalePageLayoutView="0" workbookViewId="0" topLeftCell="D25">
      <selection activeCell="K46" sqref="K46"/>
    </sheetView>
  </sheetViews>
  <sheetFormatPr defaultColWidth="11.421875" defaultRowHeight="15"/>
  <cols>
    <col min="1" max="1" width="1.28515625" style="20" customWidth="1"/>
    <col min="2" max="2" width="34.57421875" style="20" bestFit="1" customWidth="1"/>
    <col min="3" max="3" width="15.28125" style="16" customWidth="1"/>
    <col min="4" max="4" width="13.421875" style="17" customWidth="1"/>
    <col min="5" max="5" width="15.8515625" style="18" customWidth="1"/>
    <col min="6" max="6" width="13.140625" style="17" customWidth="1"/>
    <col min="7" max="7" width="13.00390625" style="19" customWidth="1"/>
    <col min="8" max="8" width="11.421875" style="19" customWidth="1"/>
    <col min="9" max="9" width="11.57421875" style="18" customWidth="1"/>
    <col min="10" max="10" width="13.28125" style="19" customWidth="1"/>
    <col min="11" max="11" width="12.421875" style="18" customWidth="1"/>
    <col min="12" max="12" width="11.00390625" style="19" customWidth="1"/>
    <col min="13" max="13" width="11.8515625" style="19" customWidth="1"/>
    <col min="14" max="14" width="34.57421875" style="20" bestFit="1" customWidth="1"/>
    <col min="15" max="15" width="11.140625" style="20" customWidth="1"/>
    <col min="16" max="16" width="11.8515625" style="20" customWidth="1"/>
    <col min="17" max="17" width="13.421875" style="20" customWidth="1"/>
    <col min="18" max="18" width="17.140625" style="20" customWidth="1"/>
    <col min="19" max="19" width="14.57421875" style="20" customWidth="1"/>
    <col min="20" max="16384" width="11.421875" style="20" customWidth="1"/>
  </cols>
  <sheetData>
    <row r="1" ht="15.75" customHeight="1"/>
    <row r="2" spans="2:30" ht="23.25">
      <c r="B2" s="15" t="s">
        <v>43</v>
      </c>
      <c r="E2" s="285" t="s">
        <v>64</v>
      </c>
      <c r="F2" s="285"/>
      <c r="G2" s="285"/>
      <c r="H2" s="285"/>
      <c r="I2" s="285"/>
      <c r="J2" s="285"/>
      <c r="K2" s="285"/>
      <c r="L2" s="285"/>
      <c r="M2" s="285"/>
      <c r="Z2" s="20">
        <v>1</v>
      </c>
      <c r="AA2" s="20">
        <v>2</v>
      </c>
      <c r="AB2" s="20">
        <v>3</v>
      </c>
      <c r="AC2" s="20">
        <v>4</v>
      </c>
      <c r="AD2" s="20">
        <v>5</v>
      </c>
    </row>
    <row r="3" spans="2:31" s="9" customFormat="1" ht="38.25" customHeight="1">
      <c r="B3" s="11" t="s">
        <v>32</v>
      </c>
      <c r="C3" s="12" t="s">
        <v>38</v>
      </c>
      <c r="D3" s="11" t="s">
        <v>242</v>
      </c>
      <c r="E3" s="12" t="s">
        <v>44</v>
      </c>
      <c r="F3" s="11" t="s">
        <v>57</v>
      </c>
      <c r="G3" s="11" t="s">
        <v>58</v>
      </c>
      <c r="H3" s="11" t="s">
        <v>59</v>
      </c>
      <c r="I3" s="12" t="s">
        <v>60</v>
      </c>
      <c r="J3" s="11" t="s">
        <v>42</v>
      </c>
      <c r="K3" s="12" t="s">
        <v>61</v>
      </c>
      <c r="L3" s="11" t="s">
        <v>62</v>
      </c>
      <c r="M3" s="11" t="s">
        <v>63</v>
      </c>
      <c r="N3" s="144"/>
      <c r="O3" s="144"/>
      <c r="P3" s="144"/>
      <c r="Q3" s="144"/>
      <c r="R3" s="143"/>
      <c r="S3" s="143"/>
      <c r="T3" s="144"/>
      <c r="Z3" s="136"/>
      <c r="AA3" s="20"/>
      <c r="AB3" s="20"/>
      <c r="AC3" s="20"/>
      <c r="AD3" s="20"/>
      <c r="AE3" s="20"/>
    </row>
    <row r="4" spans="2:30" ht="15">
      <c r="B4" s="21" t="s">
        <v>33</v>
      </c>
      <c r="C4" s="24">
        <v>750</v>
      </c>
      <c r="D4" s="23">
        <f aca="true" t="shared" si="0" ref="D4:D9">C4/$C$11</f>
        <v>0.026169789594891656</v>
      </c>
      <c r="E4" s="24">
        <v>2</v>
      </c>
      <c r="F4" s="23">
        <v>60.3</v>
      </c>
      <c r="G4" s="25">
        <f aca="true" t="shared" si="1" ref="G4:G9">E4*F4/100</f>
        <v>1.206</v>
      </c>
      <c r="H4" s="23">
        <f aca="true" t="shared" si="2" ref="H4:H9">100-F4</f>
        <v>39.7</v>
      </c>
      <c r="I4" s="24">
        <f aca="true" t="shared" si="3" ref="I4:I9">E4*H4/100</f>
        <v>0.794</v>
      </c>
      <c r="J4" s="23">
        <v>0</v>
      </c>
      <c r="K4" s="24">
        <f aca="true" t="shared" si="4" ref="K4:K9">I4*J4/100</f>
        <v>0</v>
      </c>
      <c r="L4" s="23">
        <v>0</v>
      </c>
      <c r="M4" s="25">
        <f>K4*(L4/100)</f>
        <v>0</v>
      </c>
      <c r="O4" s="17"/>
      <c r="P4" s="19"/>
      <c r="Q4" s="19"/>
      <c r="R4" s="145"/>
      <c r="S4" s="145"/>
      <c r="T4" s="17"/>
      <c r="Z4" s="20">
        <f>M11+M23+M35+M47+M59+M71</f>
        <v>203</v>
      </c>
      <c r="AA4" s="20">
        <f>($Z$4*1.04)</f>
        <v>211.12</v>
      </c>
      <c r="AB4" s="20">
        <f>($Z$4*1.04)</f>
        <v>211.12</v>
      </c>
      <c r="AC4" s="20">
        <f>($Z$4*1.04)</f>
        <v>211.12</v>
      </c>
      <c r="AD4" s="20">
        <f>($Z$4*1.04)</f>
        <v>211.12</v>
      </c>
    </row>
    <row r="5" spans="2:26" ht="15">
      <c r="B5" s="21" t="s">
        <v>34</v>
      </c>
      <c r="C5" s="24">
        <v>1850</v>
      </c>
      <c r="D5" s="23">
        <f t="shared" si="0"/>
        <v>0.06455214766739942</v>
      </c>
      <c r="E5" s="24">
        <v>20</v>
      </c>
      <c r="F5" s="23">
        <v>65</v>
      </c>
      <c r="G5" s="25">
        <f t="shared" si="1"/>
        <v>13</v>
      </c>
      <c r="H5" s="23">
        <f>100-F5</f>
        <v>35</v>
      </c>
      <c r="I5" s="24">
        <f t="shared" si="3"/>
        <v>7</v>
      </c>
      <c r="J5" s="23">
        <v>0</v>
      </c>
      <c r="K5" s="24">
        <f t="shared" si="4"/>
        <v>0</v>
      </c>
      <c r="L5" s="23">
        <v>0</v>
      </c>
      <c r="M5" s="25">
        <f>K5*(L5/100)</f>
        <v>0</v>
      </c>
      <c r="S5" s="145"/>
      <c r="T5" s="17"/>
      <c r="Z5" s="147">
        <f>SUM(Z4:AD4)</f>
        <v>1047.48</v>
      </c>
    </row>
    <row r="6" spans="2:20" ht="15">
      <c r="B6" s="21" t="s">
        <v>35</v>
      </c>
      <c r="C6" s="24">
        <v>5755</v>
      </c>
      <c r="D6" s="23">
        <f>C6/$C$11</f>
        <v>0.20080951882480197</v>
      </c>
      <c r="E6" s="24">
        <v>150.66</v>
      </c>
      <c r="F6" s="23">
        <v>27</v>
      </c>
      <c r="G6" s="25">
        <f t="shared" si="1"/>
        <v>40.6782</v>
      </c>
      <c r="H6" s="23">
        <f t="shared" si="2"/>
        <v>73</v>
      </c>
      <c r="I6" s="24">
        <f t="shared" si="3"/>
        <v>109.9818</v>
      </c>
      <c r="J6" s="23">
        <v>60</v>
      </c>
      <c r="K6" s="24">
        <f t="shared" si="4"/>
        <v>65.98908</v>
      </c>
      <c r="L6" s="23">
        <v>2</v>
      </c>
      <c r="M6" s="25">
        <f>ROUND(K6*L6/100,0)</f>
        <v>1</v>
      </c>
      <c r="S6" s="145"/>
      <c r="T6" s="17"/>
    </row>
    <row r="7" spans="2:20" ht="15">
      <c r="B7" s="21" t="s">
        <v>41</v>
      </c>
      <c r="C7" s="25">
        <v>11142</v>
      </c>
      <c r="D7" s="23">
        <f>C7/$C$11</f>
        <v>0.38877839422171045</v>
      </c>
      <c r="E7" s="24">
        <v>331.77</v>
      </c>
      <c r="F7" s="23">
        <v>28</v>
      </c>
      <c r="G7" s="25">
        <f t="shared" si="1"/>
        <v>92.8956</v>
      </c>
      <c r="H7" s="23">
        <f t="shared" si="2"/>
        <v>72</v>
      </c>
      <c r="I7" s="24">
        <f t="shared" si="3"/>
        <v>238.87439999999998</v>
      </c>
      <c r="J7" s="23">
        <v>60</v>
      </c>
      <c r="K7" s="24">
        <f t="shared" si="4"/>
        <v>143.32464</v>
      </c>
      <c r="L7" s="23">
        <v>1</v>
      </c>
      <c r="M7" s="25">
        <f>ROUND(K7*L7/100,0)</f>
        <v>1</v>
      </c>
      <c r="S7" s="145"/>
      <c r="T7" s="17"/>
    </row>
    <row r="8" spans="2:13" ht="15">
      <c r="B8" s="21" t="s">
        <v>36</v>
      </c>
      <c r="C8" s="22">
        <v>5570</v>
      </c>
      <c r="D8" s="23">
        <f t="shared" si="0"/>
        <v>0.19435430405806203</v>
      </c>
      <c r="E8" s="24">
        <v>751</v>
      </c>
      <c r="F8" s="23">
        <v>27</v>
      </c>
      <c r="G8" s="25">
        <f t="shared" si="1"/>
        <v>202.77</v>
      </c>
      <c r="H8" s="23">
        <f t="shared" si="2"/>
        <v>73</v>
      </c>
      <c r="I8" s="24">
        <f t="shared" si="3"/>
        <v>548.23</v>
      </c>
      <c r="J8" s="23">
        <v>60</v>
      </c>
      <c r="K8" s="24">
        <f t="shared" si="4"/>
        <v>328.93800000000005</v>
      </c>
      <c r="L8" s="23">
        <v>1</v>
      </c>
      <c r="M8" s="25">
        <f>ROUND(K8*L8/100,0)</f>
        <v>3</v>
      </c>
    </row>
    <row r="9" spans="2:13" ht="15">
      <c r="B9" s="21" t="s">
        <v>37</v>
      </c>
      <c r="C9" s="22">
        <v>3592</v>
      </c>
      <c r="D9" s="23">
        <f t="shared" si="0"/>
        <v>0.12533584563313444</v>
      </c>
      <c r="E9" s="24">
        <v>935</v>
      </c>
      <c r="F9" s="23">
        <v>29.5</v>
      </c>
      <c r="G9" s="25">
        <f t="shared" si="1"/>
        <v>275.825</v>
      </c>
      <c r="H9" s="23">
        <f t="shared" si="2"/>
        <v>70.5</v>
      </c>
      <c r="I9" s="24">
        <f t="shared" si="3"/>
        <v>659.175</v>
      </c>
      <c r="J9" s="23">
        <v>60</v>
      </c>
      <c r="K9" s="24">
        <f t="shared" si="4"/>
        <v>395.505</v>
      </c>
      <c r="L9" s="23">
        <v>1</v>
      </c>
      <c r="M9" s="25">
        <f>ROUND(K9*L9/100,0)</f>
        <v>4</v>
      </c>
    </row>
    <row r="10" spans="2:13" ht="15">
      <c r="B10" s="21"/>
      <c r="C10" s="22"/>
      <c r="D10" s="23"/>
      <c r="E10" s="24"/>
      <c r="F10" s="23"/>
      <c r="G10" s="25"/>
      <c r="H10" s="23"/>
      <c r="I10" s="24"/>
      <c r="J10" s="23"/>
      <c r="K10" s="24"/>
      <c r="L10" s="23"/>
      <c r="M10" s="25"/>
    </row>
    <row r="11" spans="2:13" ht="15">
      <c r="B11" s="26" t="s">
        <v>40</v>
      </c>
      <c r="C11" s="27">
        <f>SUM(C4:C9)</f>
        <v>28659</v>
      </c>
      <c r="D11" s="28">
        <f>SUM(D4:D9)</f>
        <v>1</v>
      </c>
      <c r="E11" s="27">
        <f>SUM(E4:E9)</f>
        <v>2190.43</v>
      </c>
      <c r="F11" s="29"/>
      <c r="G11" s="29">
        <f>SUM(G4:G9)</f>
        <v>626.3748</v>
      </c>
      <c r="H11" s="29"/>
      <c r="I11" s="29">
        <f>SUM(I4:I9)</f>
        <v>1564.0552</v>
      </c>
      <c r="J11" s="29"/>
      <c r="K11" s="29">
        <f>SUM(K4:K9)</f>
        <v>933.75672</v>
      </c>
      <c r="L11" s="28"/>
      <c r="M11" s="29">
        <f>SUM(M4:M9)</f>
        <v>9</v>
      </c>
    </row>
    <row r="12" spans="15:18" ht="15">
      <c r="O12" s="148"/>
      <c r="P12" s="148"/>
      <c r="Q12" s="148"/>
      <c r="R12" s="148"/>
    </row>
    <row r="14" spans="2:13" ht="23.25">
      <c r="B14" s="15" t="s">
        <v>43</v>
      </c>
      <c r="E14" s="285" t="s">
        <v>65</v>
      </c>
      <c r="F14" s="285"/>
      <c r="G14" s="285"/>
      <c r="H14" s="285"/>
      <c r="I14" s="285"/>
      <c r="J14" s="285"/>
      <c r="K14" s="285"/>
      <c r="L14" s="285"/>
      <c r="M14" s="285"/>
    </row>
    <row r="15" spans="2:21" s="9" customFormat="1" ht="38.25" customHeight="1">
      <c r="B15" s="11" t="s">
        <v>32</v>
      </c>
      <c r="C15" s="12" t="s">
        <v>38</v>
      </c>
      <c r="D15" s="11" t="s">
        <v>39</v>
      </c>
      <c r="E15" s="12" t="s">
        <v>45</v>
      </c>
      <c r="F15" s="11" t="s">
        <v>57</v>
      </c>
      <c r="G15" s="11" t="s">
        <v>58</v>
      </c>
      <c r="H15" s="11" t="s">
        <v>59</v>
      </c>
      <c r="I15" s="12" t="s">
        <v>60</v>
      </c>
      <c r="J15" s="11" t="s">
        <v>42</v>
      </c>
      <c r="K15" s="12" t="s">
        <v>61</v>
      </c>
      <c r="L15" s="11" t="s">
        <v>62</v>
      </c>
      <c r="M15" s="11" t="s">
        <v>63</v>
      </c>
      <c r="N15" s="144"/>
      <c r="O15" s="146"/>
      <c r="Q15" s="146"/>
      <c r="R15" s="144"/>
      <c r="S15" s="144"/>
      <c r="T15" s="137"/>
      <c r="U15" s="137"/>
    </row>
    <row r="16" spans="2:21" ht="15">
      <c r="B16" s="21" t="s">
        <v>33</v>
      </c>
      <c r="C16" s="22">
        <f aca="true" t="shared" si="5" ref="C16:C21">C4</f>
        <v>750</v>
      </c>
      <c r="D16" s="23">
        <f aca="true" t="shared" si="6" ref="D16:D21">C16/$C$11</f>
        <v>0.026169789594891656</v>
      </c>
      <c r="E16" s="24">
        <v>1</v>
      </c>
      <c r="F16" s="23">
        <v>0</v>
      </c>
      <c r="G16" s="25">
        <f aca="true" t="shared" si="7" ref="G16:G21">E16*F16/100</f>
        <v>0</v>
      </c>
      <c r="H16" s="23">
        <f aca="true" t="shared" si="8" ref="H16:H21">100-F16</f>
        <v>100</v>
      </c>
      <c r="I16" s="24">
        <f aca="true" t="shared" si="9" ref="I16:I21">E16*H16/100</f>
        <v>1</v>
      </c>
      <c r="J16" s="23">
        <v>0</v>
      </c>
      <c r="K16" s="24">
        <f aca="true" t="shared" si="10" ref="K16:K21">I16*J16/100</f>
        <v>0</v>
      </c>
      <c r="L16" s="23">
        <v>0</v>
      </c>
      <c r="M16" s="25">
        <f aca="true" t="shared" si="11" ref="M16:M21">ROUND(K16*L16/100,0)</f>
        <v>0</v>
      </c>
      <c r="O16" s="16"/>
      <c r="Q16" s="18"/>
      <c r="R16" s="17"/>
      <c r="S16" s="17"/>
      <c r="T16" s="138"/>
      <c r="U16" s="138"/>
    </row>
    <row r="17" spans="2:21" ht="15">
      <c r="B17" s="21" t="s">
        <v>34</v>
      </c>
      <c r="C17" s="22">
        <f t="shared" si="5"/>
        <v>1850</v>
      </c>
      <c r="D17" s="23">
        <f t="shared" si="6"/>
        <v>0.06455214766739942</v>
      </c>
      <c r="E17" s="24">
        <v>3</v>
      </c>
      <c r="F17" s="23">
        <v>0</v>
      </c>
      <c r="G17" s="25">
        <f t="shared" si="7"/>
        <v>0</v>
      </c>
      <c r="H17" s="23">
        <f t="shared" si="8"/>
        <v>100</v>
      </c>
      <c r="I17" s="24">
        <f t="shared" si="9"/>
        <v>3</v>
      </c>
      <c r="J17" s="23">
        <v>0</v>
      </c>
      <c r="K17" s="24">
        <f t="shared" si="10"/>
        <v>0</v>
      </c>
      <c r="L17" s="23">
        <v>0</v>
      </c>
      <c r="M17" s="25">
        <f t="shared" si="11"/>
        <v>0</v>
      </c>
      <c r="O17" s="16"/>
      <c r="P17" s="18"/>
      <c r="Q17" s="18"/>
      <c r="R17" s="17"/>
      <c r="S17" s="17"/>
      <c r="T17" s="139"/>
      <c r="U17" s="138"/>
    </row>
    <row r="18" spans="2:21" ht="15">
      <c r="B18" s="21" t="s">
        <v>35</v>
      </c>
      <c r="C18" s="22">
        <f t="shared" si="5"/>
        <v>5755</v>
      </c>
      <c r="D18" s="23">
        <f t="shared" si="6"/>
        <v>0.20080951882480197</v>
      </c>
      <c r="E18" s="24">
        <v>20</v>
      </c>
      <c r="F18" s="23">
        <v>15</v>
      </c>
      <c r="G18" s="25">
        <f t="shared" si="7"/>
        <v>3</v>
      </c>
      <c r="H18" s="23">
        <f t="shared" si="8"/>
        <v>85</v>
      </c>
      <c r="I18" s="24">
        <f t="shared" si="9"/>
        <v>17</v>
      </c>
      <c r="J18" s="23">
        <v>60</v>
      </c>
      <c r="K18" s="24">
        <f t="shared" si="10"/>
        <v>10.2</v>
      </c>
      <c r="L18" s="23">
        <v>2</v>
      </c>
      <c r="M18" s="25">
        <f t="shared" si="11"/>
        <v>0</v>
      </c>
      <c r="O18" s="16"/>
      <c r="P18" s="18"/>
      <c r="Q18" s="18"/>
      <c r="R18" s="17"/>
      <c r="S18" s="17"/>
      <c r="T18" s="141"/>
      <c r="U18" s="138"/>
    </row>
    <row r="19" spans="2:21" ht="15">
      <c r="B19" s="21" t="s">
        <v>41</v>
      </c>
      <c r="C19" s="22">
        <f t="shared" si="5"/>
        <v>11142</v>
      </c>
      <c r="D19" s="23">
        <f t="shared" si="6"/>
        <v>0.38877839422171045</v>
      </c>
      <c r="E19" s="24">
        <v>80</v>
      </c>
      <c r="F19" s="23">
        <v>28</v>
      </c>
      <c r="G19" s="25">
        <f t="shared" si="7"/>
        <v>22.4</v>
      </c>
      <c r="H19" s="23">
        <f t="shared" si="8"/>
        <v>72</v>
      </c>
      <c r="I19" s="24">
        <f t="shared" si="9"/>
        <v>57.6</v>
      </c>
      <c r="J19" s="23">
        <v>60</v>
      </c>
      <c r="K19" s="24">
        <f t="shared" si="10"/>
        <v>34.56</v>
      </c>
      <c r="L19" s="23">
        <v>2</v>
      </c>
      <c r="M19" s="25">
        <f t="shared" si="11"/>
        <v>1</v>
      </c>
      <c r="O19" s="16"/>
      <c r="P19" s="18"/>
      <c r="Q19" s="18"/>
      <c r="R19" s="17"/>
      <c r="S19" s="17"/>
      <c r="T19" s="141"/>
      <c r="U19" s="138"/>
    </row>
    <row r="20" spans="2:21" ht="15">
      <c r="B20" s="21" t="s">
        <v>36</v>
      </c>
      <c r="C20" s="22">
        <f t="shared" si="5"/>
        <v>5570</v>
      </c>
      <c r="D20" s="23">
        <f t="shared" si="6"/>
        <v>0.19435430405806203</v>
      </c>
      <c r="E20" s="24">
        <v>10.8</v>
      </c>
      <c r="F20" s="23">
        <v>27</v>
      </c>
      <c r="G20" s="25">
        <f t="shared" si="7"/>
        <v>2.9160000000000004</v>
      </c>
      <c r="H20" s="23">
        <f t="shared" si="8"/>
        <v>73</v>
      </c>
      <c r="I20" s="24">
        <f t="shared" si="9"/>
        <v>7.884000000000001</v>
      </c>
      <c r="J20" s="23">
        <v>60</v>
      </c>
      <c r="K20" s="24">
        <f t="shared" si="10"/>
        <v>4.7304</v>
      </c>
      <c r="L20" s="23">
        <v>1</v>
      </c>
      <c r="M20" s="25">
        <f t="shared" si="11"/>
        <v>0</v>
      </c>
      <c r="P20" s="16"/>
      <c r="Q20" s="17"/>
      <c r="R20" s="140"/>
      <c r="S20" s="141"/>
      <c r="T20" s="141"/>
      <c r="U20" s="138"/>
    </row>
    <row r="21" spans="2:21" ht="15">
      <c r="B21" s="21" t="s">
        <v>37</v>
      </c>
      <c r="C21" s="22">
        <f t="shared" si="5"/>
        <v>3592</v>
      </c>
      <c r="D21" s="23">
        <f t="shared" si="6"/>
        <v>0.12533584563313444</v>
      </c>
      <c r="E21" s="24">
        <v>35.5</v>
      </c>
      <c r="F21" s="23">
        <v>29.5</v>
      </c>
      <c r="G21" s="25">
        <f t="shared" si="7"/>
        <v>10.4725</v>
      </c>
      <c r="H21" s="23">
        <f t="shared" si="8"/>
        <v>70.5</v>
      </c>
      <c r="I21" s="24">
        <f t="shared" si="9"/>
        <v>25.0275</v>
      </c>
      <c r="J21" s="23">
        <v>60</v>
      </c>
      <c r="K21" s="24">
        <f t="shared" si="10"/>
        <v>15.0165</v>
      </c>
      <c r="L21" s="23">
        <v>0</v>
      </c>
      <c r="M21" s="25">
        <f t="shared" si="11"/>
        <v>0</v>
      </c>
      <c r="P21" s="16"/>
      <c r="Q21" s="17"/>
      <c r="R21" s="142"/>
      <c r="S21" s="141"/>
      <c r="T21" s="141"/>
      <c r="U21" s="138"/>
    </row>
    <row r="22" spans="2:21" ht="15">
      <c r="B22" s="21"/>
      <c r="C22" s="22"/>
      <c r="D22" s="23"/>
      <c r="E22" s="24"/>
      <c r="F22" s="23"/>
      <c r="G22" s="25"/>
      <c r="H22" s="23"/>
      <c r="I22" s="24"/>
      <c r="J22" s="23"/>
      <c r="K22" s="24"/>
      <c r="L22" s="23"/>
      <c r="M22" s="25"/>
      <c r="P22" s="16"/>
      <c r="Q22" s="17"/>
      <c r="R22" s="138"/>
      <c r="S22" s="138"/>
      <c r="T22" s="138"/>
      <c r="U22" s="138"/>
    </row>
    <row r="23" spans="2:21" ht="15">
      <c r="B23" s="26" t="s">
        <v>40</v>
      </c>
      <c r="C23" s="27">
        <f>SUM(C16:C21)</f>
        <v>28659</v>
      </c>
      <c r="D23" s="28">
        <f>SUM(D16:D21)</f>
        <v>1</v>
      </c>
      <c r="E23" s="27">
        <f>SUM(E16:E21)</f>
        <v>150.3</v>
      </c>
      <c r="F23" s="29"/>
      <c r="G23" s="29">
        <f>SUM(G16:G21)</f>
        <v>38.7885</v>
      </c>
      <c r="H23" s="29"/>
      <c r="I23" s="29">
        <f>SUM(I16:I21)</f>
        <v>111.5115</v>
      </c>
      <c r="J23" s="29"/>
      <c r="K23" s="29">
        <f>SUM(K16:K21)</f>
        <v>64.5069</v>
      </c>
      <c r="L23" s="28"/>
      <c r="M23" s="29">
        <f>SUM(M16:M21)</f>
        <v>1</v>
      </c>
      <c r="P23" s="16"/>
      <c r="Q23" s="17"/>
      <c r="R23" s="138"/>
      <c r="S23" s="138"/>
      <c r="T23" s="138"/>
      <c r="U23" s="138"/>
    </row>
    <row r="24" spans="17:21" ht="15">
      <c r="Q24" s="138"/>
      <c r="R24" s="138"/>
      <c r="S24" s="138"/>
      <c r="T24" s="138"/>
      <c r="U24" s="138"/>
    </row>
    <row r="25" spans="20:21" ht="15">
      <c r="T25" s="138"/>
      <c r="U25" s="138"/>
    </row>
    <row r="26" spans="2:13" ht="23.25">
      <c r="B26" s="15" t="s">
        <v>43</v>
      </c>
      <c r="E26" s="285" t="s">
        <v>7</v>
      </c>
      <c r="F26" s="285"/>
      <c r="G26" s="285"/>
      <c r="H26" s="285"/>
      <c r="I26" s="285"/>
      <c r="J26" s="285"/>
      <c r="K26" s="285"/>
      <c r="L26" s="285"/>
      <c r="M26" s="285"/>
    </row>
    <row r="27" spans="2:13" s="9" customFormat="1" ht="38.25" customHeight="1">
      <c r="B27" s="11" t="s">
        <v>32</v>
      </c>
      <c r="C27" s="12" t="s">
        <v>38</v>
      </c>
      <c r="D27" s="11" t="s">
        <v>39</v>
      </c>
      <c r="E27" s="12" t="s">
        <v>66</v>
      </c>
      <c r="F27" s="11" t="s">
        <v>57</v>
      </c>
      <c r="G27" s="11" t="s">
        <v>58</v>
      </c>
      <c r="H27" s="11" t="s">
        <v>59</v>
      </c>
      <c r="I27" s="12" t="s">
        <v>60</v>
      </c>
      <c r="J27" s="11" t="s">
        <v>42</v>
      </c>
      <c r="K27" s="12" t="s">
        <v>61</v>
      </c>
      <c r="L27" s="11" t="s">
        <v>62</v>
      </c>
      <c r="M27" s="11" t="s">
        <v>63</v>
      </c>
    </row>
    <row r="28" spans="2:13" ht="15">
      <c r="B28" s="21" t="s">
        <v>33</v>
      </c>
      <c r="C28" s="22">
        <f aca="true" t="shared" si="12" ref="C28:C33">C16</f>
        <v>750</v>
      </c>
      <c r="D28" s="23">
        <f aca="true" t="shared" si="13" ref="D28:D33">C28/$C$11</f>
        <v>0.026169789594891656</v>
      </c>
      <c r="E28" s="24">
        <v>2</v>
      </c>
      <c r="F28" s="23">
        <v>0</v>
      </c>
      <c r="G28" s="25">
        <f aca="true" t="shared" si="14" ref="G28:G33">E28*F28/100</f>
        <v>0</v>
      </c>
      <c r="H28" s="23">
        <f aca="true" t="shared" si="15" ref="H28:H33">100-F28</f>
        <v>100</v>
      </c>
      <c r="I28" s="24">
        <f aca="true" t="shared" si="16" ref="I28:I33">E28*H28/100</f>
        <v>2</v>
      </c>
      <c r="J28" s="23">
        <v>0</v>
      </c>
      <c r="K28" s="24">
        <f aca="true" t="shared" si="17" ref="K28:K33">I28*J28/100</f>
        <v>0</v>
      </c>
      <c r="L28" s="23">
        <v>0</v>
      </c>
      <c r="M28" s="25">
        <f aca="true" t="shared" si="18" ref="M28:M33">ROUND(K28*L28/100,0)</f>
        <v>0</v>
      </c>
    </row>
    <row r="29" spans="2:13" ht="15">
      <c r="B29" s="21" t="s">
        <v>34</v>
      </c>
      <c r="C29" s="22">
        <f t="shared" si="12"/>
        <v>1850</v>
      </c>
      <c r="D29" s="23">
        <f t="shared" si="13"/>
        <v>0.06455214766739942</v>
      </c>
      <c r="E29" s="24">
        <v>8</v>
      </c>
      <c r="F29" s="23">
        <v>0</v>
      </c>
      <c r="G29" s="25">
        <f t="shared" si="14"/>
        <v>0</v>
      </c>
      <c r="H29" s="23">
        <f t="shared" si="15"/>
        <v>100</v>
      </c>
      <c r="I29" s="24">
        <f t="shared" si="16"/>
        <v>8</v>
      </c>
      <c r="J29" s="23">
        <v>0</v>
      </c>
      <c r="K29" s="24">
        <f t="shared" si="17"/>
        <v>0</v>
      </c>
      <c r="L29" s="23">
        <v>0</v>
      </c>
      <c r="M29" s="25">
        <f t="shared" si="18"/>
        <v>0</v>
      </c>
    </row>
    <row r="30" spans="2:13" ht="15">
      <c r="B30" s="21" t="s">
        <v>35</v>
      </c>
      <c r="C30" s="22">
        <f t="shared" si="12"/>
        <v>5755</v>
      </c>
      <c r="D30" s="23">
        <f t="shared" si="13"/>
        <v>0.20080951882480197</v>
      </c>
      <c r="E30" s="24">
        <v>125</v>
      </c>
      <c r="F30" s="23">
        <v>35</v>
      </c>
      <c r="G30" s="25">
        <f t="shared" si="14"/>
        <v>43.75</v>
      </c>
      <c r="H30" s="23">
        <f t="shared" si="15"/>
        <v>65</v>
      </c>
      <c r="I30" s="24">
        <f t="shared" si="16"/>
        <v>81.25</v>
      </c>
      <c r="J30" s="23">
        <v>60</v>
      </c>
      <c r="K30" s="24">
        <f>I30*J30/100</f>
        <v>48.75</v>
      </c>
      <c r="L30" s="23">
        <v>12</v>
      </c>
      <c r="M30" s="25">
        <f>ROUND(K30*L30/100,0)</f>
        <v>6</v>
      </c>
    </row>
    <row r="31" spans="2:13" ht="15">
      <c r="B31" s="21" t="s">
        <v>41</v>
      </c>
      <c r="C31" s="22">
        <f t="shared" si="12"/>
        <v>11142</v>
      </c>
      <c r="D31" s="23">
        <f t="shared" si="13"/>
        <v>0.38877839422171045</v>
      </c>
      <c r="E31" s="24">
        <v>89</v>
      </c>
      <c r="F31" s="23">
        <v>38</v>
      </c>
      <c r="G31" s="25">
        <f t="shared" si="14"/>
        <v>33.82</v>
      </c>
      <c r="H31" s="23">
        <f t="shared" si="15"/>
        <v>62</v>
      </c>
      <c r="I31" s="24">
        <f t="shared" si="16"/>
        <v>55.18</v>
      </c>
      <c r="J31" s="23">
        <v>60</v>
      </c>
      <c r="K31" s="24">
        <f>I31*J31/100</f>
        <v>33.108000000000004</v>
      </c>
      <c r="L31" s="23">
        <v>12</v>
      </c>
      <c r="M31" s="25">
        <f t="shared" si="18"/>
        <v>4</v>
      </c>
    </row>
    <row r="32" spans="2:13" ht="15">
      <c r="B32" s="21" t="s">
        <v>36</v>
      </c>
      <c r="C32" s="22">
        <f t="shared" si="12"/>
        <v>5570</v>
      </c>
      <c r="D32" s="23">
        <f t="shared" si="13"/>
        <v>0.19435430405806203</v>
      </c>
      <c r="E32" s="24">
        <v>0</v>
      </c>
      <c r="F32" s="23">
        <v>0</v>
      </c>
      <c r="G32" s="25">
        <f t="shared" si="14"/>
        <v>0</v>
      </c>
      <c r="H32" s="23">
        <f t="shared" si="15"/>
        <v>100</v>
      </c>
      <c r="I32" s="24">
        <f t="shared" si="16"/>
        <v>0</v>
      </c>
      <c r="J32" s="23">
        <v>60</v>
      </c>
      <c r="K32" s="24">
        <f t="shared" si="17"/>
        <v>0</v>
      </c>
      <c r="L32" s="23">
        <v>0</v>
      </c>
      <c r="M32" s="25">
        <f t="shared" si="18"/>
        <v>0</v>
      </c>
    </row>
    <row r="33" spans="2:13" ht="15">
      <c r="B33" s="21" t="s">
        <v>37</v>
      </c>
      <c r="C33" s="22">
        <f t="shared" si="12"/>
        <v>3592</v>
      </c>
      <c r="D33" s="23">
        <f t="shared" si="13"/>
        <v>0.12533584563313444</v>
      </c>
      <c r="E33" s="24">
        <v>0</v>
      </c>
      <c r="F33" s="23">
        <v>0</v>
      </c>
      <c r="G33" s="25">
        <f t="shared" si="14"/>
        <v>0</v>
      </c>
      <c r="H33" s="23">
        <f t="shared" si="15"/>
        <v>100</v>
      </c>
      <c r="I33" s="24">
        <f t="shared" si="16"/>
        <v>0</v>
      </c>
      <c r="J33" s="23">
        <v>60</v>
      </c>
      <c r="K33" s="24">
        <f t="shared" si="17"/>
        <v>0</v>
      </c>
      <c r="L33" s="23">
        <v>0</v>
      </c>
      <c r="M33" s="25">
        <f t="shared" si="18"/>
        <v>0</v>
      </c>
    </row>
    <row r="34" spans="2:13" ht="15">
      <c r="B34" s="21"/>
      <c r="C34" s="22"/>
      <c r="D34" s="23"/>
      <c r="E34" s="24"/>
      <c r="F34" s="23"/>
      <c r="G34" s="25"/>
      <c r="H34" s="23"/>
      <c r="I34" s="24"/>
      <c r="J34" s="23"/>
      <c r="K34" s="24"/>
      <c r="L34" s="23"/>
      <c r="M34" s="25"/>
    </row>
    <row r="35" spans="2:13" ht="15">
      <c r="B35" s="26" t="s">
        <v>40</v>
      </c>
      <c r="C35" s="27">
        <f>SUM(C28:C33)</f>
        <v>28659</v>
      </c>
      <c r="D35" s="28">
        <f>SUM(D28:D33)</f>
        <v>1</v>
      </c>
      <c r="E35" s="27">
        <f>SUM(E28:E33)</f>
        <v>224</v>
      </c>
      <c r="F35" s="29"/>
      <c r="G35" s="29">
        <f>SUM(G28:G33)</f>
        <v>77.57</v>
      </c>
      <c r="H35" s="29"/>
      <c r="I35" s="29">
        <f>SUM(I28:I33)</f>
        <v>146.43</v>
      </c>
      <c r="J35" s="29"/>
      <c r="K35" s="29">
        <f>SUM(K28:K33)</f>
        <v>81.858</v>
      </c>
      <c r="L35" s="28"/>
      <c r="M35" s="29">
        <f>SUM(M28:M33)</f>
        <v>10</v>
      </c>
    </row>
    <row r="38" spans="2:13" ht="23.25">
      <c r="B38" s="15" t="s">
        <v>3</v>
      </c>
      <c r="E38" s="285" t="s">
        <v>67</v>
      </c>
      <c r="F38" s="285"/>
      <c r="G38" s="285"/>
      <c r="H38" s="285"/>
      <c r="I38" s="285"/>
      <c r="J38" s="285"/>
      <c r="K38" s="285"/>
      <c r="L38" s="285"/>
      <c r="M38" s="285"/>
    </row>
    <row r="39" spans="2:13" s="9" customFormat="1" ht="38.25" customHeight="1">
      <c r="B39" s="11" t="s">
        <v>32</v>
      </c>
      <c r="C39" s="12" t="s">
        <v>38</v>
      </c>
      <c r="D39" s="11" t="s">
        <v>39</v>
      </c>
      <c r="E39" s="12" t="s">
        <v>68</v>
      </c>
      <c r="F39" s="11" t="s">
        <v>57</v>
      </c>
      <c r="G39" s="11" t="s">
        <v>58</v>
      </c>
      <c r="H39" s="11" t="s">
        <v>59</v>
      </c>
      <c r="I39" s="12" t="s">
        <v>60</v>
      </c>
      <c r="J39" s="11" t="s">
        <v>42</v>
      </c>
      <c r="K39" s="12" t="s">
        <v>61</v>
      </c>
      <c r="L39" s="11" t="s">
        <v>62</v>
      </c>
      <c r="M39" s="11" t="s">
        <v>63</v>
      </c>
    </row>
    <row r="40" spans="2:13" ht="15">
      <c r="B40" s="21" t="s">
        <v>33</v>
      </c>
      <c r="C40" s="22">
        <f aca="true" t="shared" si="19" ref="C40:C45">C28</f>
        <v>750</v>
      </c>
      <c r="D40" s="23">
        <f aca="true" t="shared" si="20" ref="D40:D45">C40/$C$11</f>
        <v>0.026169789594891656</v>
      </c>
      <c r="E40" s="24">
        <f>10*12*C40</f>
        <v>90000</v>
      </c>
      <c r="F40" s="23">
        <v>19</v>
      </c>
      <c r="G40" s="25">
        <f aca="true" t="shared" si="21" ref="G40:G45">E40*F40/100</f>
        <v>17100</v>
      </c>
      <c r="H40" s="23">
        <f aca="true" t="shared" si="22" ref="H40:H45">100-F40</f>
        <v>81</v>
      </c>
      <c r="I40" s="24">
        <f aca="true" t="shared" si="23" ref="I40:I45">E40*H40/100</f>
        <v>72900</v>
      </c>
      <c r="J40" s="23">
        <v>0</v>
      </c>
      <c r="K40" s="24">
        <f aca="true" t="shared" si="24" ref="K40:K45">I40*J40/100</f>
        <v>0</v>
      </c>
      <c r="L40" s="23">
        <v>0</v>
      </c>
      <c r="M40" s="25">
        <f aca="true" t="shared" si="25" ref="M40:M45">ROUND(K40*L40/100,0)</f>
        <v>0</v>
      </c>
    </row>
    <row r="41" spans="2:13" ht="15">
      <c r="B41" s="21" t="s">
        <v>34</v>
      </c>
      <c r="C41" s="22">
        <f t="shared" si="19"/>
        <v>1850</v>
      </c>
      <c r="D41" s="23">
        <f t="shared" si="20"/>
        <v>0.06455214766739942</v>
      </c>
      <c r="E41" s="24">
        <f>(4*12*C41)*0.3</f>
        <v>26640</v>
      </c>
      <c r="F41" s="23">
        <v>28</v>
      </c>
      <c r="G41" s="25">
        <f t="shared" si="21"/>
        <v>7459.2</v>
      </c>
      <c r="H41" s="23">
        <f t="shared" si="22"/>
        <v>72</v>
      </c>
      <c r="I41" s="24">
        <f t="shared" si="23"/>
        <v>19180.8</v>
      </c>
      <c r="J41" s="23">
        <v>0</v>
      </c>
      <c r="K41" s="24">
        <f t="shared" si="24"/>
        <v>0</v>
      </c>
      <c r="L41" s="23">
        <v>0</v>
      </c>
      <c r="M41" s="25">
        <f t="shared" si="25"/>
        <v>0</v>
      </c>
    </row>
    <row r="42" spans="2:13" ht="15">
      <c r="B42" s="21" t="s">
        <v>35</v>
      </c>
      <c r="C42" s="22">
        <f t="shared" si="19"/>
        <v>5755</v>
      </c>
      <c r="D42" s="23">
        <f t="shared" si="20"/>
        <v>0.20080951882480197</v>
      </c>
      <c r="E42" s="24">
        <f>(6*C42)*0.3</f>
        <v>10359</v>
      </c>
      <c r="F42" s="23">
        <v>30</v>
      </c>
      <c r="G42" s="25">
        <f t="shared" si="21"/>
        <v>3107.7</v>
      </c>
      <c r="H42" s="23">
        <f t="shared" si="22"/>
        <v>70</v>
      </c>
      <c r="I42" s="24">
        <f t="shared" si="23"/>
        <v>7251.3</v>
      </c>
      <c r="J42" s="23">
        <v>60</v>
      </c>
      <c r="K42" s="24">
        <f t="shared" si="24"/>
        <v>4350.78</v>
      </c>
      <c r="L42" s="23">
        <v>1</v>
      </c>
      <c r="M42" s="25">
        <f t="shared" si="25"/>
        <v>44</v>
      </c>
    </row>
    <row r="43" spans="2:13" ht="15">
      <c r="B43" s="21" t="s">
        <v>41</v>
      </c>
      <c r="C43" s="22">
        <f t="shared" si="19"/>
        <v>11142</v>
      </c>
      <c r="D43" s="23">
        <f t="shared" si="20"/>
        <v>0.38877839422171045</v>
      </c>
      <c r="E43" s="24">
        <f>(4*C43)*0.1</f>
        <v>4456.8</v>
      </c>
      <c r="F43" s="23">
        <v>25</v>
      </c>
      <c r="G43" s="25">
        <f t="shared" si="21"/>
        <v>1114.2</v>
      </c>
      <c r="H43" s="23">
        <f t="shared" si="22"/>
        <v>75</v>
      </c>
      <c r="I43" s="24">
        <f t="shared" si="23"/>
        <v>3342.6</v>
      </c>
      <c r="J43" s="23">
        <v>60</v>
      </c>
      <c r="K43" s="24">
        <f>I43*J43/100</f>
        <v>2005.56</v>
      </c>
      <c r="L43" s="23">
        <v>1</v>
      </c>
      <c r="M43" s="25">
        <f>ROUND(K43*L43/100,0)</f>
        <v>20</v>
      </c>
    </row>
    <row r="44" spans="2:13" ht="15">
      <c r="B44" s="21" t="s">
        <v>36</v>
      </c>
      <c r="C44" s="22">
        <f t="shared" si="19"/>
        <v>5570</v>
      </c>
      <c r="D44" s="23">
        <f t="shared" si="20"/>
        <v>0.19435430405806203</v>
      </c>
      <c r="E44" s="24">
        <f>(4*C44)*0.1</f>
        <v>2228</v>
      </c>
      <c r="F44" s="23">
        <v>19</v>
      </c>
      <c r="G44" s="25">
        <f t="shared" si="21"/>
        <v>423.32</v>
      </c>
      <c r="H44" s="23">
        <f t="shared" si="22"/>
        <v>81</v>
      </c>
      <c r="I44" s="24">
        <f t="shared" si="23"/>
        <v>1804.68</v>
      </c>
      <c r="J44" s="23">
        <v>60</v>
      </c>
      <c r="K44" s="24">
        <f t="shared" si="24"/>
        <v>1082.808</v>
      </c>
      <c r="L44" s="23">
        <v>1</v>
      </c>
      <c r="M44" s="25">
        <f t="shared" si="25"/>
        <v>11</v>
      </c>
    </row>
    <row r="45" spans="2:13" ht="15">
      <c r="B45" s="21" t="s">
        <v>37</v>
      </c>
      <c r="C45" s="22">
        <f t="shared" si="19"/>
        <v>3592</v>
      </c>
      <c r="D45" s="23">
        <f t="shared" si="20"/>
        <v>0.12533584563313444</v>
      </c>
      <c r="E45" s="24">
        <v>0</v>
      </c>
      <c r="F45" s="23">
        <v>0</v>
      </c>
      <c r="G45" s="25">
        <f t="shared" si="21"/>
        <v>0</v>
      </c>
      <c r="H45" s="23">
        <f t="shared" si="22"/>
        <v>100</v>
      </c>
      <c r="I45" s="24">
        <f t="shared" si="23"/>
        <v>0</v>
      </c>
      <c r="J45" s="23">
        <v>0</v>
      </c>
      <c r="K45" s="24">
        <f t="shared" si="24"/>
        <v>0</v>
      </c>
      <c r="L45" s="23">
        <v>0</v>
      </c>
      <c r="M45" s="25">
        <f t="shared" si="25"/>
        <v>0</v>
      </c>
    </row>
    <row r="46" spans="2:13" ht="15">
      <c r="B46" s="21"/>
      <c r="C46" s="22"/>
      <c r="D46" s="23"/>
      <c r="E46" s="24"/>
      <c r="F46" s="23"/>
      <c r="G46" s="25"/>
      <c r="H46" s="23"/>
      <c r="I46" s="24"/>
      <c r="J46" s="23"/>
      <c r="K46" s="24"/>
      <c r="L46" s="23"/>
      <c r="M46" s="25"/>
    </row>
    <row r="47" spans="2:13" ht="15">
      <c r="B47" s="26" t="s">
        <v>40</v>
      </c>
      <c r="C47" s="27">
        <f>SUM(C40:C45)</f>
        <v>28659</v>
      </c>
      <c r="D47" s="28">
        <f>SUM(D40:D45)</f>
        <v>1</v>
      </c>
      <c r="E47" s="27">
        <f>SUM(E40:E45)</f>
        <v>133683.8</v>
      </c>
      <c r="F47" s="29"/>
      <c r="G47" s="29">
        <f>SUM(G40:G45)</f>
        <v>29204.420000000002</v>
      </c>
      <c r="H47" s="29"/>
      <c r="I47" s="29">
        <f>SUM(I40:I45)</f>
        <v>104479.38</v>
      </c>
      <c r="J47" s="29"/>
      <c r="K47" s="29">
        <f>SUM(K40:K45)</f>
        <v>7439.148</v>
      </c>
      <c r="L47" s="28"/>
      <c r="M47" s="29">
        <f>SUM(M40:M45)</f>
        <v>75</v>
      </c>
    </row>
    <row r="50" spans="2:13" ht="23.25">
      <c r="B50" s="15" t="s">
        <v>3</v>
      </c>
      <c r="E50" s="285" t="s">
        <v>69</v>
      </c>
      <c r="F50" s="285"/>
      <c r="G50" s="285"/>
      <c r="H50" s="285"/>
      <c r="I50" s="285"/>
      <c r="J50" s="285"/>
      <c r="K50" s="285"/>
      <c r="L50" s="285"/>
      <c r="M50" s="285"/>
    </row>
    <row r="51" spans="2:13" s="9" customFormat="1" ht="38.25" customHeight="1">
      <c r="B51" s="11" t="s">
        <v>32</v>
      </c>
      <c r="C51" s="12" t="s">
        <v>38</v>
      </c>
      <c r="D51" s="11" t="s">
        <v>39</v>
      </c>
      <c r="E51" s="12" t="s">
        <v>70</v>
      </c>
      <c r="F51" s="11" t="s">
        <v>57</v>
      </c>
      <c r="G51" s="11" t="s">
        <v>58</v>
      </c>
      <c r="H51" s="11" t="s">
        <v>59</v>
      </c>
      <c r="I51" s="12" t="s">
        <v>60</v>
      </c>
      <c r="J51" s="11" t="s">
        <v>42</v>
      </c>
      <c r="K51" s="12" t="s">
        <v>61</v>
      </c>
      <c r="L51" s="11" t="s">
        <v>62</v>
      </c>
      <c r="M51" s="11" t="s">
        <v>63</v>
      </c>
    </row>
    <row r="52" spans="2:13" ht="15">
      <c r="B52" s="21" t="s">
        <v>33</v>
      </c>
      <c r="C52" s="22">
        <f aca="true" t="shared" si="26" ref="C52:C57">C40</f>
        <v>750</v>
      </c>
      <c r="D52" s="23">
        <f aca="true" t="shared" si="27" ref="D52:D57">C52/$C$11</f>
        <v>0.026169789594891656</v>
      </c>
      <c r="E52" s="24">
        <f>13*12*C52</f>
        <v>117000</v>
      </c>
      <c r="F52" s="23">
        <v>0</v>
      </c>
      <c r="G52" s="25">
        <f aca="true" t="shared" si="28" ref="G52:G57">E52*F52/100</f>
        <v>0</v>
      </c>
      <c r="H52" s="23">
        <f aca="true" t="shared" si="29" ref="H52:H57">100-F52</f>
        <v>100</v>
      </c>
      <c r="I52" s="24">
        <f aca="true" t="shared" si="30" ref="I52:I57">E52*H52/100</f>
        <v>117000</v>
      </c>
      <c r="J52" s="23">
        <v>0</v>
      </c>
      <c r="K52" s="24">
        <f aca="true" t="shared" si="31" ref="K52:K57">I52*J52/100</f>
        <v>0</v>
      </c>
      <c r="L52" s="23">
        <v>0</v>
      </c>
      <c r="M52" s="25">
        <f aca="true" t="shared" si="32" ref="M52:M57">ROUND(K52*L52/100,0)</f>
        <v>0</v>
      </c>
    </row>
    <row r="53" spans="2:13" ht="15">
      <c r="B53" s="21" t="s">
        <v>34</v>
      </c>
      <c r="C53" s="22">
        <f t="shared" si="26"/>
        <v>1850</v>
      </c>
      <c r="D53" s="23">
        <f t="shared" si="27"/>
        <v>0.06455214766739942</v>
      </c>
      <c r="E53" s="24">
        <f>(6*12*C53)*0.15</f>
        <v>19980</v>
      </c>
      <c r="F53" s="23">
        <v>38</v>
      </c>
      <c r="G53" s="25">
        <f t="shared" si="28"/>
        <v>7592.4</v>
      </c>
      <c r="H53" s="23">
        <f t="shared" si="29"/>
        <v>62</v>
      </c>
      <c r="I53" s="24">
        <f t="shared" si="30"/>
        <v>12387.6</v>
      </c>
      <c r="J53" s="23">
        <v>0</v>
      </c>
      <c r="K53" s="24">
        <f t="shared" si="31"/>
        <v>0</v>
      </c>
      <c r="L53" s="23">
        <v>0</v>
      </c>
      <c r="M53" s="25">
        <f t="shared" si="32"/>
        <v>0</v>
      </c>
    </row>
    <row r="54" spans="2:13" ht="15">
      <c r="B54" s="21" t="s">
        <v>35</v>
      </c>
      <c r="C54" s="22">
        <f t="shared" si="26"/>
        <v>5755</v>
      </c>
      <c r="D54" s="23">
        <f t="shared" si="27"/>
        <v>0.20080951882480197</v>
      </c>
      <c r="E54" s="24">
        <f>(2*C54)*0.15</f>
        <v>1726.5</v>
      </c>
      <c r="F54" s="23">
        <v>35</v>
      </c>
      <c r="G54" s="25">
        <f t="shared" si="28"/>
        <v>604.275</v>
      </c>
      <c r="H54" s="23">
        <f t="shared" si="29"/>
        <v>65</v>
      </c>
      <c r="I54" s="24">
        <f t="shared" si="30"/>
        <v>1122.225</v>
      </c>
      <c r="J54" s="23">
        <v>60</v>
      </c>
      <c r="K54" s="24">
        <f t="shared" si="31"/>
        <v>673.335</v>
      </c>
      <c r="L54" s="23">
        <v>1</v>
      </c>
      <c r="M54" s="25">
        <f t="shared" si="32"/>
        <v>7</v>
      </c>
    </row>
    <row r="55" spans="2:13" ht="15">
      <c r="B55" s="21" t="s">
        <v>41</v>
      </c>
      <c r="C55" s="22">
        <f t="shared" si="26"/>
        <v>11142</v>
      </c>
      <c r="D55" s="23">
        <f t="shared" si="27"/>
        <v>0.38877839422171045</v>
      </c>
      <c r="E55" s="24">
        <f>(2*C55)*0.05</f>
        <v>1114.2</v>
      </c>
      <c r="F55" s="23">
        <v>35</v>
      </c>
      <c r="G55" s="25">
        <f t="shared" si="28"/>
        <v>389.97</v>
      </c>
      <c r="H55" s="23">
        <f t="shared" si="29"/>
        <v>65</v>
      </c>
      <c r="I55" s="24">
        <f t="shared" si="30"/>
        <v>724.23</v>
      </c>
      <c r="J55" s="23">
        <v>60</v>
      </c>
      <c r="K55" s="24">
        <f t="shared" si="31"/>
        <v>434.538</v>
      </c>
      <c r="L55" s="23">
        <v>1</v>
      </c>
      <c r="M55" s="25">
        <f t="shared" si="32"/>
        <v>4</v>
      </c>
    </row>
    <row r="56" spans="2:13" ht="15">
      <c r="B56" s="21" t="s">
        <v>36</v>
      </c>
      <c r="C56" s="22">
        <f t="shared" si="26"/>
        <v>5570</v>
      </c>
      <c r="D56" s="23">
        <f t="shared" si="27"/>
        <v>0.19435430405806203</v>
      </c>
      <c r="E56" s="24">
        <f>(0.75*C56)*0.1</f>
        <v>417.75</v>
      </c>
      <c r="F56" s="23">
        <v>31</v>
      </c>
      <c r="G56" s="25">
        <f t="shared" si="28"/>
        <v>129.5025</v>
      </c>
      <c r="H56" s="23">
        <f t="shared" si="29"/>
        <v>69</v>
      </c>
      <c r="I56" s="24">
        <f>E56*H56/100</f>
        <v>288.2475</v>
      </c>
      <c r="J56" s="23">
        <v>60</v>
      </c>
      <c r="K56" s="24">
        <f>I56*J56/100</f>
        <v>172.9485</v>
      </c>
      <c r="L56" s="23">
        <v>0.35</v>
      </c>
      <c r="M56" s="25">
        <f t="shared" si="32"/>
        <v>1</v>
      </c>
    </row>
    <row r="57" spans="2:13" ht="15">
      <c r="B57" s="21" t="s">
        <v>37</v>
      </c>
      <c r="C57" s="22">
        <f t="shared" si="26"/>
        <v>3592</v>
      </c>
      <c r="D57" s="23">
        <f t="shared" si="27"/>
        <v>0.12533584563313444</v>
      </c>
      <c r="E57" s="24">
        <v>0</v>
      </c>
      <c r="F57" s="23">
        <v>0</v>
      </c>
      <c r="G57" s="25">
        <f t="shared" si="28"/>
        <v>0</v>
      </c>
      <c r="H57" s="23">
        <f t="shared" si="29"/>
        <v>100</v>
      </c>
      <c r="I57" s="24">
        <f t="shared" si="30"/>
        <v>0</v>
      </c>
      <c r="J57" s="23">
        <v>0</v>
      </c>
      <c r="K57" s="24">
        <f t="shared" si="31"/>
        <v>0</v>
      </c>
      <c r="L57" s="23">
        <v>0</v>
      </c>
      <c r="M57" s="25">
        <f t="shared" si="32"/>
        <v>0</v>
      </c>
    </row>
    <row r="58" spans="2:13" ht="15">
      <c r="B58" s="21"/>
      <c r="C58" s="22"/>
      <c r="D58" s="23"/>
      <c r="E58" s="24"/>
      <c r="F58" s="23"/>
      <c r="G58" s="25"/>
      <c r="H58" s="23"/>
      <c r="I58" s="24"/>
      <c r="J58" s="23"/>
      <c r="K58" s="24"/>
      <c r="L58" s="23"/>
      <c r="M58" s="25"/>
    </row>
    <row r="59" spans="2:13" ht="15">
      <c r="B59" s="26" t="s">
        <v>40</v>
      </c>
      <c r="C59" s="27">
        <f>SUM(C52:C57)</f>
        <v>28659</v>
      </c>
      <c r="D59" s="28">
        <f>SUM(D52:D57)</f>
        <v>1</v>
      </c>
      <c r="E59" s="27">
        <f>SUM(E52:E57)</f>
        <v>140238.45</v>
      </c>
      <c r="F59" s="29"/>
      <c r="G59" s="29">
        <f>SUM(G52:G57)</f>
        <v>8716.1475</v>
      </c>
      <c r="H59" s="29"/>
      <c r="I59" s="29">
        <f>SUM(I52:I57)</f>
        <v>131522.30250000002</v>
      </c>
      <c r="J59" s="29"/>
      <c r="K59" s="29">
        <f>SUM(K52:K57)</f>
        <v>1280.8215</v>
      </c>
      <c r="L59" s="28"/>
      <c r="M59" s="29">
        <f>SUM(M52:M57)</f>
        <v>12</v>
      </c>
    </row>
    <row r="62" spans="2:13" ht="23.25">
      <c r="B62" s="15" t="s">
        <v>71</v>
      </c>
      <c r="E62" s="285" t="s">
        <v>71</v>
      </c>
      <c r="F62" s="285"/>
      <c r="G62" s="285"/>
      <c r="H62" s="285"/>
      <c r="I62" s="285"/>
      <c r="J62" s="285"/>
      <c r="K62" s="285"/>
      <c r="L62" s="285"/>
      <c r="M62" s="285"/>
    </row>
    <row r="63" spans="2:13" s="9" customFormat="1" ht="38.25" customHeight="1">
      <c r="B63" s="11" t="s">
        <v>32</v>
      </c>
      <c r="C63" s="12" t="s">
        <v>38</v>
      </c>
      <c r="D63" s="11" t="s">
        <v>39</v>
      </c>
      <c r="E63" s="12" t="s">
        <v>72</v>
      </c>
      <c r="F63" s="11" t="s">
        <v>73</v>
      </c>
      <c r="G63" s="11" t="s">
        <v>74</v>
      </c>
      <c r="H63" s="11" t="s">
        <v>59</v>
      </c>
      <c r="I63" s="12" t="s">
        <v>60</v>
      </c>
      <c r="J63" s="11" t="s">
        <v>42</v>
      </c>
      <c r="K63" s="12" t="s">
        <v>61</v>
      </c>
      <c r="L63" s="11" t="s">
        <v>62</v>
      </c>
      <c r="M63" s="11" t="s">
        <v>63</v>
      </c>
    </row>
    <row r="64" spans="2:13" ht="15">
      <c r="B64" s="21" t="s">
        <v>33</v>
      </c>
      <c r="C64" s="22">
        <f aca="true" t="shared" si="33" ref="C64:C69">C52</f>
        <v>750</v>
      </c>
      <c r="D64" s="23">
        <f aca="true" t="shared" si="34" ref="D64:D69">C64/$C$11</f>
        <v>0.026169789594891656</v>
      </c>
      <c r="E64" s="24">
        <v>200</v>
      </c>
      <c r="F64" s="23">
        <v>0</v>
      </c>
      <c r="G64" s="25">
        <f aca="true" t="shared" si="35" ref="G64:G69">E64*F64/100</f>
        <v>0</v>
      </c>
      <c r="H64" s="23">
        <f aca="true" t="shared" si="36" ref="H64:H69">100-F64</f>
        <v>100</v>
      </c>
      <c r="I64" s="24">
        <f aca="true" t="shared" si="37" ref="I64:I69">E64*H64/100</f>
        <v>200</v>
      </c>
      <c r="J64" s="23">
        <v>0</v>
      </c>
      <c r="K64" s="24">
        <f aca="true" t="shared" si="38" ref="K64:K69">G64*J64/100</f>
        <v>0</v>
      </c>
      <c r="L64" s="23">
        <v>0</v>
      </c>
      <c r="M64" s="25">
        <f aca="true" t="shared" si="39" ref="M64:M69">ROUND(K64*L64/100,0)</f>
        <v>0</v>
      </c>
    </row>
    <row r="65" spans="2:13" ht="15">
      <c r="B65" s="21" t="s">
        <v>34</v>
      </c>
      <c r="C65" s="22">
        <f t="shared" si="33"/>
        <v>1850</v>
      </c>
      <c r="D65" s="23">
        <f t="shared" si="34"/>
        <v>0.06455214766739942</v>
      </c>
      <c r="E65" s="24">
        <v>2089</v>
      </c>
      <c r="F65" s="23">
        <v>0</v>
      </c>
      <c r="G65" s="25">
        <f t="shared" si="35"/>
        <v>0</v>
      </c>
      <c r="H65" s="23">
        <f t="shared" si="36"/>
        <v>100</v>
      </c>
      <c r="I65" s="24">
        <f t="shared" si="37"/>
        <v>2089</v>
      </c>
      <c r="J65" s="23">
        <v>0</v>
      </c>
      <c r="K65" s="24">
        <f t="shared" si="38"/>
        <v>0</v>
      </c>
      <c r="L65" s="23">
        <v>0</v>
      </c>
      <c r="M65" s="25">
        <f t="shared" si="39"/>
        <v>0</v>
      </c>
    </row>
    <row r="66" spans="2:13" ht="15">
      <c r="B66" s="21" t="s">
        <v>35</v>
      </c>
      <c r="C66" s="22">
        <f t="shared" si="33"/>
        <v>5755</v>
      </c>
      <c r="D66" s="23">
        <f t="shared" si="34"/>
        <v>0.20080951882480197</v>
      </c>
      <c r="E66" s="24">
        <v>6053</v>
      </c>
      <c r="F66" s="23">
        <v>65</v>
      </c>
      <c r="G66" s="25">
        <f t="shared" si="35"/>
        <v>3934.45</v>
      </c>
      <c r="H66" s="23">
        <f t="shared" si="36"/>
        <v>35</v>
      </c>
      <c r="I66" s="24">
        <f t="shared" si="37"/>
        <v>2118.55</v>
      </c>
      <c r="J66" s="23">
        <v>60</v>
      </c>
      <c r="K66" s="24">
        <f t="shared" si="38"/>
        <v>2360.67</v>
      </c>
      <c r="L66" s="23">
        <v>1</v>
      </c>
      <c r="M66" s="25">
        <f t="shared" si="39"/>
        <v>24</v>
      </c>
    </row>
    <row r="67" spans="2:13" ht="15">
      <c r="B67" s="21" t="s">
        <v>41</v>
      </c>
      <c r="C67" s="22">
        <f t="shared" si="33"/>
        <v>11142</v>
      </c>
      <c r="D67" s="23">
        <f t="shared" si="34"/>
        <v>0.38877839422171045</v>
      </c>
      <c r="E67" s="24">
        <v>9150</v>
      </c>
      <c r="F67" s="23">
        <v>60</v>
      </c>
      <c r="G67" s="25">
        <f>E67*F67/100</f>
        <v>5490</v>
      </c>
      <c r="H67" s="23">
        <f t="shared" si="36"/>
        <v>40</v>
      </c>
      <c r="I67" s="24">
        <f t="shared" si="37"/>
        <v>3660</v>
      </c>
      <c r="J67" s="23">
        <v>60</v>
      </c>
      <c r="K67" s="24">
        <f>G67*J67/100</f>
        <v>3294</v>
      </c>
      <c r="L67" s="23">
        <v>1</v>
      </c>
      <c r="M67" s="25">
        <f>ROUND(K67*L67/100,0)</f>
        <v>33</v>
      </c>
    </row>
    <row r="68" spans="2:13" ht="15">
      <c r="B68" s="21" t="s">
        <v>36</v>
      </c>
      <c r="C68" s="22">
        <f t="shared" si="33"/>
        <v>5570</v>
      </c>
      <c r="D68" s="23">
        <f t="shared" si="34"/>
        <v>0.19435430405806203</v>
      </c>
      <c r="E68" s="24">
        <v>5570</v>
      </c>
      <c r="F68" s="23">
        <v>50</v>
      </c>
      <c r="G68" s="25">
        <f t="shared" si="35"/>
        <v>2785</v>
      </c>
      <c r="H68" s="23">
        <f t="shared" si="36"/>
        <v>50</v>
      </c>
      <c r="I68" s="24">
        <f t="shared" si="37"/>
        <v>2785</v>
      </c>
      <c r="J68" s="23">
        <v>60</v>
      </c>
      <c r="K68" s="24">
        <f>G68*J68/100</f>
        <v>1671</v>
      </c>
      <c r="L68" s="23">
        <v>1</v>
      </c>
      <c r="M68" s="25">
        <f t="shared" si="39"/>
        <v>17</v>
      </c>
    </row>
    <row r="69" spans="2:13" ht="15">
      <c r="B69" s="21" t="s">
        <v>75</v>
      </c>
      <c r="C69" s="22">
        <f t="shared" si="33"/>
        <v>3592</v>
      </c>
      <c r="D69" s="23">
        <f t="shared" si="34"/>
        <v>0.12533584563313444</v>
      </c>
      <c r="E69" s="24">
        <v>3592</v>
      </c>
      <c r="F69" s="23">
        <v>100</v>
      </c>
      <c r="G69" s="25">
        <f t="shared" si="35"/>
        <v>3592</v>
      </c>
      <c r="H69" s="23">
        <f t="shared" si="36"/>
        <v>0</v>
      </c>
      <c r="I69" s="24">
        <f t="shared" si="37"/>
        <v>0</v>
      </c>
      <c r="J69" s="23">
        <v>60</v>
      </c>
      <c r="K69" s="24">
        <f t="shared" si="38"/>
        <v>2155.2</v>
      </c>
      <c r="L69" s="23">
        <v>1</v>
      </c>
      <c r="M69" s="25">
        <f t="shared" si="39"/>
        <v>22</v>
      </c>
    </row>
    <row r="70" spans="2:13" ht="15">
      <c r="B70" s="21"/>
      <c r="C70" s="22"/>
      <c r="D70" s="23"/>
      <c r="E70" s="24"/>
      <c r="F70" s="23"/>
      <c r="G70" s="25"/>
      <c r="H70" s="23"/>
      <c r="I70" s="24"/>
      <c r="J70" s="23"/>
      <c r="K70" s="24"/>
      <c r="L70" s="23"/>
      <c r="M70" s="25"/>
    </row>
    <row r="71" spans="2:13" ht="15">
      <c r="B71" s="26" t="s">
        <v>40</v>
      </c>
      <c r="C71" s="27">
        <f>SUM(C64:C69)</f>
        <v>28659</v>
      </c>
      <c r="D71" s="28">
        <f>SUM(D64:D69)</f>
        <v>1</v>
      </c>
      <c r="E71" s="27">
        <f>SUM(E64:E69)</f>
        <v>26654</v>
      </c>
      <c r="F71" s="29"/>
      <c r="G71" s="29">
        <f>SUM(G64:G69)</f>
        <v>15801.45</v>
      </c>
      <c r="H71" s="29"/>
      <c r="I71" s="29">
        <f>SUM(I64:I69)</f>
        <v>10852.55</v>
      </c>
      <c r="J71" s="29"/>
      <c r="K71" s="29">
        <f>SUM(K64:K69)</f>
        <v>9480.869999999999</v>
      </c>
      <c r="L71" s="28"/>
      <c r="M71" s="29">
        <f>SUM(M64:M69)</f>
        <v>96</v>
      </c>
    </row>
    <row r="72" ht="15">
      <c r="M72" s="19">
        <f>+M71+M59+M47+M35+M23+M11</f>
        <v>203</v>
      </c>
    </row>
    <row r="73" ht="15.75" thickBot="1"/>
    <row r="74" spans="2:6" ht="36.75" thickBot="1">
      <c r="B74" s="149" t="s">
        <v>245</v>
      </c>
      <c r="C74" s="150" t="str">
        <f>B6</f>
        <v>PEQUEÑAS</v>
      </c>
      <c r="D74" s="151" t="str">
        <f>B7</f>
        <v>MICROEMPRESAS</v>
      </c>
      <c r="E74" s="152" t="str">
        <f>B8</f>
        <v>P. NATURALES OB. CONTABILIDAD</v>
      </c>
      <c r="F74" s="153" t="str">
        <f>B9</f>
        <v>P. NATURALES NO OB. CONTABILIDAD</v>
      </c>
    </row>
    <row r="75" spans="2:6" ht="15">
      <c r="B75" s="154" t="str">
        <f>E2</f>
        <v>CREACION DE EMPRESAS</v>
      </c>
      <c r="C75" s="155">
        <v>0.02</v>
      </c>
      <c r="D75" s="155">
        <v>0.01</v>
      </c>
      <c r="E75" s="155">
        <v>0.01</v>
      </c>
      <c r="F75" s="156">
        <v>0.01</v>
      </c>
    </row>
    <row r="76" spans="2:6" ht="15">
      <c r="B76" s="157" t="str">
        <f>E14</f>
        <v>LIQUIDACION DE EMPRESAS</v>
      </c>
      <c r="C76" s="158">
        <v>0.02</v>
      </c>
      <c r="D76" s="158">
        <v>0.02</v>
      </c>
      <c r="E76" s="158">
        <v>0.01</v>
      </c>
      <c r="F76" s="159">
        <v>0</v>
      </c>
    </row>
    <row r="77" spans="2:6" ht="15">
      <c r="B77" s="157" t="str">
        <f>E26</f>
        <v>REFORMAS ESTATUTARIAS</v>
      </c>
      <c r="C77" s="158">
        <v>0.1</v>
      </c>
      <c r="D77" s="158">
        <v>0.1</v>
      </c>
      <c r="E77" s="158">
        <v>0</v>
      </c>
      <c r="F77" s="160">
        <v>0</v>
      </c>
    </row>
    <row r="78" spans="2:6" ht="15">
      <c r="B78" s="157" t="str">
        <f>E38</f>
        <v>IMPORTACION DE BIENES</v>
      </c>
      <c r="C78" s="158">
        <v>0.03</v>
      </c>
      <c r="D78" s="158">
        <v>0.03</v>
      </c>
      <c r="E78" s="158">
        <v>0.02</v>
      </c>
      <c r="F78" s="160">
        <v>0</v>
      </c>
    </row>
    <row r="79" spans="2:6" ht="15">
      <c r="B79" s="157" t="str">
        <f>E50</f>
        <v>EXPORTACION DE BIENES</v>
      </c>
      <c r="C79" s="158">
        <v>0.02</v>
      </c>
      <c r="D79" s="158">
        <v>0.02</v>
      </c>
      <c r="E79" s="158">
        <v>0.01</v>
      </c>
      <c r="F79" s="160">
        <v>0</v>
      </c>
    </row>
    <row r="80" spans="2:6" ht="15.75" thickBot="1">
      <c r="B80" s="161" t="str">
        <f>E62</f>
        <v>SERVICIOS CONTABLES</v>
      </c>
      <c r="C80" s="162">
        <v>0.03</v>
      </c>
      <c r="D80" s="162">
        <v>0.03</v>
      </c>
      <c r="E80" s="162">
        <v>0.03</v>
      </c>
      <c r="F80" s="163">
        <v>0.03</v>
      </c>
    </row>
    <row r="83" spans="3:7" ht="15">
      <c r="C83" s="20"/>
      <c r="D83" s="16"/>
      <c r="E83" s="17"/>
      <c r="F83" s="18"/>
      <c r="G83" s="17"/>
    </row>
    <row r="84" spans="3:7" ht="15">
      <c r="C84" s="20"/>
      <c r="D84" s="16"/>
      <c r="E84" s="17"/>
      <c r="F84" s="18"/>
      <c r="G84" s="17"/>
    </row>
    <row r="85" spans="3:7" ht="15">
      <c r="C85" s="20"/>
      <c r="D85" s="16"/>
      <c r="E85" s="17"/>
      <c r="F85" s="18"/>
      <c r="G85" s="17"/>
    </row>
    <row r="86" spans="3:7" ht="15">
      <c r="C86" s="20"/>
      <c r="D86" s="16"/>
      <c r="E86" s="17"/>
      <c r="F86" s="18"/>
      <c r="G86" s="17"/>
    </row>
    <row r="87" spans="3:7" ht="15">
      <c r="C87" s="20"/>
      <c r="D87" s="16"/>
      <c r="E87" s="17"/>
      <c r="F87" s="18"/>
      <c r="G87" s="17"/>
    </row>
    <row r="88" spans="3:7" ht="15">
      <c r="C88" s="20"/>
      <c r="D88" s="16"/>
      <c r="E88" s="17"/>
      <c r="F88" s="18"/>
      <c r="G88" s="17"/>
    </row>
    <row r="331" spans="2:10" ht="15">
      <c r="B331" s="30" t="s">
        <v>46</v>
      </c>
      <c r="C331" s="31"/>
      <c r="D331" s="32"/>
      <c r="E331" s="33" t="s">
        <v>50</v>
      </c>
      <c r="F331" s="33" t="s">
        <v>52</v>
      </c>
      <c r="G331" s="33" t="s">
        <v>53</v>
      </c>
      <c r="H331" s="33" t="s">
        <v>54</v>
      </c>
      <c r="I331" s="33" t="s">
        <v>55</v>
      </c>
      <c r="J331" s="33"/>
    </row>
    <row r="332" spans="2:5" ht="15">
      <c r="B332" s="20" t="s">
        <v>47</v>
      </c>
      <c r="E332" s="18">
        <v>200</v>
      </c>
    </row>
    <row r="333" spans="2:5" ht="15">
      <c r="B333" s="20" t="s">
        <v>51</v>
      </c>
      <c r="E333" s="18">
        <v>100</v>
      </c>
    </row>
    <row r="334" spans="2:5" ht="15">
      <c r="B334" s="20" t="s">
        <v>48</v>
      </c>
      <c r="E334" s="18">
        <v>100</v>
      </c>
    </row>
    <row r="335" spans="2:5" ht="15">
      <c r="B335" s="20" t="s">
        <v>49</v>
      </c>
      <c r="E335" s="18">
        <v>150</v>
      </c>
    </row>
    <row r="336" ht="15">
      <c r="B336" s="20" t="s">
        <v>56</v>
      </c>
    </row>
    <row r="338" ht="15">
      <c r="E338" s="34">
        <f>SUM(E332:E337)</f>
        <v>550</v>
      </c>
    </row>
  </sheetData>
  <sheetProtection/>
  <mergeCells count="6">
    <mergeCell ref="E62:M62"/>
    <mergeCell ref="E2:M2"/>
    <mergeCell ref="E14:M14"/>
    <mergeCell ref="E26:M26"/>
    <mergeCell ref="E38:M38"/>
    <mergeCell ref="E50:M50"/>
  </mergeCells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1">
      <selection activeCell="A1" sqref="A1:B15"/>
    </sheetView>
  </sheetViews>
  <sheetFormatPr defaultColWidth="11.421875" defaultRowHeight="15"/>
  <cols>
    <col min="1" max="1" width="34.421875" style="53" customWidth="1"/>
    <col min="2" max="2" width="13.140625" style="52" customWidth="1"/>
    <col min="3" max="3" width="10.7109375" style="67" customWidth="1"/>
    <col min="4" max="4" width="15.8515625" style="52" customWidth="1"/>
    <col min="5" max="5" width="15.28125" style="52" customWidth="1"/>
    <col min="6" max="6" width="11.421875" style="52" customWidth="1"/>
    <col min="7" max="16384" width="11.421875" style="50" customWidth="1"/>
  </cols>
  <sheetData>
    <row r="1" spans="1:17" s="47" customFormat="1" ht="21">
      <c r="A1" s="217" t="s">
        <v>0</v>
      </c>
      <c r="B1" s="218"/>
      <c r="C1" s="64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s="49" customFormat="1" ht="21.75" thickBot="1">
      <c r="A2" s="197" t="s">
        <v>127</v>
      </c>
      <c r="B2" s="219"/>
      <c r="C2" s="176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6" s="56" customFormat="1" ht="15" hidden="1">
      <c r="A3" s="54"/>
      <c r="B3" s="55"/>
      <c r="D3" s="55"/>
      <c r="E3" s="55"/>
      <c r="F3" s="55"/>
    </row>
    <row r="4" spans="1:6" s="56" customFormat="1" ht="15" hidden="1">
      <c r="A4" s="54"/>
      <c r="B4" s="55"/>
      <c r="D4" s="55"/>
      <c r="E4" s="55"/>
      <c r="F4" s="55"/>
    </row>
    <row r="5" spans="1:6" s="56" customFormat="1" ht="15" hidden="1">
      <c r="A5" s="54"/>
      <c r="B5" s="55"/>
      <c r="D5" s="55"/>
      <c r="E5" s="55"/>
      <c r="F5" s="55"/>
    </row>
    <row r="6" spans="1:6" s="56" customFormat="1" ht="36" customHeight="1" thickBot="1">
      <c r="A6" s="210" t="s">
        <v>118</v>
      </c>
      <c r="B6" s="211" t="s">
        <v>119</v>
      </c>
      <c r="C6" s="57" t="s">
        <v>128</v>
      </c>
      <c r="D6" s="57" t="s">
        <v>129</v>
      </c>
      <c r="E6" s="57" t="s">
        <v>130</v>
      </c>
      <c r="F6" s="55"/>
    </row>
    <row r="7" spans="1:6" s="58" customFormat="1" ht="14.25" customHeight="1">
      <c r="A7" s="212" t="s">
        <v>120</v>
      </c>
      <c r="B7" s="213">
        <v>200</v>
      </c>
      <c r="C7" s="65">
        <v>5</v>
      </c>
      <c r="D7" s="69">
        <f>B7/C7</f>
        <v>40</v>
      </c>
      <c r="E7" s="69">
        <f>D7/12</f>
        <v>3.3333333333333335</v>
      </c>
      <c r="F7" s="62"/>
    </row>
    <row r="8" spans="1:6" s="58" customFormat="1" ht="14.25" customHeight="1">
      <c r="A8" s="214" t="s">
        <v>121</v>
      </c>
      <c r="B8" s="213">
        <v>60</v>
      </c>
      <c r="C8" s="65">
        <v>5</v>
      </c>
      <c r="D8" s="69">
        <f aca="true" t="shared" si="0" ref="D8:D14">B8/C8</f>
        <v>12</v>
      </c>
      <c r="E8" s="69">
        <f aca="true" t="shared" si="1" ref="E8:E14">D8/12</f>
        <v>1</v>
      </c>
      <c r="F8" s="62"/>
    </row>
    <row r="9" spans="1:6" s="58" customFormat="1" ht="14.25" customHeight="1">
      <c r="A9" s="212" t="s">
        <v>122</v>
      </c>
      <c r="B9" s="213">
        <v>110</v>
      </c>
      <c r="C9" s="65">
        <v>5</v>
      </c>
      <c r="D9" s="69">
        <f t="shared" si="0"/>
        <v>22</v>
      </c>
      <c r="E9" s="69">
        <f t="shared" si="1"/>
        <v>1.8333333333333333</v>
      </c>
      <c r="F9" s="62"/>
    </row>
    <row r="10" spans="1:6" s="58" customFormat="1" ht="14.25" customHeight="1">
      <c r="A10" s="212" t="s">
        <v>123</v>
      </c>
      <c r="B10" s="213">
        <v>1</v>
      </c>
      <c r="C10" s="65">
        <v>5</v>
      </c>
      <c r="D10" s="69">
        <f t="shared" si="0"/>
        <v>0.2</v>
      </c>
      <c r="E10" s="69">
        <f t="shared" si="1"/>
        <v>0.016666666666666666</v>
      </c>
      <c r="F10" s="62"/>
    </row>
    <row r="11" spans="1:6" s="58" customFormat="1" ht="14.25" customHeight="1">
      <c r="A11" s="212" t="s">
        <v>124</v>
      </c>
      <c r="B11" s="213">
        <v>1</v>
      </c>
      <c r="C11" s="65">
        <v>5</v>
      </c>
      <c r="D11" s="69">
        <f t="shared" si="0"/>
        <v>0.2</v>
      </c>
      <c r="E11" s="69">
        <f t="shared" si="1"/>
        <v>0.016666666666666666</v>
      </c>
      <c r="F11" s="62"/>
    </row>
    <row r="12" spans="1:6" s="58" customFormat="1" ht="14.25" customHeight="1">
      <c r="A12" s="212" t="s">
        <v>125</v>
      </c>
      <c r="B12" s="213">
        <v>100</v>
      </c>
      <c r="C12" s="65">
        <v>5</v>
      </c>
      <c r="D12" s="69">
        <f t="shared" si="0"/>
        <v>20</v>
      </c>
      <c r="E12" s="69">
        <f t="shared" si="1"/>
        <v>1.6666666666666667</v>
      </c>
      <c r="F12" s="62"/>
    </row>
    <row r="13" spans="1:6" s="58" customFormat="1" ht="14.25" customHeight="1">
      <c r="A13" s="212" t="s">
        <v>243</v>
      </c>
      <c r="B13" s="213">
        <v>600</v>
      </c>
      <c r="C13" s="65">
        <v>1</v>
      </c>
      <c r="D13" s="69">
        <f t="shared" si="0"/>
        <v>600</v>
      </c>
      <c r="E13" s="69">
        <f t="shared" si="1"/>
        <v>50</v>
      </c>
      <c r="F13" s="62"/>
    </row>
    <row r="14" spans="1:6" s="58" customFormat="1" ht="14.25" customHeight="1" thickBot="1">
      <c r="A14" s="215" t="s">
        <v>126</v>
      </c>
      <c r="B14" s="216">
        <v>50</v>
      </c>
      <c r="C14" s="65">
        <v>5</v>
      </c>
      <c r="D14" s="69">
        <f t="shared" si="0"/>
        <v>10</v>
      </c>
      <c r="E14" s="69">
        <f t="shared" si="1"/>
        <v>0.8333333333333334</v>
      </c>
      <c r="F14" s="62"/>
    </row>
    <row r="15" spans="1:6" s="58" customFormat="1" ht="14.25" customHeight="1">
      <c r="A15" s="59" t="s">
        <v>40</v>
      </c>
      <c r="B15" s="60">
        <f>SUM(B7:B14)</f>
        <v>1122</v>
      </c>
      <c r="C15" s="68">
        <f>SUM(C7:C14)</f>
        <v>36</v>
      </c>
      <c r="D15" s="60">
        <f>SUM(D7:D14)</f>
        <v>704.4</v>
      </c>
      <c r="E15" s="60">
        <f>SUM(E7:E14)</f>
        <v>58.7</v>
      </c>
      <c r="F15" s="62"/>
    </row>
    <row r="16" spans="1:6" s="58" customFormat="1" ht="15">
      <c r="A16" s="61"/>
      <c r="B16" s="62"/>
      <c r="C16" s="66"/>
      <c r="D16" s="62"/>
      <c r="E16" s="62"/>
      <c r="F16" s="62"/>
    </row>
    <row r="17" spans="1:6" s="58" customFormat="1" ht="15">
      <c r="A17" s="61"/>
      <c r="B17" s="62"/>
      <c r="C17" s="66"/>
      <c r="D17" s="62"/>
      <c r="E17" s="62"/>
      <c r="F17" s="62"/>
    </row>
    <row r="18" spans="1:6" s="58" customFormat="1" ht="15">
      <c r="A18" s="61"/>
      <c r="B18" s="62"/>
      <c r="C18" s="66"/>
      <c r="D18" s="62"/>
      <c r="E18" s="62"/>
      <c r="F18" s="62"/>
    </row>
    <row r="19" spans="1:6" s="58" customFormat="1" ht="15">
      <c r="A19" s="61"/>
      <c r="B19" s="62"/>
      <c r="C19" s="66"/>
      <c r="D19" s="62"/>
      <c r="E19" s="62"/>
      <c r="F19" s="62"/>
    </row>
    <row r="20" spans="1:6" s="58" customFormat="1" ht="15">
      <c r="A20" s="63"/>
      <c r="B20" s="62"/>
      <c r="C20" s="66"/>
      <c r="D20" s="62"/>
      <c r="E20" s="62"/>
      <c r="F20" s="62"/>
    </row>
    <row r="24" ht="12.75">
      <c r="A24" s="51"/>
    </row>
    <row r="26" ht="12.75">
      <c r="A26" s="51"/>
    </row>
    <row r="27" ht="12.75">
      <c r="A27" s="51"/>
    </row>
    <row r="28" ht="12.75">
      <c r="A28" s="51"/>
    </row>
    <row r="30" ht="12.75">
      <c r="A30" s="51"/>
    </row>
    <row r="31" ht="12.75">
      <c r="A31" s="51"/>
    </row>
    <row r="32" ht="12.75">
      <c r="A32" s="51"/>
    </row>
    <row r="33" ht="12.75">
      <c r="A33" s="51"/>
    </row>
    <row r="34" ht="12.75">
      <c r="A34" s="51"/>
    </row>
    <row r="37" ht="12.75">
      <c r="A37" s="51"/>
    </row>
    <row r="38" ht="12.75">
      <c r="A38" s="51"/>
    </row>
    <row r="39" ht="12.75">
      <c r="A39" s="51"/>
    </row>
    <row r="49" ht="12.75">
      <c r="A49" s="51"/>
    </row>
    <row r="51" ht="12.75">
      <c r="A51" s="51"/>
    </row>
    <row r="52" ht="12.75">
      <c r="A52" s="51"/>
    </row>
    <row r="53" ht="12.75">
      <c r="A53" s="51"/>
    </row>
    <row r="54" ht="12.75">
      <c r="A54" s="51"/>
    </row>
    <row r="55" ht="12.75">
      <c r="A55" s="51"/>
    </row>
    <row r="56" ht="12.75">
      <c r="A56" s="51"/>
    </row>
    <row r="57" ht="12.75">
      <c r="A57" s="51"/>
    </row>
    <row r="58" ht="12.75">
      <c r="A58" s="51"/>
    </row>
    <row r="59" ht="12.75">
      <c r="A59" s="51"/>
    </row>
    <row r="60" ht="12.75">
      <c r="A60" s="51"/>
    </row>
    <row r="61" ht="12.75">
      <c r="A61" s="51"/>
    </row>
    <row r="62" ht="12.75">
      <c r="A62" s="51"/>
    </row>
    <row r="63" ht="12.75">
      <c r="A63" s="51"/>
    </row>
    <row r="64" ht="12.75">
      <c r="A64" s="51"/>
    </row>
    <row r="65" ht="12.75">
      <c r="A65" s="51"/>
    </row>
    <row r="66" ht="12.75">
      <c r="A66" s="51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F17" sqref="F17"/>
    </sheetView>
  </sheetViews>
  <sheetFormatPr defaultColWidth="11.421875" defaultRowHeight="15"/>
  <cols>
    <col min="1" max="1" width="21.57421875" style="2" customWidth="1"/>
    <col min="2" max="2" width="11.421875" style="3" customWidth="1"/>
    <col min="3" max="3" width="11.28125" style="6" customWidth="1"/>
    <col min="4" max="4" width="11.421875" style="6" customWidth="1"/>
    <col min="5" max="5" width="11.421875" style="7" customWidth="1"/>
    <col min="6" max="8" width="11.421875" style="6" customWidth="1"/>
    <col min="9" max="9" width="11.7109375" style="6" customWidth="1"/>
    <col min="10" max="10" width="11.421875" style="6" customWidth="1"/>
    <col min="11" max="16384" width="11.421875" style="2" customWidth="1"/>
  </cols>
  <sheetData>
    <row r="1" spans="1:4" ht="15.75">
      <c r="A1" s="197" t="s">
        <v>0</v>
      </c>
      <c r="B1" s="198"/>
      <c r="C1" s="199"/>
      <c r="D1" s="199"/>
    </row>
    <row r="2" spans="1:4" ht="16.5" thickBot="1">
      <c r="A2" s="197" t="s">
        <v>131</v>
      </c>
      <c r="B2" s="198"/>
      <c r="C2" s="199"/>
      <c r="D2" s="199"/>
    </row>
    <row r="3" ht="15" hidden="1"/>
    <row r="4" ht="15" hidden="1"/>
    <row r="5" spans="1:10" s="4" customFormat="1" ht="15.75" thickBot="1">
      <c r="A5" s="178"/>
      <c r="B5" s="179" t="s">
        <v>19</v>
      </c>
      <c r="C5" s="180" t="s">
        <v>13</v>
      </c>
      <c r="D5" s="180" t="s">
        <v>140</v>
      </c>
      <c r="E5" s="180" t="s">
        <v>141</v>
      </c>
      <c r="F5" s="180" t="s">
        <v>142</v>
      </c>
      <c r="G5" s="180" t="s">
        <v>143</v>
      </c>
      <c r="H5" s="180" t="s">
        <v>144</v>
      </c>
      <c r="I5" s="180" t="s">
        <v>145</v>
      </c>
      <c r="J5" s="181" t="s">
        <v>146</v>
      </c>
    </row>
    <row r="6" spans="1:10" ht="15">
      <c r="A6" s="200" t="s">
        <v>132</v>
      </c>
      <c r="B6" s="201">
        <v>2</v>
      </c>
      <c r="C6" s="202">
        <v>400</v>
      </c>
      <c r="D6" s="202">
        <f>B6*C6</f>
        <v>800</v>
      </c>
      <c r="E6" s="203">
        <v>10</v>
      </c>
      <c r="F6" s="202">
        <f>+$D$6/$E$6</f>
        <v>80</v>
      </c>
      <c r="G6" s="202">
        <f>+$D$6/$E$6</f>
        <v>80</v>
      </c>
      <c r="H6" s="202">
        <f>+$D$6/$E$6</f>
        <v>80</v>
      </c>
      <c r="I6" s="202">
        <f>+$D$6/$E$6</f>
        <v>80</v>
      </c>
      <c r="J6" s="204">
        <f>+$D$6/$E$6</f>
        <v>80</v>
      </c>
    </row>
    <row r="7" spans="1:10" ht="15">
      <c r="A7" s="182" t="s">
        <v>133</v>
      </c>
      <c r="B7" s="183">
        <v>2</v>
      </c>
      <c r="C7" s="184">
        <v>1000</v>
      </c>
      <c r="D7" s="184">
        <f aca="true" t="shared" si="0" ref="D7:D13">B7*C7</f>
        <v>2000</v>
      </c>
      <c r="E7" s="185">
        <v>5</v>
      </c>
      <c r="F7" s="184">
        <f>+$D$7/$E$7</f>
        <v>400</v>
      </c>
      <c r="G7" s="184">
        <f>+$D$7/$E$7</f>
        <v>400</v>
      </c>
      <c r="H7" s="184">
        <f>+$D$7/$E$7</f>
        <v>400</v>
      </c>
      <c r="I7" s="184">
        <f>+$D$7/$E$7</f>
        <v>400</v>
      </c>
      <c r="J7" s="186">
        <f>+$D$7/$E$7</f>
        <v>400</v>
      </c>
    </row>
    <row r="8" spans="1:10" ht="15">
      <c r="A8" s="182" t="s">
        <v>134</v>
      </c>
      <c r="B8" s="183">
        <v>1</v>
      </c>
      <c r="C8" s="184">
        <v>600</v>
      </c>
      <c r="D8" s="184">
        <f t="shared" si="0"/>
        <v>600</v>
      </c>
      <c r="E8" s="185">
        <v>10</v>
      </c>
      <c r="F8" s="184">
        <f>+$D$8/$E$8</f>
        <v>60</v>
      </c>
      <c r="G8" s="184">
        <f>+$D$8/$E$8</f>
        <v>60</v>
      </c>
      <c r="H8" s="184">
        <f>+$D$8/$E$8</f>
        <v>60</v>
      </c>
      <c r="I8" s="184">
        <f>+$D$8/$E$8</f>
        <v>60</v>
      </c>
      <c r="J8" s="186">
        <f>+$D$8/$E$8</f>
        <v>60</v>
      </c>
    </row>
    <row r="9" spans="1:10" ht="15">
      <c r="A9" s="182" t="s">
        <v>135</v>
      </c>
      <c r="B9" s="183">
        <v>1</v>
      </c>
      <c r="C9" s="184">
        <v>50</v>
      </c>
      <c r="D9" s="184">
        <f t="shared" si="0"/>
        <v>50</v>
      </c>
      <c r="E9" s="185">
        <v>10</v>
      </c>
      <c r="F9" s="184">
        <f>+$D$9/$E$9</f>
        <v>5</v>
      </c>
      <c r="G9" s="184">
        <f>+$D$9/$E$9</f>
        <v>5</v>
      </c>
      <c r="H9" s="184">
        <f>+$D$9/$E$9</f>
        <v>5</v>
      </c>
      <c r="I9" s="184">
        <f>+$D$9/$E$9</f>
        <v>5</v>
      </c>
      <c r="J9" s="186">
        <f>+$D$9/$E$9</f>
        <v>5</v>
      </c>
    </row>
    <row r="10" spans="1:10" ht="15">
      <c r="A10" s="182" t="s">
        <v>136</v>
      </c>
      <c r="B10" s="183">
        <v>1</v>
      </c>
      <c r="C10" s="184">
        <v>30</v>
      </c>
      <c r="D10" s="184">
        <f t="shared" si="0"/>
        <v>30</v>
      </c>
      <c r="E10" s="185">
        <v>10</v>
      </c>
      <c r="F10" s="184">
        <f>+$D$10/$E$10</f>
        <v>3</v>
      </c>
      <c r="G10" s="184">
        <f>+$D$10/$E$10</f>
        <v>3</v>
      </c>
      <c r="H10" s="184">
        <f>+$D$10/$E$10</f>
        <v>3</v>
      </c>
      <c r="I10" s="184">
        <f>+$D$10/$E$10</f>
        <v>3</v>
      </c>
      <c r="J10" s="186">
        <f>+$D$10/$E$10</f>
        <v>3</v>
      </c>
    </row>
    <row r="11" spans="1:10" ht="15">
      <c r="A11" s="182" t="s">
        <v>137</v>
      </c>
      <c r="B11" s="183">
        <v>7</v>
      </c>
      <c r="C11" s="184">
        <v>150</v>
      </c>
      <c r="D11" s="184">
        <f t="shared" si="0"/>
        <v>1050</v>
      </c>
      <c r="E11" s="185">
        <v>10</v>
      </c>
      <c r="F11" s="184">
        <f>+$D$11/$E$11</f>
        <v>105</v>
      </c>
      <c r="G11" s="184">
        <f>+$D$11/$E$11</f>
        <v>105</v>
      </c>
      <c r="H11" s="184">
        <f>+$D$11/$E$11</f>
        <v>105</v>
      </c>
      <c r="I11" s="184">
        <f>+$D$11/$E$11</f>
        <v>105</v>
      </c>
      <c r="J11" s="186">
        <f>+$D$11/$E$11</f>
        <v>105</v>
      </c>
    </row>
    <row r="12" spans="1:10" ht="15">
      <c r="A12" s="182" t="s">
        <v>138</v>
      </c>
      <c r="B12" s="183">
        <v>7</v>
      </c>
      <c r="C12" s="184">
        <v>500</v>
      </c>
      <c r="D12" s="184">
        <f t="shared" si="0"/>
        <v>3500</v>
      </c>
      <c r="E12" s="185">
        <v>3</v>
      </c>
      <c r="F12" s="184">
        <f>+$D$12/$E$12</f>
        <v>1166.6666666666667</v>
      </c>
      <c r="G12" s="184">
        <f>+$D$12/$E$12</f>
        <v>1166.6666666666667</v>
      </c>
      <c r="H12" s="184">
        <f>+$D$12/$E$12</f>
        <v>1166.6666666666667</v>
      </c>
      <c r="I12" s="184">
        <v>0</v>
      </c>
      <c r="J12" s="186">
        <v>0</v>
      </c>
    </row>
    <row r="13" spans="1:10" ht="15">
      <c r="A13" s="182" t="s">
        <v>139</v>
      </c>
      <c r="B13" s="183">
        <v>7</v>
      </c>
      <c r="C13" s="184">
        <v>200</v>
      </c>
      <c r="D13" s="184">
        <f t="shared" si="0"/>
        <v>1400</v>
      </c>
      <c r="E13" s="185">
        <v>3</v>
      </c>
      <c r="F13" s="184">
        <f>+$D$13/$E$13</f>
        <v>466.6666666666667</v>
      </c>
      <c r="G13" s="184">
        <f>+$D$13/$E$13</f>
        <v>466.6666666666667</v>
      </c>
      <c r="H13" s="184">
        <f>+$D$13/$E$13</f>
        <v>466.6666666666667</v>
      </c>
      <c r="I13" s="184">
        <v>0</v>
      </c>
      <c r="J13" s="186">
        <v>0</v>
      </c>
    </row>
    <row r="14" spans="1:10" ht="15.75" thickBot="1">
      <c r="A14" s="205"/>
      <c r="B14" s="206"/>
      <c r="C14" s="207"/>
      <c r="D14" s="207"/>
      <c r="E14" s="208"/>
      <c r="F14" s="207"/>
      <c r="G14" s="207"/>
      <c r="H14" s="207"/>
      <c r="I14" s="207"/>
      <c r="J14" s="209"/>
    </row>
    <row r="15" spans="1:10" ht="15.75" thickBot="1">
      <c r="A15" s="187"/>
      <c r="B15" s="188"/>
      <c r="C15" s="189"/>
      <c r="D15" s="189">
        <f aca="true" t="shared" si="1" ref="D15:J15">SUM(D6:D14)</f>
        <v>9430</v>
      </c>
      <c r="E15" s="190">
        <f t="shared" si="1"/>
        <v>61</v>
      </c>
      <c r="F15" s="189">
        <f t="shared" si="1"/>
        <v>2286.3333333333335</v>
      </c>
      <c r="G15" s="189">
        <f t="shared" si="1"/>
        <v>2286.3333333333335</v>
      </c>
      <c r="H15" s="189">
        <f t="shared" si="1"/>
        <v>2286.3333333333335</v>
      </c>
      <c r="I15" s="189">
        <f t="shared" si="1"/>
        <v>653</v>
      </c>
      <c r="J15" s="191">
        <f t="shared" si="1"/>
        <v>653</v>
      </c>
    </row>
    <row r="16" ht="15.75" thickBot="1"/>
    <row r="17" spans="1:10" s="1" customFormat="1" ht="15.75" thickBot="1">
      <c r="A17" s="192" t="s">
        <v>147</v>
      </c>
      <c r="B17" s="193"/>
      <c r="C17" s="194"/>
      <c r="D17" s="194">
        <f>D15+'G. CONST.'!B15</f>
        <v>10552</v>
      </c>
      <c r="E17" s="195"/>
      <c r="F17" s="194">
        <f>F15/12</f>
        <v>190.5277777777778</v>
      </c>
      <c r="G17" s="194">
        <f>G15/12</f>
        <v>190.5277777777778</v>
      </c>
      <c r="H17" s="194">
        <f>H15/12</f>
        <v>190.5277777777778</v>
      </c>
      <c r="I17" s="194">
        <f>I15/12</f>
        <v>54.416666666666664</v>
      </c>
      <c r="J17" s="196">
        <f>J15/12</f>
        <v>54.416666666666664</v>
      </c>
    </row>
    <row r="20" ht="15">
      <c r="D20" s="6">
        <f>D15+'G. CONST.'!B15</f>
        <v>10552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zoomScale="106" zoomScaleNormal="106"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0" sqref="C30"/>
    </sheetView>
  </sheetViews>
  <sheetFormatPr defaultColWidth="11.421875" defaultRowHeight="15"/>
  <cols>
    <col min="1" max="1" width="28.8515625" style="265" customWidth="1"/>
    <col min="2" max="2" width="10.140625" style="265" customWidth="1"/>
    <col min="3" max="3" width="9.00390625" style="265" customWidth="1"/>
    <col min="4" max="4" width="7.8515625" style="265" customWidth="1"/>
    <col min="5" max="15" width="0" style="265" hidden="1" customWidth="1"/>
    <col min="16" max="16" width="8.421875" style="265" bestFit="1" customWidth="1"/>
    <col min="17" max="17" width="10.00390625" style="265" customWidth="1"/>
    <col min="18" max="18" width="9.7109375" style="265" customWidth="1"/>
    <col min="19" max="19" width="8.8515625" style="265" customWidth="1"/>
    <col min="20" max="20" width="9.00390625" style="265" customWidth="1"/>
    <col min="21" max="21" width="0" style="265" hidden="1" customWidth="1"/>
    <col min="22" max="22" width="11.140625" style="266" customWidth="1"/>
    <col min="23" max="23" width="6.57421875" style="265" customWidth="1"/>
    <col min="24" max="16384" width="11.421875" style="265" customWidth="1"/>
  </cols>
  <sheetData>
    <row r="1" ht="12">
      <c r="A1" s="264" t="s">
        <v>0</v>
      </c>
    </row>
    <row r="2" ht="12">
      <c r="A2" s="264" t="s">
        <v>2</v>
      </c>
    </row>
    <row r="3" spans="1:22" ht="12">
      <c r="A3" s="267"/>
      <c r="V3" s="279"/>
    </row>
    <row r="4" spans="2:22" s="268" customFormat="1" ht="12">
      <c r="B4" s="269" t="s">
        <v>13</v>
      </c>
      <c r="C4" s="269" t="s">
        <v>19</v>
      </c>
      <c r="D4" s="269" t="s">
        <v>20</v>
      </c>
      <c r="E4" s="269" t="s">
        <v>21</v>
      </c>
      <c r="F4" s="269" t="s">
        <v>22</v>
      </c>
      <c r="G4" s="269" t="s">
        <v>23</v>
      </c>
      <c r="H4" s="269" t="s">
        <v>24</v>
      </c>
      <c r="I4" s="269" t="s">
        <v>25</v>
      </c>
      <c r="J4" s="269" t="s">
        <v>26</v>
      </c>
      <c r="K4" s="269" t="s">
        <v>27</v>
      </c>
      <c r="L4" s="269" t="s">
        <v>28</v>
      </c>
      <c r="M4" s="269" t="s">
        <v>29</v>
      </c>
      <c r="N4" s="269" t="s">
        <v>30</v>
      </c>
      <c r="O4" s="269" t="s">
        <v>31</v>
      </c>
      <c r="P4" s="270" t="s">
        <v>112</v>
      </c>
      <c r="Q4" s="270" t="s">
        <v>113</v>
      </c>
      <c r="R4" s="270" t="s">
        <v>114</v>
      </c>
      <c r="S4" s="270" t="s">
        <v>115</v>
      </c>
      <c r="T4" s="270" t="s">
        <v>116</v>
      </c>
      <c r="V4" s="280" t="s">
        <v>155</v>
      </c>
    </row>
    <row r="5" spans="1:22" ht="12">
      <c r="A5" s="275" t="s">
        <v>4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V5" s="279"/>
    </row>
    <row r="6" spans="1:22" ht="12">
      <c r="A6" s="276" t="s">
        <v>5</v>
      </c>
      <c r="B6" s="271">
        <f>'ANALISIS COSTOS'!O58</f>
        <v>140</v>
      </c>
      <c r="C6" s="271">
        <f>ROUND('ANALISIS MERCADO'!M11/12,0)</f>
        <v>1</v>
      </c>
      <c r="D6" s="271">
        <f>B6*C6</f>
        <v>140</v>
      </c>
      <c r="E6" s="271">
        <f>D6</f>
        <v>140</v>
      </c>
      <c r="F6" s="271">
        <f aca="true" t="shared" si="0" ref="F6:O6">E6</f>
        <v>140</v>
      </c>
      <c r="G6" s="271">
        <f t="shared" si="0"/>
        <v>140</v>
      </c>
      <c r="H6" s="271">
        <f t="shared" si="0"/>
        <v>140</v>
      </c>
      <c r="I6" s="271">
        <f t="shared" si="0"/>
        <v>140</v>
      </c>
      <c r="J6" s="271">
        <f t="shared" si="0"/>
        <v>140</v>
      </c>
      <c r="K6" s="271">
        <f t="shared" si="0"/>
        <v>140</v>
      </c>
      <c r="L6" s="271">
        <f t="shared" si="0"/>
        <v>140</v>
      </c>
      <c r="M6" s="271">
        <f t="shared" si="0"/>
        <v>140</v>
      </c>
      <c r="N6" s="271">
        <f t="shared" si="0"/>
        <v>140</v>
      </c>
      <c r="O6" s="271">
        <f t="shared" si="0"/>
        <v>140</v>
      </c>
      <c r="P6" s="271">
        <f>SUM(D6:O6)</f>
        <v>1680</v>
      </c>
      <c r="Q6" s="271">
        <f aca="true" t="shared" si="1" ref="Q6:T8">P6*1.04</f>
        <v>1747.2</v>
      </c>
      <c r="R6" s="271">
        <f t="shared" si="1"/>
        <v>1817.0880000000002</v>
      </c>
      <c r="S6" s="271">
        <f t="shared" si="1"/>
        <v>1889.7715200000002</v>
      </c>
      <c r="T6" s="271">
        <f t="shared" si="1"/>
        <v>1965.3623808000002</v>
      </c>
      <c r="V6" s="279">
        <f>C6/$C$23</f>
        <v>0.015384615384615385</v>
      </c>
    </row>
    <row r="7" spans="1:22" ht="12">
      <c r="A7" s="276" t="s">
        <v>6</v>
      </c>
      <c r="B7" s="271">
        <f>'ANALISIS COSTOS'!O59</f>
        <v>90</v>
      </c>
      <c r="C7" s="271">
        <f>ROUND('ANALISIS MERCADO'!M23/12,0)</f>
        <v>0</v>
      </c>
      <c r="D7" s="271">
        <f>B7*C7</f>
        <v>0</v>
      </c>
      <c r="E7" s="271">
        <f aca="true" t="shared" si="2" ref="E7:O8">D7</f>
        <v>0</v>
      </c>
      <c r="F7" s="271">
        <f t="shared" si="2"/>
        <v>0</v>
      </c>
      <c r="G7" s="271">
        <f t="shared" si="2"/>
        <v>0</v>
      </c>
      <c r="H7" s="271">
        <f t="shared" si="2"/>
        <v>0</v>
      </c>
      <c r="I7" s="271">
        <f t="shared" si="2"/>
        <v>0</v>
      </c>
      <c r="J7" s="271">
        <f t="shared" si="2"/>
        <v>0</v>
      </c>
      <c r="K7" s="271">
        <f t="shared" si="2"/>
        <v>0</v>
      </c>
      <c r="L7" s="271">
        <f t="shared" si="2"/>
        <v>0</v>
      </c>
      <c r="M7" s="271">
        <f t="shared" si="2"/>
        <v>0</v>
      </c>
      <c r="N7" s="271">
        <f t="shared" si="2"/>
        <v>0</v>
      </c>
      <c r="O7" s="271">
        <f t="shared" si="2"/>
        <v>0</v>
      </c>
      <c r="P7" s="271">
        <f>SUM(D7:O7)</f>
        <v>0</v>
      </c>
      <c r="Q7" s="271">
        <f t="shared" si="1"/>
        <v>0</v>
      </c>
      <c r="R7" s="271">
        <f t="shared" si="1"/>
        <v>0</v>
      </c>
      <c r="S7" s="271">
        <f t="shared" si="1"/>
        <v>0</v>
      </c>
      <c r="T7" s="271">
        <f t="shared" si="1"/>
        <v>0</v>
      </c>
      <c r="V7" s="279">
        <f>C7/$C$23</f>
        <v>0</v>
      </c>
    </row>
    <row r="8" spans="1:22" ht="12">
      <c r="A8" s="276" t="s">
        <v>7</v>
      </c>
      <c r="B8" s="271">
        <f>'ANALISIS COSTOS'!O60</f>
        <v>100</v>
      </c>
      <c r="C8" s="271">
        <f>ROUND('ANALISIS MERCADO'!M35/12,0)</f>
        <v>1</v>
      </c>
      <c r="D8" s="271">
        <f>B8*C8</f>
        <v>100</v>
      </c>
      <c r="E8" s="271">
        <f t="shared" si="2"/>
        <v>100</v>
      </c>
      <c r="F8" s="271">
        <f t="shared" si="2"/>
        <v>100</v>
      </c>
      <c r="G8" s="271">
        <f t="shared" si="2"/>
        <v>100</v>
      </c>
      <c r="H8" s="271">
        <f t="shared" si="2"/>
        <v>100</v>
      </c>
      <c r="I8" s="271">
        <f t="shared" si="2"/>
        <v>100</v>
      </c>
      <c r="J8" s="271">
        <f t="shared" si="2"/>
        <v>100</v>
      </c>
      <c r="K8" s="271">
        <f t="shared" si="2"/>
        <v>100</v>
      </c>
      <c r="L8" s="271">
        <f t="shared" si="2"/>
        <v>100</v>
      </c>
      <c r="M8" s="271">
        <f t="shared" si="2"/>
        <v>100</v>
      </c>
      <c r="N8" s="271">
        <f t="shared" si="2"/>
        <v>100</v>
      </c>
      <c r="O8" s="271">
        <f t="shared" si="2"/>
        <v>100</v>
      </c>
      <c r="P8" s="271">
        <f>SUM(D8:O8)</f>
        <v>1200</v>
      </c>
      <c r="Q8" s="271">
        <f t="shared" si="1"/>
        <v>1248</v>
      </c>
      <c r="R8" s="271">
        <f t="shared" si="1"/>
        <v>1297.92</v>
      </c>
      <c r="S8" s="271">
        <f t="shared" si="1"/>
        <v>1349.8368</v>
      </c>
      <c r="T8" s="271">
        <f t="shared" si="1"/>
        <v>1403.8302720000002</v>
      </c>
      <c r="V8" s="279">
        <f>C8/$C$23</f>
        <v>0.015384615384615385</v>
      </c>
    </row>
    <row r="9" spans="1:22" ht="12">
      <c r="A9" s="276"/>
      <c r="B9" s="271">
        <f>SUM(B6:B8)</f>
        <v>330</v>
      </c>
      <c r="C9" s="272">
        <f aca="true" t="shared" si="3" ref="C9:T9">SUM(C6:C8)</f>
        <v>2</v>
      </c>
      <c r="D9" s="272">
        <f t="shared" si="3"/>
        <v>240</v>
      </c>
      <c r="E9" s="272">
        <f t="shared" si="3"/>
        <v>240</v>
      </c>
      <c r="F9" s="272">
        <f t="shared" si="3"/>
        <v>240</v>
      </c>
      <c r="G9" s="272">
        <f t="shared" si="3"/>
        <v>240</v>
      </c>
      <c r="H9" s="272">
        <f t="shared" si="3"/>
        <v>240</v>
      </c>
      <c r="I9" s="272">
        <f t="shared" si="3"/>
        <v>240</v>
      </c>
      <c r="J9" s="272">
        <f t="shared" si="3"/>
        <v>240</v>
      </c>
      <c r="K9" s="272">
        <f t="shared" si="3"/>
        <v>240</v>
      </c>
      <c r="L9" s="272">
        <f t="shared" si="3"/>
        <v>240</v>
      </c>
      <c r="M9" s="272">
        <f t="shared" si="3"/>
        <v>240</v>
      </c>
      <c r="N9" s="272">
        <f t="shared" si="3"/>
        <v>240</v>
      </c>
      <c r="O9" s="272">
        <f t="shared" si="3"/>
        <v>240</v>
      </c>
      <c r="P9" s="272">
        <f t="shared" si="3"/>
        <v>2880</v>
      </c>
      <c r="Q9" s="272">
        <f t="shared" si="3"/>
        <v>2995.2</v>
      </c>
      <c r="R9" s="272">
        <f t="shared" si="3"/>
        <v>3115.0080000000003</v>
      </c>
      <c r="S9" s="272">
        <f t="shared" si="3"/>
        <v>3239.6083200000003</v>
      </c>
      <c r="T9" s="272">
        <f t="shared" si="3"/>
        <v>3369.1926528000004</v>
      </c>
      <c r="V9" s="281">
        <f>SUM(V6:V8)</f>
        <v>0.03076923076923077</v>
      </c>
    </row>
    <row r="10" spans="1:22" ht="12">
      <c r="A10" s="275" t="s">
        <v>8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V10" s="279"/>
    </row>
    <row r="11" spans="1:22" ht="12">
      <c r="A11" s="276" t="s">
        <v>9</v>
      </c>
      <c r="B11" s="271">
        <f>'ANALISIS COSTOS'!O64</f>
        <v>300</v>
      </c>
      <c r="C11" s="271">
        <f>ROUND('ANALISIS MERCADO'!M47/12,0)</f>
        <v>6</v>
      </c>
      <c r="D11" s="271">
        <f>B11*C11</f>
        <v>1800</v>
      </c>
      <c r="E11" s="271">
        <f>D11</f>
        <v>1800</v>
      </c>
      <c r="F11" s="271">
        <f aca="true" t="shared" si="4" ref="F11:O11">E11</f>
        <v>1800</v>
      </c>
      <c r="G11" s="271">
        <f t="shared" si="4"/>
        <v>1800</v>
      </c>
      <c r="H11" s="271">
        <f t="shared" si="4"/>
        <v>1800</v>
      </c>
      <c r="I11" s="271">
        <f t="shared" si="4"/>
        <v>1800</v>
      </c>
      <c r="J11" s="271">
        <f t="shared" si="4"/>
        <v>1800</v>
      </c>
      <c r="K11" s="271">
        <f t="shared" si="4"/>
        <v>1800</v>
      </c>
      <c r="L11" s="271">
        <f t="shared" si="4"/>
        <v>1800</v>
      </c>
      <c r="M11" s="271">
        <f t="shared" si="4"/>
        <v>1800</v>
      </c>
      <c r="N11" s="271">
        <f t="shared" si="4"/>
        <v>1800</v>
      </c>
      <c r="O11" s="271">
        <f t="shared" si="4"/>
        <v>1800</v>
      </c>
      <c r="P11" s="271">
        <f>SUM(D11:O11)</f>
        <v>21600</v>
      </c>
      <c r="Q11" s="271">
        <f aca="true" t="shared" si="5" ref="Q11:T12">P11*1.04</f>
        <v>22464</v>
      </c>
      <c r="R11" s="271">
        <f t="shared" si="5"/>
        <v>23362.56</v>
      </c>
      <c r="S11" s="271">
        <f t="shared" si="5"/>
        <v>24297.062400000003</v>
      </c>
      <c r="T11" s="271">
        <f t="shared" si="5"/>
        <v>25268.944896000005</v>
      </c>
      <c r="V11" s="279">
        <v>0.11</v>
      </c>
    </row>
    <row r="12" spans="1:22" ht="12">
      <c r="A12" s="276" t="s">
        <v>10</v>
      </c>
      <c r="B12" s="271">
        <f>'ANALISIS COSTOS'!O65</f>
        <v>300</v>
      </c>
      <c r="C12" s="271">
        <f>ROUND('ANALISIS MERCADO'!M59/12,0)</f>
        <v>1</v>
      </c>
      <c r="D12" s="271">
        <f>B12*C12</f>
        <v>300</v>
      </c>
      <c r="E12" s="271">
        <f>D12</f>
        <v>300</v>
      </c>
      <c r="F12" s="271">
        <f aca="true" t="shared" si="6" ref="F12:O12">E12</f>
        <v>300</v>
      </c>
      <c r="G12" s="271">
        <f t="shared" si="6"/>
        <v>300</v>
      </c>
      <c r="H12" s="271">
        <f t="shared" si="6"/>
        <v>300</v>
      </c>
      <c r="I12" s="271">
        <f t="shared" si="6"/>
        <v>300</v>
      </c>
      <c r="J12" s="271">
        <f t="shared" si="6"/>
        <v>300</v>
      </c>
      <c r="K12" s="271">
        <f t="shared" si="6"/>
        <v>300</v>
      </c>
      <c r="L12" s="271">
        <f t="shared" si="6"/>
        <v>300</v>
      </c>
      <c r="M12" s="271">
        <f t="shared" si="6"/>
        <v>300</v>
      </c>
      <c r="N12" s="271">
        <f t="shared" si="6"/>
        <v>300</v>
      </c>
      <c r="O12" s="271">
        <f t="shared" si="6"/>
        <v>300</v>
      </c>
      <c r="P12" s="271">
        <f>SUM(D12:O12)</f>
        <v>3600</v>
      </c>
      <c r="Q12" s="271">
        <f t="shared" si="5"/>
        <v>3744</v>
      </c>
      <c r="R12" s="271">
        <f t="shared" si="5"/>
        <v>3893.76</v>
      </c>
      <c r="S12" s="271">
        <f t="shared" si="5"/>
        <v>4049.5104000000006</v>
      </c>
      <c r="T12" s="271">
        <f t="shared" si="5"/>
        <v>4211.490816</v>
      </c>
      <c r="V12" s="279">
        <f>C12/$C$23</f>
        <v>0.015384615384615385</v>
      </c>
    </row>
    <row r="13" spans="1:22" ht="12">
      <c r="A13" s="276"/>
      <c r="B13" s="271">
        <f>SUM(B11:B12)</f>
        <v>600</v>
      </c>
      <c r="C13" s="272">
        <f aca="true" t="shared" si="7" ref="C13:T13">SUM(C11:C12)</f>
        <v>7</v>
      </c>
      <c r="D13" s="272">
        <f t="shared" si="7"/>
        <v>2100</v>
      </c>
      <c r="E13" s="272">
        <f t="shared" si="7"/>
        <v>2100</v>
      </c>
      <c r="F13" s="272">
        <f t="shared" si="7"/>
        <v>2100</v>
      </c>
      <c r="G13" s="272">
        <f t="shared" si="7"/>
        <v>2100</v>
      </c>
      <c r="H13" s="272">
        <f t="shared" si="7"/>
        <v>2100</v>
      </c>
      <c r="I13" s="272">
        <f t="shared" si="7"/>
        <v>2100</v>
      </c>
      <c r="J13" s="272">
        <f t="shared" si="7"/>
        <v>2100</v>
      </c>
      <c r="K13" s="272">
        <f t="shared" si="7"/>
        <v>2100</v>
      </c>
      <c r="L13" s="272">
        <f t="shared" si="7"/>
        <v>2100</v>
      </c>
      <c r="M13" s="272">
        <f t="shared" si="7"/>
        <v>2100</v>
      </c>
      <c r="N13" s="272">
        <f t="shared" si="7"/>
        <v>2100</v>
      </c>
      <c r="O13" s="272">
        <f t="shared" si="7"/>
        <v>2100</v>
      </c>
      <c r="P13" s="272">
        <f t="shared" si="7"/>
        <v>25200</v>
      </c>
      <c r="Q13" s="272">
        <f t="shared" si="7"/>
        <v>26208</v>
      </c>
      <c r="R13" s="272">
        <f t="shared" si="7"/>
        <v>27256.32</v>
      </c>
      <c r="S13" s="272">
        <f t="shared" si="7"/>
        <v>28346.5728</v>
      </c>
      <c r="T13" s="272">
        <f t="shared" si="7"/>
        <v>29480.435712000006</v>
      </c>
      <c r="V13" s="281">
        <f>SUM(V11:V12)</f>
        <v>0.12538461538461537</v>
      </c>
    </row>
    <row r="14" spans="1:22" ht="12">
      <c r="A14" s="275" t="s">
        <v>11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V14" s="279"/>
    </row>
    <row r="15" spans="1:22" ht="12">
      <c r="A15" s="276" t="s">
        <v>15</v>
      </c>
      <c r="B15" s="271">
        <v>60</v>
      </c>
      <c r="C15" s="271">
        <f>ROUND('ANALISIS MERCADO'!M71/12,2)</f>
        <v>8</v>
      </c>
      <c r="D15" s="271">
        <f>B15*C15</f>
        <v>480</v>
      </c>
      <c r="E15" s="271">
        <f>D15</f>
        <v>480</v>
      </c>
      <c r="F15" s="271">
        <f>E15</f>
        <v>480</v>
      </c>
      <c r="G15" s="271">
        <f>F15</f>
        <v>480</v>
      </c>
      <c r="H15" s="271">
        <f aca="true" t="shared" si="8" ref="H15:O15">G15</f>
        <v>480</v>
      </c>
      <c r="I15" s="271">
        <f t="shared" si="8"/>
        <v>480</v>
      </c>
      <c r="J15" s="271">
        <f t="shared" si="8"/>
        <v>480</v>
      </c>
      <c r="K15" s="271">
        <f t="shared" si="8"/>
        <v>480</v>
      </c>
      <c r="L15" s="271">
        <f t="shared" si="8"/>
        <v>480</v>
      </c>
      <c r="M15" s="271">
        <f t="shared" si="8"/>
        <v>480</v>
      </c>
      <c r="N15" s="271">
        <f t="shared" si="8"/>
        <v>480</v>
      </c>
      <c r="O15" s="271">
        <f t="shared" si="8"/>
        <v>480</v>
      </c>
      <c r="P15" s="271">
        <f aca="true" t="shared" si="9" ref="P15:P21">SUM(D15:O15)</f>
        <v>5760</v>
      </c>
      <c r="Q15" s="271">
        <f aca="true" t="shared" si="10" ref="Q15:R21">P15*1.04</f>
        <v>5990.400000000001</v>
      </c>
      <c r="R15" s="271">
        <f t="shared" si="10"/>
        <v>6230.0160000000005</v>
      </c>
      <c r="S15" s="271">
        <f aca="true" t="shared" si="11" ref="S15:T21">R15*1.04</f>
        <v>6479.216640000001</v>
      </c>
      <c r="T15" s="271">
        <f t="shared" si="11"/>
        <v>6738.385305600001</v>
      </c>
      <c r="V15" s="279">
        <v>0.1</v>
      </c>
    </row>
    <row r="16" spans="1:22" ht="12">
      <c r="A16" s="276" t="s">
        <v>14</v>
      </c>
      <c r="B16" s="271">
        <v>65</v>
      </c>
      <c r="C16" s="271">
        <f>ROUND('ANALISIS MERCADO'!M71/12,2)</f>
        <v>8</v>
      </c>
      <c r="D16" s="271">
        <f aca="true" t="shared" si="12" ref="D16:D21">B16*C16</f>
        <v>520</v>
      </c>
      <c r="E16" s="271">
        <f aca="true" t="shared" si="13" ref="E16:F21">D16</f>
        <v>520</v>
      </c>
      <c r="F16" s="271">
        <f t="shared" si="13"/>
        <v>520</v>
      </c>
      <c r="G16" s="271">
        <f aca="true" t="shared" si="14" ref="G16:O16">F16</f>
        <v>520</v>
      </c>
      <c r="H16" s="271">
        <f t="shared" si="14"/>
        <v>520</v>
      </c>
      <c r="I16" s="271">
        <f t="shared" si="14"/>
        <v>520</v>
      </c>
      <c r="J16" s="271">
        <f t="shared" si="14"/>
        <v>520</v>
      </c>
      <c r="K16" s="271">
        <f t="shared" si="14"/>
        <v>520</v>
      </c>
      <c r="L16" s="271">
        <f t="shared" si="14"/>
        <v>520</v>
      </c>
      <c r="M16" s="271">
        <f t="shared" si="14"/>
        <v>520</v>
      </c>
      <c r="N16" s="271">
        <f t="shared" si="14"/>
        <v>520</v>
      </c>
      <c r="O16" s="271">
        <f t="shared" si="14"/>
        <v>520</v>
      </c>
      <c r="P16" s="271">
        <f t="shared" si="9"/>
        <v>6240</v>
      </c>
      <c r="Q16" s="271">
        <f t="shared" si="10"/>
        <v>6489.6</v>
      </c>
      <c r="R16" s="271">
        <f t="shared" si="10"/>
        <v>6749.184</v>
      </c>
      <c r="S16" s="271">
        <f t="shared" si="11"/>
        <v>7019.151360000001</v>
      </c>
      <c r="T16" s="271">
        <f t="shared" si="11"/>
        <v>7299.917414400001</v>
      </c>
      <c r="V16" s="279">
        <v>0.1</v>
      </c>
    </row>
    <row r="17" spans="1:22" ht="12">
      <c r="A17" s="276" t="s">
        <v>12</v>
      </c>
      <c r="B17" s="271">
        <v>60</v>
      </c>
      <c r="C17" s="271">
        <f>ROUND('ANALISIS MERCADO'!M71/12,2)</f>
        <v>8</v>
      </c>
      <c r="D17" s="271">
        <f t="shared" si="12"/>
        <v>480</v>
      </c>
      <c r="E17" s="271">
        <f t="shared" si="13"/>
        <v>480</v>
      </c>
      <c r="F17" s="271">
        <f t="shared" si="13"/>
        <v>480</v>
      </c>
      <c r="G17" s="271">
        <f aca="true" t="shared" si="15" ref="G17:O17">F17</f>
        <v>480</v>
      </c>
      <c r="H17" s="271">
        <f t="shared" si="15"/>
        <v>480</v>
      </c>
      <c r="I17" s="271">
        <f t="shared" si="15"/>
        <v>480</v>
      </c>
      <c r="J17" s="271">
        <f t="shared" si="15"/>
        <v>480</v>
      </c>
      <c r="K17" s="271">
        <f t="shared" si="15"/>
        <v>480</v>
      </c>
      <c r="L17" s="271">
        <f t="shared" si="15"/>
        <v>480</v>
      </c>
      <c r="M17" s="271">
        <f t="shared" si="15"/>
        <v>480</v>
      </c>
      <c r="N17" s="271">
        <f t="shared" si="15"/>
        <v>480</v>
      </c>
      <c r="O17" s="271">
        <f t="shared" si="15"/>
        <v>480</v>
      </c>
      <c r="P17" s="271">
        <f t="shared" si="9"/>
        <v>5760</v>
      </c>
      <c r="Q17" s="271">
        <f t="shared" si="10"/>
        <v>5990.400000000001</v>
      </c>
      <c r="R17" s="271">
        <f t="shared" si="10"/>
        <v>6230.0160000000005</v>
      </c>
      <c r="S17" s="271">
        <f t="shared" si="11"/>
        <v>6479.216640000001</v>
      </c>
      <c r="T17" s="271">
        <f t="shared" si="11"/>
        <v>6738.385305600001</v>
      </c>
      <c r="V17" s="279">
        <v>0.1</v>
      </c>
    </row>
    <row r="18" spans="1:22" ht="12">
      <c r="A18" s="276" t="s">
        <v>16</v>
      </c>
      <c r="B18" s="271">
        <v>55</v>
      </c>
      <c r="C18" s="271">
        <f>ROUND('ANALISIS MERCADO'!M71/12,2)</f>
        <v>8</v>
      </c>
      <c r="D18" s="271">
        <f t="shared" si="12"/>
        <v>440</v>
      </c>
      <c r="E18" s="271">
        <f t="shared" si="13"/>
        <v>440</v>
      </c>
      <c r="F18" s="271">
        <f t="shared" si="13"/>
        <v>440</v>
      </c>
      <c r="G18" s="271">
        <f aca="true" t="shared" si="16" ref="G18:O18">F18</f>
        <v>440</v>
      </c>
      <c r="H18" s="271">
        <f t="shared" si="16"/>
        <v>440</v>
      </c>
      <c r="I18" s="271">
        <f t="shared" si="16"/>
        <v>440</v>
      </c>
      <c r="J18" s="271">
        <f t="shared" si="16"/>
        <v>440</v>
      </c>
      <c r="K18" s="271">
        <f t="shared" si="16"/>
        <v>440</v>
      </c>
      <c r="L18" s="271">
        <f t="shared" si="16"/>
        <v>440</v>
      </c>
      <c r="M18" s="271">
        <f t="shared" si="16"/>
        <v>440</v>
      </c>
      <c r="N18" s="271">
        <f t="shared" si="16"/>
        <v>440</v>
      </c>
      <c r="O18" s="271">
        <f t="shared" si="16"/>
        <v>440</v>
      </c>
      <c r="P18" s="271">
        <f t="shared" si="9"/>
        <v>5280</v>
      </c>
      <c r="Q18" s="271">
        <f t="shared" si="10"/>
        <v>5491.2</v>
      </c>
      <c r="R18" s="271">
        <f t="shared" si="10"/>
        <v>5710.848</v>
      </c>
      <c r="S18" s="271">
        <f t="shared" si="11"/>
        <v>5939.28192</v>
      </c>
      <c r="T18" s="271">
        <f t="shared" si="11"/>
        <v>6176.853196800001</v>
      </c>
      <c r="V18" s="279">
        <v>0.1</v>
      </c>
    </row>
    <row r="19" spans="1:22" ht="12">
      <c r="A19" s="276" t="s">
        <v>17</v>
      </c>
      <c r="B19" s="271">
        <v>55</v>
      </c>
      <c r="C19" s="271">
        <f>ROUND('ANALISIS MERCADO'!M71/12,2)</f>
        <v>8</v>
      </c>
      <c r="D19" s="271">
        <f t="shared" si="12"/>
        <v>440</v>
      </c>
      <c r="E19" s="271">
        <f t="shared" si="13"/>
        <v>440</v>
      </c>
      <c r="F19" s="271">
        <f t="shared" si="13"/>
        <v>440</v>
      </c>
      <c r="G19" s="271">
        <f aca="true" t="shared" si="17" ref="G19:O19">F19</f>
        <v>440</v>
      </c>
      <c r="H19" s="271">
        <f t="shared" si="17"/>
        <v>440</v>
      </c>
      <c r="I19" s="271">
        <f t="shared" si="17"/>
        <v>440</v>
      </c>
      <c r="J19" s="271">
        <f t="shared" si="17"/>
        <v>440</v>
      </c>
      <c r="K19" s="271">
        <f t="shared" si="17"/>
        <v>440</v>
      </c>
      <c r="L19" s="271">
        <f t="shared" si="17"/>
        <v>440</v>
      </c>
      <c r="M19" s="271">
        <f t="shared" si="17"/>
        <v>440</v>
      </c>
      <c r="N19" s="271">
        <f t="shared" si="17"/>
        <v>440</v>
      </c>
      <c r="O19" s="271">
        <f t="shared" si="17"/>
        <v>440</v>
      </c>
      <c r="P19" s="271">
        <f t="shared" si="9"/>
        <v>5280</v>
      </c>
      <c r="Q19" s="271">
        <f t="shared" si="10"/>
        <v>5491.2</v>
      </c>
      <c r="R19" s="271">
        <f t="shared" si="10"/>
        <v>5710.848</v>
      </c>
      <c r="S19" s="271">
        <f t="shared" si="11"/>
        <v>5939.28192</v>
      </c>
      <c r="T19" s="271">
        <f t="shared" si="11"/>
        <v>6176.853196800001</v>
      </c>
      <c r="V19" s="279">
        <v>0.1</v>
      </c>
    </row>
    <row r="20" spans="1:22" ht="12">
      <c r="A20" s="276" t="s">
        <v>18</v>
      </c>
      <c r="B20" s="271">
        <v>55</v>
      </c>
      <c r="C20" s="271">
        <v>8</v>
      </c>
      <c r="D20" s="271">
        <f>B20*C20</f>
        <v>440</v>
      </c>
      <c r="E20" s="271">
        <f>D20</f>
        <v>440</v>
      </c>
      <c r="F20" s="271">
        <f aca="true" t="shared" si="18" ref="F20:O20">E20</f>
        <v>440</v>
      </c>
      <c r="G20" s="271">
        <f t="shared" si="18"/>
        <v>440</v>
      </c>
      <c r="H20" s="271">
        <f t="shared" si="18"/>
        <v>440</v>
      </c>
      <c r="I20" s="271">
        <f t="shared" si="18"/>
        <v>440</v>
      </c>
      <c r="J20" s="271">
        <f t="shared" si="18"/>
        <v>440</v>
      </c>
      <c r="K20" s="271">
        <f t="shared" si="18"/>
        <v>440</v>
      </c>
      <c r="L20" s="271">
        <f t="shared" si="18"/>
        <v>440</v>
      </c>
      <c r="M20" s="271">
        <f t="shared" si="18"/>
        <v>440</v>
      </c>
      <c r="N20" s="271">
        <f t="shared" si="18"/>
        <v>440</v>
      </c>
      <c r="O20" s="271">
        <f t="shared" si="18"/>
        <v>440</v>
      </c>
      <c r="P20" s="271">
        <f t="shared" si="9"/>
        <v>5280</v>
      </c>
      <c r="Q20" s="271">
        <f t="shared" si="10"/>
        <v>5491.2</v>
      </c>
      <c r="R20" s="271">
        <f t="shared" si="10"/>
        <v>5710.848</v>
      </c>
      <c r="S20" s="271">
        <f t="shared" si="11"/>
        <v>5939.28192</v>
      </c>
      <c r="T20" s="271">
        <f t="shared" si="11"/>
        <v>6176.853196800001</v>
      </c>
      <c r="V20" s="279">
        <v>0.1</v>
      </c>
    </row>
    <row r="21" spans="1:22" ht="12">
      <c r="A21" s="276" t="s">
        <v>244</v>
      </c>
      <c r="B21" s="271">
        <v>60</v>
      </c>
      <c r="C21" s="271">
        <f>ROUND('ANALISIS MERCADO'!M71/12,2)</f>
        <v>8</v>
      </c>
      <c r="D21" s="271">
        <f t="shared" si="12"/>
        <v>480</v>
      </c>
      <c r="E21" s="271">
        <f t="shared" si="13"/>
        <v>480</v>
      </c>
      <c r="F21" s="271">
        <f t="shared" si="13"/>
        <v>480</v>
      </c>
      <c r="G21" s="271">
        <f aca="true" t="shared" si="19" ref="G21:O21">F21</f>
        <v>480</v>
      </c>
      <c r="H21" s="271">
        <f t="shared" si="19"/>
        <v>480</v>
      </c>
      <c r="I21" s="271">
        <f t="shared" si="19"/>
        <v>480</v>
      </c>
      <c r="J21" s="271">
        <f t="shared" si="19"/>
        <v>480</v>
      </c>
      <c r="K21" s="271">
        <f t="shared" si="19"/>
        <v>480</v>
      </c>
      <c r="L21" s="271">
        <f t="shared" si="19"/>
        <v>480</v>
      </c>
      <c r="M21" s="271">
        <f t="shared" si="19"/>
        <v>480</v>
      </c>
      <c r="N21" s="271">
        <f t="shared" si="19"/>
        <v>480</v>
      </c>
      <c r="O21" s="271">
        <f t="shared" si="19"/>
        <v>480</v>
      </c>
      <c r="P21" s="271">
        <f t="shared" si="9"/>
        <v>5760</v>
      </c>
      <c r="Q21" s="271">
        <f t="shared" si="10"/>
        <v>5990.400000000001</v>
      </c>
      <c r="R21" s="271">
        <f t="shared" si="10"/>
        <v>6230.0160000000005</v>
      </c>
      <c r="S21" s="271">
        <f t="shared" si="11"/>
        <v>6479.216640000001</v>
      </c>
      <c r="T21" s="271">
        <f t="shared" si="11"/>
        <v>6738.385305600001</v>
      </c>
      <c r="V21" s="279">
        <v>0.1</v>
      </c>
    </row>
    <row r="22" spans="1:22" ht="12">
      <c r="A22" s="271"/>
      <c r="B22" s="272">
        <f>SUM(B15:B21)</f>
        <v>410</v>
      </c>
      <c r="C22" s="272">
        <f>SUM(C15:C21)</f>
        <v>56</v>
      </c>
      <c r="D22" s="272">
        <f>SUM(D15:D21)</f>
        <v>3280</v>
      </c>
      <c r="E22" s="272">
        <f aca="true" t="shared" si="20" ref="E22:T22">SUM(E15:E21)</f>
        <v>3280</v>
      </c>
      <c r="F22" s="272">
        <f t="shared" si="20"/>
        <v>3280</v>
      </c>
      <c r="G22" s="272">
        <f t="shared" si="20"/>
        <v>3280</v>
      </c>
      <c r="H22" s="272">
        <f t="shared" si="20"/>
        <v>3280</v>
      </c>
      <c r="I22" s="272">
        <f t="shared" si="20"/>
        <v>3280</v>
      </c>
      <c r="J22" s="272">
        <f t="shared" si="20"/>
        <v>3280</v>
      </c>
      <c r="K22" s="272">
        <f t="shared" si="20"/>
        <v>3280</v>
      </c>
      <c r="L22" s="272">
        <f t="shared" si="20"/>
        <v>3280</v>
      </c>
      <c r="M22" s="272">
        <f t="shared" si="20"/>
        <v>3280</v>
      </c>
      <c r="N22" s="272">
        <f t="shared" si="20"/>
        <v>3280</v>
      </c>
      <c r="O22" s="272">
        <f t="shared" si="20"/>
        <v>3280</v>
      </c>
      <c r="P22" s="272">
        <f t="shared" si="20"/>
        <v>39360</v>
      </c>
      <c r="Q22" s="272">
        <f t="shared" si="20"/>
        <v>40934.4</v>
      </c>
      <c r="R22" s="272">
        <f t="shared" si="20"/>
        <v>42571.776</v>
      </c>
      <c r="S22" s="272">
        <f t="shared" si="20"/>
        <v>44274.64704</v>
      </c>
      <c r="T22" s="272">
        <f t="shared" si="20"/>
        <v>46045.63292160001</v>
      </c>
      <c r="V22" s="281">
        <f>SUM(V15:V21)</f>
        <v>0.7</v>
      </c>
    </row>
    <row r="23" spans="1:22" ht="12">
      <c r="A23" s="273" t="s">
        <v>40</v>
      </c>
      <c r="B23" s="274"/>
      <c r="C23" s="273">
        <f aca="true" t="shared" si="21" ref="C23:T23">C9+C13+C22</f>
        <v>65</v>
      </c>
      <c r="D23" s="273">
        <f t="shared" si="21"/>
        <v>5620</v>
      </c>
      <c r="E23" s="273">
        <f t="shared" si="21"/>
        <v>5620</v>
      </c>
      <c r="F23" s="273">
        <f t="shared" si="21"/>
        <v>5620</v>
      </c>
      <c r="G23" s="273">
        <f t="shared" si="21"/>
        <v>5620</v>
      </c>
      <c r="H23" s="273">
        <f t="shared" si="21"/>
        <v>5620</v>
      </c>
      <c r="I23" s="273">
        <f t="shared" si="21"/>
        <v>5620</v>
      </c>
      <c r="J23" s="273">
        <f t="shared" si="21"/>
        <v>5620</v>
      </c>
      <c r="K23" s="273">
        <f t="shared" si="21"/>
        <v>5620</v>
      </c>
      <c r="L23" s="273">
        <f t="shared" si="21"/>
        <v>5620</v>
      </c>
      <c r="M23" s="273">
        <f t="shared" si="21"/>
        <v>5620</v>
      </c>
      <c r="N23" s="273">
        <f t="shared" si="21"/>
        <v>5620</v>
      </c>
      <c r="O23" s="273">
        <f t="shared" si="21"/>
        <v>5620</v>
      </c>
      <c r="P23" s="273">
        <f t="shared" si="21"/>
        <v>67440</v>
      </c>
      <c r="Q23" s="273">
        <f t="shared" si="21"/>
        <v>70137.6</v>
      </c>
      <c r="R23" s="273">
        <f t="shared" si="21"/>
        <v>72943.10399999999</v>
      </c>
      <c r="S23" s="273">
        <f t="shared" si="21"/>
        <v>75860.82816</v>
      </c>
      <c r="T23" s="273">
        <f t="shared" si="21"/>
        <v>78895.26128640003</v>
      </c>
      <c r="V23" s="281">
        <f>V9+V13+V22</f>
        <v>0.856153846153846</v>
      </c>
    </row>
    <row r="24" spans="1:22" s="283" customFormat="1" ht="12">
      <c r="A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V24" s="284"/>
    </row>
    <row r="25" spans="1:22" ht="12.75">
      <c r="A25" s="277" t="s">
        <v>175</v>
      </c>
      <c r="B25" s="277"/>
      <c r="C25" s="277"/>
      <c r="D25" s="277">
        <f>D23*0.12</f>
        <v>674.4</v>
      </c>
      <c r="E25" s="277">
        <f aca="true" t="shared" si="22" ref="E25:T25">E23*0.12</f>
        <v>674.4</v>
      </c>
      <c r="F25" s="277">
        <f t="shared" si="22"/>
        <v>674.4</v>
      </c>
      <c r="G25" s="277">
        <f t="shared" si="22"/>
        <v>674.4</v>
      </c>
      <c r="H25" s="277">
        <f t="shared" si="22"/>
        <v>674.4</v>
      </c>
      <c r="I25" s="277">
        <f t="shared" si="22"/>
        <v>674.4</v>
      </c>
      <c r="J25" s="277">
        <f t="shared" si="22"/>
        <v>674.4</v>
      </c>
      <c r="K25" s="277">
        <f t="shared" si="22"/>
        <v>674.4</v>
      </c>
      <c r="L25" s="277">
        <f t="shared" si="22"/>
        <v>674.4</v>
      </c>
      <c r="M25" s="277">
        <f t="shared" si="22"/>
        <v>674.4</v>
      </c>
      <c r="N25" s="277">
        <f t="shared" si="22"/>
        <v>674.4</v>
      </c>
      <c r="O25" s="277">
        <f t="shared" si="22"/>
        <v>674.4</v>
      </c>
      <c r="P25" s="277">
        <f>P23*0.12</f>
        <v>8092.799999999999</v>
      </c>
      <c r="Q25" s="277">
        <f t="shared" si="22"/>
        <v>8416.512</v>
      </c>
      <c r="R25" s="277">
        <f t="shared" si="22"/>
        <v>8753.17248</v>
      </c>
      <c r="S25" s="277">
        <f t="shared" si="22"/>
        <v>9103.2993792</v>
      </c>
      <c r="T25" s="277">
        <f t="shared" si="22"/>
        <v>9467.431354368002</v>
      </c>
      <c r="V25" s="279"/>
    </row>
    <row r="26" spans="1:20" ht="12.75">
      <c r="A26" s="277" t="s">
        <v>176</v>
      </c>
      <c r="B26" s="277"/>
      <c r="C26" s="277"/>
      <c r="D26" s="278">
        <f aca="true" t="shared" si="23" ref="D26:T26">D23+D25</f>
        <v>6294.4</v>
      </c>
      <c r="E26" s="278">
        <f t="shared" si="23"/>
        <v>6294.4</v>
      </c>
      <c r="F26" s="278">
        <f t="shared" si="23"/>
        <v>6294.4</v>
      </c>
      <c r="G26" s="278">
        <f t="shared" si="23"/>
        <v>6294.4</v>
      </c>
      <c r="H26" s="278">
        <f t="shared" si="23"/>
        <v>6294.4</v>
      </c>
      <c r="I26" s="278">
        <f t="shared" si="23"/>
        <v>6294.4</v>
      </c>
      <c r="J26" s="278">
        <f t="shared" si="23"/>
        <v>6294.4</v>
      </c>
      <c r="K26" s="278">
        <f t="shared" si="23"/>
        <v>6294.4</v>
      </c>
      <c r="L26" s="278">
        <f t="shared" si="23"/>
        <v>6294.4</v>
      </c>
      <c r="M26" s="278">
        <f t="shared" si="23"/>
        <v>6294.4</v>
      </c>
      <c r="N26" s="278">
        <f t="shared" si="23"/>
        <v>6294.4</v>
      </c>
      <c r="O26" s="278">
        <f t="shared" si="23"/>
        <v>6294.4</v>
      </c>
      <c r="P26" s="278">
        <f t="shared" si="23"/>
        <v>75532.8</v>
      </c>
      <c r="Q26" s="278">
        <f t="shared" si="23"/>
        <v>78554.11200000001</v>
      </c>
      <c r="R26" s="278">
        <f t="shared" si="23"/>
        <v>81696.27647999999</v>
      </c>
      <c r="S26" s="278">
        <f t="shared" si="23"/>
        <v>84964.12753920001</v>
      </c>
      <c r="T26" s="278">
        <f t="shared" si="23"/>
        <v>88362.69264076803</v>
      </c>
    </row>
    <row r="27" spans="1:20" ht="12.75">
      <c r="A27" s="277" t="s">
        <v>177</v>
      </c>
      <c r="B27" s="277"/>
      <c r="C27" s="277"/>
      <c r="D27" s="277">
        <f>D26*0.3</f>
        <v>1888.3199999999997</v>
      </c>
      <c r="E27" s="277">
        <f aca="true" t="shared" si="24" ref="E27:T27">E26*0.3</f>
        <v>1888.3199999999997</v>
      </c>
      <c r="F27" s="277">
        <f t="shared" si="24"/>
        <v>1888.3199999999997</v>
      </c>
      <c r="G27" s="277">
        <f t="shared" si="24"/>
        <v>1888.3199999999997</v>
      </c>
      <c r="H27" s="277">
        <f t="shared" si="24"/>
        <v>1888.3199999999997</v>
      </c>
      <c r="I27" s="277">
        <f t="shared" si="24"/>
        <v>1888.3199999999997</v>
      </c>
      <c r="J27" s="277">
        <f t="shared" si="24"/>
        <v>1888.3199999999997</v>
      </c>
      <c r="K27" s="277">
        <f t="shared" si="24"/>
        <v>1888.3199999999997</v>
      </c>
      <c r="L27" s="277">
        <f t="shared" si="24"/>
        <v>1888.3199999999997</v>
      </c>
      <c r="M27" s="277">
        <f t="shared" si="24"/>
        <v>1888.3199999999997</v>
      </c>
      <c r="N27" s="277">
        <f t="shared" si="24"/>
        <v>1888.3199999999997</v>
      </c>
      <c r="O27" s="277">
        <f t="shared" si="24"/>
        <v>1888.3199999999997</v>
      </c>
      <c r="P27" s="277">
        <f>P26*0.3</f>
        <v>22659.84</v>
      </c>
      <c r="Q27" s="277">
        <f t="shared" si="24"/>
        <v>23566.233600000003</v>
      </c>
      <c r="R27" s="277">
        <f t="shared" si="24"/>
        <v>24508.882943999994</v>
      </c>
      <c r="S27" s="277">
        <f t="shared" si="24"/>
        <v>25489.23826176</v>
      </c>
      <c r="T27" s="277">
        <f t="shared" si="24"/>
        <v>26508.807792230407</v>
      </c>
    </row>
    <row r="28" spans="1:20" ht="12.75">
      <c r="A28" s="277" t="s">
        <v>178</v>
      </c>
      <c r="B28" s="277"/>
      <c r="C28" s="277"/>
      <c r="D28" s="277">
        <f>D26*0.7</f>
        <v>4406.079999999999</v>
      </c>
      <c r="E28" s="277">
        <f aca="true" t="shared" si="25" ref="E28:T28">E26*0.7</f>
        <v>4406.079999999999</v>
      </c>
      <c r="F28" s="277">
        <f t="shared" si="25"/>
        <v>4406.079999999999</v>
      </c>
      <c r="G28" s="277">
        <f t="shared" si="25"/>
        <v>4406.079999999999</v>
      </c>
      <c r="H28" s="277">
        <f t="shared" si="25"/>
        <v>4406.079999999999</v>
      </c>
      <c r="I28" s="277">
        <f t="shared" si="25"/>
        <v>4406.079999999999</v>
      </c>
      <c r="J28" s="277">
        <f t="shared" si="25"/>
        <v>4406.079999999999</v>
      </c>
      <c r="K28" s="277">
        <f t="shared" si="25"/>
        <v>4406.079999999999</v>
      </c>
      <c r="L28" s="277">
        <f t="shared" si="25"/>
        <v>4406.079999999999</v>
      </c>
      <c r="M28" s="277">
        <f t="shared" si="25"/>
        <v>4406.079999999999</v>
      </c>
      <c r="N28" s="277">
        <f t="shared" si="25"/>
        <v>4406.079999999999</v>
      </c>
      <c r="O28" s="277">
        <f t="shared" si="25"/>
        <v>4406.079999999999</v>
      </c>
      <c r="P28" s="277">
        <f>P26*0.7</f>
        <v>52872.96</v>
      </c>
      <c r="Q28" s="277">
        <f t="shared" si="25"/>
        <v>54987.8784</v>
      </c>
      <c r="R28" s="277">
        <f t="shared" si="25"/>
        <v>57187.39353599999</v>
      </c>
      <c r="S28" s="277">
        <f t="shared" si="25"/>
        <v>59474.88927744</v>
      </c>
      <c r="T28" s="277">
        <f t="shared" si="25"/>
        <v>61853.884848537615</v>
      </c>
    </row>
    <row r="29" spans="1:20" ht="12.75">
      <c r="A29" s="277"/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</row>
    <row r="30" spans="1:20" ht="12.75">
      <c r="A30" s="277" t="s">
        <v>179</v>
      </c>
      <c r="B30" s="277"/>
      <c r="C30" s="277"/>
      <c r="D30" s="277">
        <v>0</v>
      </c>
      <c r="E30" s="277">
        <f>D32</f>
        <v>4406.079999999999</v>
      </c>
      <c r="F30" s="277">
        <f>E32</f>
        <v>4406.079999999999</v>
      </c>
      <c r="G30" s="277">
        <f aca="true" t="shared" si="26" ref="G30:T30">F32</f>
        <v>4406.079999999999</v>
      </c>
      <c r="H30" s="277">
        <f t="shared" si="26"/>
        <v>4406.079999999999</v>
      </c>
      <c r="I30" s="277">
        <f t="shared" si="26"/>
        <v>4406.079999999999</v>
      </c>
      <c r="J30" s="277">
        <f t="shared" si="26"/>
        <v>4406.079999999999</v>
      </c>
      <c r="K30" s="277">
        <f t="shared" si="26"/>
        <v>4406.079999999999</v>
      </c>
      <c r="L30" s="277">
        <f t="shared" si="26"/>
        <v>4406.079999999999</v>
      </c>
      <c r="M30" s="277">
        <f t="shared" si="26"/>
        <v>4406.079999999999</v>
      </c>
      <c r="N30" s="277">
        <f t="shared" si="26"/>
        <v>4406.079999999999</v>
      </c>
      <c r="O30" s="277">
        <f t="shared" si="26"/>
        <v>4406.079999999999</v>
      </c>
      <c r="P30" s="277">
        <v>0</v>
      </c>
      <c r="Q30" s="277">
        <f>P32</f>
        <v>52872.96</v>
      </c>
      <c r="R30" s="277">
        <f t="shared" si="26"/>
        <v>54987.8784</v>
      </c>
      <c r="S30" s="277">
        <f t="shared" si="26"/>
        <v>57187.39353599999</v>
      </c>
      <c r="T30" s="277">
        <f t="shared" si="26"/>
        <v>59474.88927744</v>
      </c>
    </row>
    <row r="31" spans="1:20" ht="12.75">
      <c r="A31" s="277" t="s">
        <v>180</v>
      </c>
      <c r="B31" s="277"/>
      <c r="C31" s="277"/>
      <c r="D31" s="277">
        <f>D27</f>
        <v>1888.3199999999997</v>
      </c>
      <c r="E31" s="277">
        <f aca="true" t="shared" si="27" ref="E31:T31">E30+E27</f>
        <v>6294.399999999999</v>
      </c>
      <c r="F31" s="277">
        <f t="shared" si="27"/>
        <v>6294.399999999999</v>
      </c>
      <c r="G31" s="277">
        <f t="shared" si="27"/>
        <v>6294.399999999999</v>
      </c>
      <c r="H31" s="277">
        <f t="shared" si="27"/>
        <v>6294.399999999999</v>
      </c>
      <c r="I31" s="277">
        <f t="shared" si="27"/>
        <v>6294.399999999999</v>
      </c>
      <c r="J31" s="277">
        <f t="shared" si="27"/>
        <v>6294.399999999999</v>
      </c>
      <c r="K31" s="277">
        <f t="shared" si="27"/>
        <v>6294.399999999999</v>
      </c>
      <c r="L31" s="277">
        <f t="shared" si="27"/>
        <v>6294.399999999999</v>
      </c>
      <c r="M31" s="277">
        <f t="shared" si="27"/>
        <v>6294.399999999999</v>
      </c>
      <c r="N31" s="277">
        <f t="shared" si="27"/>
        <v>6294.399999999999</v>
      </c>
      <c r="O31" s="277">
        <f t="shared" si="27"/>
        <v>6294.399999999999</v>
      </c>
      <c r="P31" s="277">
        <f t="shared" si="27"/>
        <v>22659.84</v>
      </c>
      <c r="Q31" s="277">
        <f t="shared" si="27"/>
        <v>76439.1936</v>
      </c>
      <c r="R31" s="277">
        <f t="shared" si="27"/>
        <v>79496.761344</v>
      </c>
      <c r="S31" s="277">
        <f t="shared" si="27"/>
        <v>82676.63179776</v>
      </c>
      <c r="T31" s="277">
        <f t="shared" si="27"/>
        <v>85983.69706967041</v>
      </c>
    </row>
    <row r="32" spans="1:20" ht="12.75">
      <c r="A32" s="277" t="s">
        <v>181</v>
      </c>
      <c r="B32" s="277"/>
      <c r="C32" s="277"/>
      <c r="D32" s="277">
        <f>D28</f>
        <v>4406.079999999999</v>
      </c>
      <c r="E32" s="277">
        <f>E28</f>
        <v>4406.079999999999</v>
      </c>
      <c r="F32" s="277">
        <f>F28</f>
        <v>4406.079999999999</v>
      </c>
      <c r="G32" s="277">
        <f aca="true" t="shared" si="28" ref="G32:T32">G28</f>
        <v>4406.079999999999</v>
      </c>
      <c r="H32" s="277">
        <f t="shared" si="28"/>
        <v>4406.079999999999</v>
      </c>
      <c r="I32" s="277">
        <f t="shared" si="28"/>
        <v>4406.079999999999</v>
      </c>
      <c r="J32" s="277">
        <f t="shared" si="28"/>
        <v>4406.079999999999</v>
      </c>
      <c r="K32" s="277">
        <f t="shared" si="28"/>
        <v>4406.079999999999</v>
      </c>
      <c r="L32" s="277">
        <f t="shared" si="28"/>
        <v>4406.079999999999</v>
      </c>
      <c r="M32" s="277">
        <f t="shared" si="28"/>
        <v>4406.079999999999</v>
      </c>
      <c r="N32" s="277">
        <f t="shared" si="28"/>
        <v>4406.079999999999</v>
      </c>
      <c r="O32" s="277">
        <f t="shared" si="28"/>
        <v>4406.079999999999</v>
      </c>
      <c r="P32" s="277">
        <f>P28</f>
        <v>52872.96</v>
      </c>
      <c r="Q32" s="277">
        <f>Q28</f>
        <v>54987.8784</v>
      </c>
      <c r="R32" s="277">
        <f t="shared" si="28"/>
        <v>57187.39353599999</v>
      </c>
      <c r="S32" s="277">
        <f t="shared" si="28"/>
        <v>59474.88927744</v>
      </c>
      <c r="T32" s="277">
        <f t="shared" si="28"/>
        <v>61853.884848537615</v>
      </c>
    </row>
    <row r="33" spans="1:20" ht="12.75">
      <c r="A33" s="263"/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21"/>
  <sheetViews>
    <sheetView zoomScale="75" zoomScaleNormal="75" zoomScalePageLayoutView="0" workbookViewId="0" topLeftCell="A103">
      <selection activeCell="B76" sqref="B1:R16384"/>
    </sheetView>
  </sheetViews>
  <sheetFormatPr defaultColWidth="11.421875" defaultRowHeight="15"/>
  <cols>
    <col min="1" max="1" width="39.8515625" style="6" customWidth="1"/>
    <col min="2" max="2" width="11.8515625" style="6" bestFit="1" customWidth="1"/>
    <col min="3" max="13" width="11.421875" style="6" customWidth="1"/>
    <col min="14" max="16384" width="11.421875" style="6" customWidth="1"/>
  </cols>
  <sheetData>
    <row r="1" ht="18.75">
      <c r="A1" s="217" t="s">
        <v>0</v>
      </c>
    </row>
    <row r="2" ht="19.5" thickBot="1">
      <c r="A2" s="217" t="s">
        <v>1</v>
      </c>
    </row>
    <row r="3" spans="1:18" s="8" customFormat="1" ht="15.75" thickBot="1">
      <c r="A3" s="248" t="s">
        <v>112</v>
      </c>
      <c r="B3" s="249" t="s">
        <v>20</v>
      </c>
      <c r="C3" s="250" t="s">
        <v>21</v>
      </c>
      <c r="D3" s="250" t="s">
        <v>22</v>
      </c>
      <c r="E3" s="250" t="s">
        <v>23</v>
      </c>
      <c r="F3" s="250" t="s">
        <v>24</v>
      </c>
      <c r="G3" s="250" t="s">
        <v>25</v>
      </c>
      <c r="H3" s="250" t="s">
        <v>26</v>
      </c>
      <c r="I3" s="250" t="s">
        <v>27</v>
      </c>
      <c r="J3" s="250" t="s">
        <v>28</v>
      </c>
      <c r="K3" s="250" t="s">
        <v>29</v>
      </c>
      <c r="L3" s="250" t="s">
        <v>30</v>
      </c>
      <c r="M3" s="250" t="s">
        <v>31</v>
      </c>
      <c r="N3" s="249" t="s">
        <v>40</v>
      </c>
      <c r="O3" s="249" t="s">
        <v>40</v>
      </c>
      <c r="P3" s="249" t="s">
        <v>40</v>
      </c>
      <c r="Q3" s="249" t="s">
        <v>40</v>
      </c>
      <c r="R3" s="251" t="s">
        <v>40</v>
      </c>
    </row>
    <row r="4" spans="1:18" ht="15">
      <c r="A4" s="244" t="s">
        <v>76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6"/>
    </row>
    <row r="5" spans="1:18" ht="15">
      <c r="A5" s="247" t="s">
        <v>86</v>
      </c>
      <c r="B5" s="245">
        <f>SUELDOS!B13</f>
        <v>2850</v>
      </c>
      <c r="C5" s="245">
        <f>B5</f>
        <v>2850</v>
      </c>
      <c r="D5" s="245">
        <f aca="true" t="shared" si="0" ref="D5:M5">C5</f>
        <v>2850</v>
      </c>
      <c r="E5" s="245">
        <f t="shared" si="0"/>
        <v>2850</v>
      </c>
      <c r="F5" s="245">
        <f t="shared" si="0"/>
        <v>2850</v>
      </c>
      <c r="G5" s="245">
        <f t="shared" si="0"/>
        <v>2850</v>
      </c>
      <c r="H5" s="245">
        <f t="shared" si="0"/>
        <v>2850</v>
      </c>
      <c r="I5" s="245">
        <f t="shared" si="0"/>
        <v>2850</v>
      </c>
      <c r="J5" s="245">
        <f t="shared" si="0"/>
        <v>2850</v>
      </c>
      <c r="K5" s="245">
        <f t="shared" si="0"/>
        <v>2850</v>
      </c>
      <c r="L5" s="245">
        <f t="shared" si="0"/>
        <v>2850</v>
      </c>
      <c r="M5" s="245">
        <f t="shared" si="0"/>
        <v>2850</v>
      </c>
      <c r="N5" s="245">
        <f>SUM(B5:M5)</f>
        <v>34200</v>
      </c>
      <c r="O5" s="245">
        <v>35568</v>
      </c>
      <c r="P5" s="245">
        <v>36990.72000000001</v>
      </c>
      <c r="Q5" s="245">
        <v>38470.348800000014</v>
      </c>
      <c r="R5" s="246">
        <v>43609.162752000004</v>
      </c>
    </row>
    <row r="6" spans="1:18" ht="15">
      <c r="A6" s="247" t="s">
        <v>87</v>
      </c>
      <c r="B6" s="245">
        <f>SUELDOS!E13</f>
        <v>346.275</v>
      </c>
      <c r="C6" s="245">
        <f aca="true" t="shared" si="1" ref="C6:M6">B6</f>
        <v>346.275</v>
      </c>
      <c r="D6" s="245">
        <f t="shared" si="1"/>
        <v>346.275</v>
      </c>
      <c r="E6" s="245">
        <f t="shared" si="1"/>
        <v>346.275</v>
      </c>
      <c r="F6" s="245">
        <f t="shared" si="1"/>
        <v>346.275</v>
      </c>
      <c r="G6" s="245">
        <f t="shared" si="1"/>
        <v>346.275</v>
      </c>
      <c r="H6" s="245">
        <f t="shared" si="1"/>
        <v>346.275</v>
      </c>
      <c r="I6" s="245">
        <f t="shared" si="1"/>
        <v>346.275</v>
      </c>
      <c r="J6" s="245">
        <f t="shared" si="1"/>
        <v>346.275</v>
      </c>
      <c r="K6" s="245">
        <f t="shared" si="1"/>
        <v>346.275</v>
      </c>
      <c r="L6" s="245">
        <f t="shared" si="1"/>
        <v>346.275</v>
      </c>
      <c r="M6" s="245">
        <f t="shared" si="1"/>
        <v>346.275</v>
      </c>
      <c r="N6" s="245">
        <f aca="true" t="shared" si="2" ref="N6:N24">SUM(B6:M6)</f>
        <v>4155.3</v>
      </c>
      <c r="O6" s="245">
        <v>4321.5120000000015</v>
      </c>
      <c r="P6" s="245">
        <v>4494.372480000002</v>
      </c>
      <c r="Q6" s="245">
        <v>4674.1473792</v>
      </c>
      <c r="R6" s="246">
        <v>5298.513274368001</v>
      </c>
    </row>
    <row r="7" spans="1:18" ht="15">
      <c r="A7" s="247" t="s">
        <v>88</v>
      </c>
      <c r="B7" s="245">
        <f>SUELDOS!F13</f>
        <v>19.791666666666664</v>
      </c>
      <c r="C7" s="245">
        <f aca="true" t="shared" si="3" ref="C7:M7">B7</f>
        <v>19.791666666666664</v>
      </c>
      <c r="D7" s="245">
        <f t="shared" si="3"/>
        <v>19.791666666666664</v>
      </c>
      <c r="E7" s="245">
        <f t="shared" si="3"/>
        <v>19.791666666666664</v>
      </c>
      <c r="F7" s="245">
        <f t="shared" si="3"/>
        <v>19.791666666666664</v>
      </c>
      <c r="G7" s="245">
        <f t="shared" si="3"/>
        <v>19.791666666666664</v>
      </c>
      <c r="H7" s="245">
        <f t="shared" si="3"/>
        <v>19.791666666666664</v>
      </c>
      <c r="I7" s="245">
        <f t="shared" si="3"/>
        <v>19.791666666666664</v>
      </c>
      <c r="J7" s="245">
        <f t="shared" si="3"/>
        <v>19.791666666666664</v>
      </c>
      <c r="K7" s="245">
        <f t="shared" si="3"/>
        <v>19.791666666666664</v>
      </c>
      <c r="L7" s="245">
        <f t="shared" si="3"/>
        <v>19.791666666666664</v>
      </c>
      <c r="M7" s="245">
        <f t="shared" si="3"/>
        <v>19.791666666666664</v>
      </c>
      <c r="N7" s="245">
        <f t="shared" si="2"/>
        <v>237.49999999999991</v>
      </c>
      <c r="O7" s="245">
        <v>247.00000000000009</v>
      </c>
      <c r="P7" s="245">
        <v>256.88000000000005</v>
      </c>
      <c r="Q7" s="245">
        <v>267.15520000000004</v>
      </c>
      <c r="R7" s="246">
        <v>302.84140800000006</v>
      </c>
    </row>
    <row r="8" spans="1:18" ht="15">
      <c r="A8" s="247" t="s">
        <v>89</v>
      </c>
      <c r="B8" s="245">
        <f>SUELDOS!G13</f>
        <v>13.625000000000002</v>
      </c>
      <c r="C8" s="245">
        <f aca="true" t="shared" si="4" ref="C8:M8">B8</f>
        <v>13.625000000000002</v>
      </c>
      <c r="D8" s="245">
        <f t="shared" si="4"/>
        <v>13.625000000000002</v>
      </c>
      <c r="E8" s="245">
        <f t="shared" si="4"/>
        <v>13.625000000000002</v>
      </c>
      <c r="F8" s="245">
        <f t="shared" si="4"/>
        <v>13.625000000000002</v>
      </c>
      <c r="G8" s="245">
        <f t="shared" si="4"/>
        <v>13.625000000000002</v>
      </c>
      <c r="H8" s="245">
        <f t="shared" si="4"/>
        <v>13.625000000000002</v>
      </c>
      <c r="I8" s="245">
        <f t="shared" si="4"/>
        <v>13.625000000000002</v>
      </c>
      <c r="J8" s="245">
        <f t="shared" si="4"/>
        <v>13.625000000000002</v>
      </c>
      <c r="K8" s="245">
        <f t="shared" si="4"/>
        <v>13.625000000000002</v>
      </c>
      <c r="L8" s="245">
        <f t="shared" si="4"/>
        <v>13.625000000000002</v>
      </c>
      <c r="M8" s="245">
        <f t="shared" si="4"/>
        <v>13.625000000000002</v>
      </c>
      <c r="N8" s="245">
        <f t="shared" si="2"/>
        <v>163.50000000000003</v>
      </c>
      <c r="O8" s="245">
        <v>163.50000000000003</v>
      </c>
      <c r="P8" s="245">
        <v>163.50000000000003</v>
      </c>
      <c r="Q8" s="245">
        <v>163.50000000000003</v>
      </c>
      <c r="R8" s="246">
        <v>181.66666666666666</v>
      </c>
    </row>
    <row r="9" spans="1:18" ht="15">
      <c r="A9" s="247" t="s">
        <v>90</v>
      </c>
      <c r="B9" s="245">
        <f>SUELDOS!I13</f>
        <v>0</v>
      </c>
      <c r="C9" s="245">
        <f aca="true" t="shared" si="5" ref="C9:M13">B9</f>
        <v>0</v>
      </c>
      <c r="D9" s="245">
        <f t="shared" si="5"/>
        <v>0</v>
      </c>
      <c r="E9" s="245">
        <f t="shared" si="5"/>
        <v>0</v>
      </c>
      <c r="F9" s="245">
        <f t="shared" si="5"/>
        <v>0</v>
      </c>
      <c r="G9" s="245">
        <f t="shared" si="5"/>
        <v>0</v>
      </c>
      <c r="H9" s="245">
        <f t="shared" si="5"/>
        <v>0</v>
      </c>
      <c r="I9" s="245">
        <f t="shared" si="5"/>
        <v>0</v>
      </c>
      <c r="J9" s="245">
        <f t="shared" si="5"/>
        <v>0</v>
      </c>
      <c r="K9" s="245">
        <f t="shared" si="5"/>
        <v>0</v>
      </c>
      <c r="L9" s="245">
        <f t="shared" si="5"/>
        <v>0</v>
      </c>
      <c r="M9" s="245">
        <f t="shared" si="5"/>
        <v>0</v>
      </c>
      <c r="N9" s="245">
        <f t="shared" si="2"/>
        <v>0</v>
      </c>
      <c r="O9" s="245">
        <v>2964</v>
      </c>
      <c r="P9" s="245">
        <v>3082.560000000001</v>
      </c>
      <c r="Q9" s="245">
        <v>3205.8624000000013</v>
      </c>
      <c r="R9" s="246">
        <v>3634.0968960000014</v>
      </c>
    </row>
    <row r="10" spans="1:18" ht="15">
      <c r="A10" s="247" t="s">
        <v>91</v>
      </c>
      <c r="B10" s="245">
        <f>SUELDOS!H13</f>
        <v>0</v>
      </c>
      <c r="C10" s="245">
        <f t="shared" si="5"/>
        <v>0</v>
      </c>
      <c r="D10" s="245">
        <f t="shared" si="5"/>
        <v>0</v>
      </c>
      <c r="E10" s="245">
        <f t="shared" si="5"/>
        <v>0</v>
      </c>
      <c r="F10" s="245">
        <f t="shared" si="5"/>
        <v>0</v>
      </c>
      <c r="G10" s="245">
        <f t="shared" si="5"/>
        <v>0</v>
      </c>
      <c r="H10" s="245">
        <f t="shared" si="5"/>
        <v>0</v>
      </c>
      <c r="I10" s="245">
        <f t="shared" si="5"/>
        <v>0</v>
      </c>
      <c r="J10" s="245">
        <f t="shared" si="5"/>
        <v>0</v>
      </c>
      <c r="K10" s="245">
        <f t="shared" si="5"/>
        <v>0</v>
      </c>
      <c r="L10" s="245">
        <f t="shared" si="5"/>
        <v>0</v>
      </c>
      <c r="M10" s="245">
        <f t="shared" si="5"/>
        <v>0</v>
      </c>
      <c r="N10" s="245">
        <f>SUM(B10:M10)</f>
        <v>0</v>
      </c>
      <c r="O10" s="245">
        <v>1482</v>
      </c>
      <c r="P10" s="245">
        <v>1541.2800000000004</v>
      </c>
      <c r="Q10" s="245">
        <v>1602.9312000000007</v>
      </c>
      <c r="R10" s="246">
        <v>1817.0484480000007</v>
      </c>
    </row>
    <row r="11" spans="1:18" ht="15">
      <c r="A11" s="247" t="s">
        <v>104</v>
      </c>
      <c r="B11" s="245">
        <f>SUM('PROY. INGRESOS'!D6:D8)*0.1</f>
        <v>24</v>
      </c>
      <c r="C11" s="245">
        <f t="shared" si="5"/>
        <v>24</v>
      </c>
      <c r="D11" s="245">
        <f t="shared" si="5"/>
        <v>24</v>
      </c>
      <c r="E11" s="245">
        <f t="shared" si="5"/>
        <v>24</v>
      </c>
      <c r="F11" s="245">
        <f t="shared" si="5"/>
        <v>24</v>
      </c>
      <c r="G11" s="245">
        <f t="shared" si="5"/>
        <v>24</v>
      </c>
      <c r="H11" s="245">
        <f t="shared" si="5"/>
        <v>24</v>
      </c>
      <c r="I11" s="245">
        <f t="shared" si="5"/>
        <v>24</v>
      </c>
      <c r="J11" s="245">
        <f t="shared" si="5"/>
        <v>24</v>
      </c>
      <c r="K11" s="245">
        <f t="shared" si="5"/>
        <v>24</v>
      </c>
      <c r="L11" s="245">
        <f t="shared" si="5"/>
        <v>24</v>
      </c>
      <c r="M11" s="245">
        <f t="shared" si="5"/>
        <v>24</v>
      </c>
      <c r="N11" s="245">
        <f>SUM(B11:M11)</f>
        <v>288</v>
      </c>
      <c r="O11" s="245">
        <v>258.33599999999996</v>
      </c>
      <c r="P11" s="245">
        <v>268.66943999999995</v>
      </c>
      <c r="Q11" s="245">
        <v>279.4162176000001</v>
      </c>
      <c r="R11" s="246">
        <v>290.5928663040001</v>
      </c>
    </row>
    <row r="12" spans="1:18" ht="15">
      <c r="A12" s="247" t="s">
        <v>103</v>
      </c>
      <c r="B12" s="245">
        <f>SUM('PROY. INGRESOS'!D11:D12)*0.15</f>
        <v>315</v>
      </c>
      <c r="C12" s="245">
        <f t="shared" si="5"/>
        <v>315</v>
      </c>
      <c r="D12" s="245">
        <f t="shared" si="5"/>
        <v>315</v>
      </c>
      <c r="E12" s="245">
        <f t="shared" si="5"/>
        <v>315</v>
      </c>
      <c r="F12" s="245">
        <f t="shared" si="5"/>
        <v>315</v>
      </c>
      <c r="G12" s="245">
        <f t="shared" si="5"/>
        <v>315</v>
      </c>
      <c r="H12" s="245">
        <f t="shared" si="5"/>
        <v>315</v>
      </c>
      <c r="I12" s="245">
        <f t="shared" si="5"/>
        <v>315</v>
      </c>
      <c r="J12" s="245">
        <f t="shared" si="5"/>
        <v>315</v>
      </c>
      <c r="K12" s="245">
        <f t="shared" si="5"/>
        <v>315</v>
      </c>
      <c r="L12" s="245">
        <f t="shared" si="5"/>
        <v>315</v>
      </c>
      <c r="M12" s="245">
        <f t="shared" si="5"/>
        <v>315</v>
      </c>
      <c r="N12" s="245">
        <f>SUM(B12:M12)</f>
        <v>3780</v>
      </c>
      <c r="O12" s="245">
        <v>3931.1999999999994</v>
      </c>
      <c r="P12" s="245">
        <v>4088.448000000001</v>
      </c>
      <c r="Q12" s="245">
        <v>4251.98592</v>
      </c>
      <c r="R12" s="246">
        <v>4422.065356800001</v>
      </c>
    </row>
    <row r="13" spans="1:18" ht="15">
      <c r="A13" s="247" t="s">
        <v>154</v>
      </c>
      <c r="B13" s="245">
        <f>SUM('PROY. INGRESOS'!D15:D21)*0.1</f>
        <v>328</v>
      </c>
      <c r="C13" s="245">
        <f t="shared" si="5"/>
        <v>328</v>
      </c>
      <c r="D13" s="245">
        <f t="shared" si="5"/>
        <v>328</v>
      </c>
      <c r="E13" s="245">
        <f t="shared" si="5"/>
        <v>328</v>
      </c>
      <c r="F13" s="245">
        <f t="shared" si="5"/>
        <v>328</v>
      </c>
      <c r="G13" s="245">
        <f t="shared" si="5"/>
        <v>328</v>
      </c>
      <c r="H13" s="245">
        <f t="shared" si="5"/>
        <v>328</v>
      </c>
      <c r="I13" s="245">
        <f t="shared" si="5"/>
        <v>328</v>
      </c>
      <c r="J13" s="245">
        <f t="shared" si="5"/>
        <v>328</v>
      </c>
      <c r="K13" s="245">
        <f t="shared" si="5"/>
        <v>328</v>
      </c>
      <c r="L13" s="245">
        <f t="shared" si="5"/>
        <v>328</v>
      </c>
      <c r="M13" s="245">
        <f t="shared" si="5"/>
        <v>328</v>
      </c>
      <c r="N13" s="245">
        <f>SUM(B13:M13)</f>
        <v>3936</v>
      </c>
      <c r="O13" s="245">
        <v>8186.88</v>
      </c>
      <c r="P13" s="245">
        <v>8514.3552</v>
      </c>
      <c r="Q13" s="245">
        <v>8854.929408</v>
      </c>
      <c r="R13" s="246">
        <v>9209.126584320002</v>
      </c>
    </row>
    <row r="14" spans="1:18" ht="15">
      <c r="A14" s="247" t="s">
        <v>196</v>
      </c>
      <c r="B14" s="245">
        <f>PRESTAMOS!D12</f>
        <v>34.375</v>
      </c>
      <c r="C14" s="245">
        <f>PRESTAMOS!D13</f>
        <v>32.99351220167125</v>
      </c>
      <c r="D14" s="245">
        <f>PRESTAMOS!D14</f>
        <v>31.60770725397272</v>
      </c>
      <c r="E14" s="245">
        <f>PRESTAMOS!D15</f>
        <v>30.217571665812635</v>
      </c>
      <c r="F14" s="245">
        <f>PRESTAMOS!D16</f>
        <v>28.823091903939545</v>
      </c>
      <c r="G14" s="245">
        <f>PRESTAMOS!D17</f>
        <v>27.424254392810607</v>
      </c>
      <c r="H14" s="245">
        <f>PRESTAMOS!D18</f>
        <v>26.02104551445939</v>
      </c>
      <c r="I14" s="245">
        <f>PRESTAMOS!D19</f>
        <v>24.613451608363327</v>
      </c>
      <c r="J14" s="245">
        <f>PRESTAMOS!D20</f>
        <v>23.20145897131071</v>
      </c>
      <c r="K14" s="245">
        <f>PRESTAMOS!D21</f>
        <v>21.785053857267307</v>
      </c>
      <c r="L14" s="245">
        <f>PRESTAMOS!D22</f>
        <v>20.364222477242517</v>
      </c>
      <c r="M14" s="245">
        <f>PRESTAMOS!D23</f>
        <v>18.93895099915515</v>
      </c>
      <c r="N14" s="245">
        <f>SUM(B14:M14)</f>
        <v>320.36532084600515</v>
      </c>
      <c r="O14" s="245">
        <v>267.3622142997288</v>
      </c>
      <c r="P14" s="245">
        <v>0</v>
      </c>
      <c r="Q14" s="245">
        <v>0</v>
      </c>
      <c r="R14" s="246">
        <v>0</v>
      </c>
    </row>
    <row r="15" spans="1:18" ht="15">
      <c r="A15" s="247" t="s">
        <v>77</v>
      </c>
      <c r="B15" s="245">
        <v>200</v>
      </c>
      <c r="C15" s="245">
        <f aca="true" t="shared" si="6" ref="C15:M15">B15</f>
        <v>200</v>
      </c>
      <c r="D15" s="245">
        <f t="shared" si="6"/>
        <v>200</v>
      </c>
      <c r="E15" s="245">
        <f t="shared" si="6"/>
        <v>200</v>
      </c>
      <c r="F15" s="245">
        <f t="shared" si="6"/>
        <v>200</v>
      </c>
      <c r="G15" s="245">
        <f t="shared" si="6"/>
        <v>200</v>
      </c>
      <c r="H15" s="245">
        <f t="shared" si="6"/>
        <v>200</v>
      </c>
      <c r="I15" s="245">
        <f t="shared" si="6"/>
        <v>200</v>
      </c>
      <c r="J15" s="245">
        <f t="shared" si="6"/>
        <v>200</v>
      </c>
      <c r="K15" s="245">
        <f t="shared" si="6"/>
        <v>200</v>
      </c>
      <c r="L15" s="245">
        <f t="shared" si="6"/>
        <v>200</v>
      </c>
      <c r="M15" s="245">
        <f t="shared" si="6"/>
        <v>200</v>
      </c>
      <c r="N15" s="245">
        <f t="shared" si="2"/>
        <v>2400</v>
      </c>
      <c r="O15" s="245">
        <v>2496</v>
      </c>
      <c r="P15" s="245">
        <v>2595.84</v>
      </c>
      <c r="Q15" s="245">
        <v>2699.6736</v>
      </c>
      <c r="R15" s="246">
        <v>2807.6605440000003</v>
      </c>
    </row>
    <row r="16" spans="1:18" ht="15">
      <c r="A16" s="247" t="s">
        <v>78</v>
      </c>
      <c r="B16" s="245">
        <v>25</v>
      </c>
      <c r="C16" s="245">
        <f aca="true" t="shared" si="7" ref="C16:M16">B16</f>
        <v>25</v>
      </c>
      <c r="D16" s="245">
        <f t="shared" si="7"/>
        <v>25</v>
      </c>
      <c r="E16" s="245">
        <f t="shared" si="7"/>
        <v>25</v>
      </c>
      <c r="F16" s="245">
        <f t="shared" si="7"/>
        <v>25</v>
      </c>
      <c r="G16" s="245">
        <f t="shared" si="7"/>
        <v>25</v>
      </c>
      <c r="H16" s="245">
        <f t="shared" si="7"/>
        <v>25</v>
      </c>
      <c r="I16" s="245">
        <f t="shared" si="7"/>
        <v>25</v>
      </c>
      <c r="J16" s="245">
        <f t="shared" si="7"/>
        <v>25</v>
      </c>
      <c r="K16" s="245">
        <f t="shared" si="7"/>
        <v>25</v>
      </c>
      <c r="L16" s="245">
        <f t="shared" si="7"/>
        <v>25</v>
      </c>
      <c r="M16" s="245">
        <f t="shared" si="7"/>
        <v>25</v>
      </c>
      <c r="N16" s="245">
        <f t="shared" si="2"/>
        <v>300</v>
      </c>
      <c r="O16" s="245">
        <v>312</v>
      </c>
      <c r="P16" s="245">
        <v>324.48</v>
      </c>
      <c r="Q16" s="245">
        <v>337.4592</v>
      </c>
      <c r="R16" s="246">
        <v>350.95756800000004</v>
      </c>
    </row>
    <row r="17" spans="1:18" ht="15">
      <c r="A17" s="247" t="s">
        <v>79</v>
      </c>
      <c r="B17" s="245">
        <v>10</v>
      </c>
      <c r="C17" s="245">
        <f aca="true" t="shared" si="8" ref="C17:M17">B17</f>
        <v>10</v>
      </c>
      <c r="D17" s="245">
        <f t="shared" si="8"/>
        <v>10</v>
      </c>
      <c r="E17" s="245">
        <f t="shared" si="8"/>
        <v>10</v>
      </c>
      <c r="F17" s="245">
        <f t="shared" si="8"/>
        <v>10</v>
      </c>
      <c r="G17" s="245">
        <f t="shared" si="8"/>
        <v>10</v>
      </c>
      <c r="H17" s="245">
        <f t="shared" si="8"/>
        <v>10</v>
      </c>
      <c r="I17" s="245">
        <f t="shared" si="8"/>
        <v>10</v>
      </c>
      <c r="J17" s="245">
        <f t="shared" si="8"/>
        <v>10</v>
      </c>
      <c r="K17" s="245">
        <f t="shared" si="8"/>
        <v>10</v>
      </c>
      <c r="L17" s="245">
        <f t="shared" si="8"/>
        <v>10</v>
      </c>
      <c r="M17" s="245">
        <f t="shared" si="8"/>
        <v>10</v>
      </c>
      <c r="N17" s="245">
        <f t="shared" si="2"/>
        <v>120</v>
      </c>
      <c r="O17" s="245">
        <v>124.80000000000003</v>
      </c>
      <c r="P17" s="245">
        <v>129.792</v>
      </c>
      <c r="Q17" s="245">
        <v>134.98368</v>
      </c>
      <c r="R17" s="246">
        <v>140.38302720000004</v>
      </c>
    </row>
    <row r="18" spans="1:18" ht="15">
      <c r="A18" s="247" t="s">
        <v>80</v>
      </c>
      <c r="B18" s="245">
        <f>20+45</f>
        <v>65</v>
      </c>
      <c r="C18" s="245">
        <f aca="true" t="shared" si="9" ref="C18:M18">B18</f>
        <v>65</v>
      </c>
      <c r="D18" s="245">
        <f t="shared" si="9"/>
        <v>65</v>
      </c>
      <c r="E18" s="245">
        <f t="shared" si="9"/>
        <v>65</v>
      </c>
      <c r="F18" s="245">
        <f t="shared" si="9"/>
        <v>65</v>
      </c>
      <c r="G18" s="245">
        <f t="shared" si="9"/>
        <v>65</v>
      </c>
      <c r="H18" s="245">
        <f t="shared" si="9"/>
        <v>65</v>
      </c>
      <c r="I18" s="245">
        <f t="shared" si="9"/>
        <v>65</v>
      </c>
      <c r="J18" s="245">
        <f t="shared" si="9"/>
        <v>65</v>
      </c>
      <c r="K18" s="245">
        <f t="shared" si="9"/>
        <v>65</v>
      </c>
      <c r="L18" s="245">
        <f t="shared" si="9"/>
        <v>65</v>
      </c>
      <c r="M18" s="245">
        <f t="shared" si="9"/>
        <v>65</v>
      </c>
      <c r="N18" s="245">
        <f t="shared" si="2"/>
        <v>780</v>
      </c>
      <c r="O18" s="245">
        <v>1060.8</v>
      </c>
      <c r="P18" s="245">
        <v>1103.2320000000002</v>
      </c>
      <c r="Q18" s="245">
        <v>1147.36128</v>
      </c>
      <c r="R18" s="246">
        <v>1193.2557312000004</v>
      </c>
    </row>
    <row r="19" spans="1:18" ht="15">
      <c r="A19" s="247" t="s">
        <v>81</v>
      </c>
      <c r="B19" s="245">
        <v>0</v>
      </c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>
        <v>0</v>
      </c>
      <c r="O19" s="245">
        <v>0</v>
      </c>
      <c r="P19" s="245">
        <v>0</v>
      </c>
      <c r="Q19" s="245">
        <v>300</v>
      </c>
      <c r="R19" s="246">
        <v>312</v>
      </c>
    </row>
    <row r="20" spans="1:18" ht="15">
      <c r="A20" s="247" t="s">
        <v>92</v>
      </c>
      <c r="B20" s="245">
        <v>0</v>
      </c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>
        <v>0</v>
      </c>
      <c r="O20" s="245">
        <v>0</v>
      </c>
      <c r="P20" s="245">
        <v>480</v>
      </c>
      <c r="Q20" s="245">
        <v>499.2000000000001</v>
      </c>
      <c r="R20" s="246">
        <v>519.168</v>
      </c>
    </row>
    <row r="21" spans="1:18" ht="15">
      <c r="A21" s="247" t="s">
        <v>82</v>
      </c>
      <c r="B21" s="245">
        <v>100</v>
      </c>
      <c r="C21" s="245">
        <v>0</v>
      </c>
      <c r="D21" s="245">
        <f aca="true" t="shared" si="10" ref="D21:M21">C21</f>
        <v>0</v>
      </c>
      <c r="E21" s="245">
        <f t="shared" si="10"/>
        <v>0</v>
      </c>
      <c r="F21" s="245">
        <f t="shared" si="10"/>
        <v>0</v>
      </c>
      <c r="G21" s="245">
        <f t="shared" si="10"/>
        <v>0</v>
      </c>
      <c r="H21" s="245">
        <f t="shared" si="10"/>
        <v>0</v>
      </c>
      <c r="I21" s="245">
        <f t="shared" si="10"/>
        <v>0</v>
      </c>
      <c r="J21" s="245">
        <f t="shared" si="10"/>
        <v>0</v>
      </c>
      <c r="K21" s="245">
        <f t="shared" si="10"/>
        <v>0</v>
      </c>
      <c r="L21" s="245">
        <f t="shared" si="10"/>
        <v>0</v>
      </c>
      <c r="M21" s="245">
        <f t="shared" si="10"/>
        <v>0</v>
      </c>
      <c r="N21" s="245">
        <f t="shared" si="2"/>
        <v>100</v>
      </c>
      <c r="O21" s="245">
        <v>104</v>
      </c>
      <c r="P21" s="245">
        <v>108.16</v>
      </c>
      <c r="Q21" s="245">
        <v>112.4864</v>
      </c>
      <c r="R21" s="246">
        <v>116.98585600000001</v>
      </c>
    </row>
    <row r="22" spans="1:18" ht="15">
      <c r="A22" s="247" t="s">
        <v>83</v>
      </c>
      <c r="B22" s="245">
        <v>30</v>
      </c>
      <c r="C22" s="245">
        <f aca="true" t="shared" si="11" ref="C22:M22">B22</f>
        <v>30</v>
      </c>
      <c r="D22" s="245">
        <f t="shared" si="11"/>
        <v>30</v>
      </c>
      <c r="E22" s="245">
        <f t="shared" si="11"/>
        <v>30</v>
      </c>
      <c r="F22" s="245">
        <f t="shared" si="11"/>
        <v>30</v>
      </c>
      <c r="G22" s="245">
        <f t="shared" si="11"/>
        <v>30</v>
      </c>
      <c r="H22" s="245">
        <f t="shared" si="11"/>
        <v>30</v>
      </c>
      <c r="I22" s="245">
        <f t="shared" si="11"/>
        <v>30</v>
      </c>
      <c r="J22" s="245">
        <f t="shared" si="11"/>
        <v>30</v>
      </c>
      <c r="K22" s="245">
        <f t="shared" si="11"/>
        <v>30</v>
      </c>
      <c r="L22" s="245">
        <f t="shared" si="11"/>
        <v>30</v>
      </c>
      <c r="M22" s="245">
        <f t="shared" si="11"/>
        <v>30</v>
      </c>
      <c r="N22" s="245">
        <f t="shared" si="2"/>
        <v>360</v>
      </c>
      <c r="O22" s="245">
        <v>374.3999999999999</v>
      </c>
      <c r="P22" s="245">
        <v>389.376</v>
      </c>
      <c r="Q22" s="245">
        <v>404.95104000000015</v>
      </c>
      <c r="R22" s="246">
        <v>421.1490816000001</v>
      </c>
    </row>
    <row r="23" spans="1:18" ht="15">
      <c r="A23" s="247" t="s">
        <v>84</v>
      </c>
      <c r="B23" s="245">
        <f>'ACTIVOS FIJOS'!F17</f>
        <v>190.5277777777778</v>
      </c>
      <c r="C23" s="245">
        <f aca="true" t="shared" si="12" ref="C23:M23">B23</f>
        <v>190.5277777777778</v>
      </c>
      <c r="D23" s="245">
        <f t="shared" si="12"/>
        <v>190.5277777777778</v>
      </c>
      <c r="E23" s="245">
        <f t="shared" si="12"/>
        <v>190.5277777777778</v>
      </c>
      <c r="F23" s="245">
        <f t="shared" si="12"/>
        <v>190.5277777777778</v>
      </c>
      <c r="G23" s="245">
        <f t="shared" si="12"/>
        <v>190.5277777777778</v>
      </c>
      <c r="H23" s="245">
        <f t="shared" si="12"/>
        <v>190.5277777777778</v>
      </c>
      <c r="I23" s="245">
        <f t="shared" si="12"/>
        <v>190.5277777777778</v>
      </c>
      <c r="J23" s="245">
        <f t="shared" si="12"/>
        <v>190.5277777777778</v>
      </c>
      <c r="K23" s="245">
        <f t="shared" si="12"/>
        <v>190.5277777777778</v>
      </c>
      <c r="L23" s="245">
        <f t="shared" si="12"/>
        <v>190.5277777777778</v>
      </c>
      <c r="M23" s="245">
        <f t="shared" si="12"/>
        <v>190.5277777777778</v>
      </c>
      <c r="N23" s="245">
        <f t="shared" si="2"/>
        <v>2286.3333333333335</v>
      </c>
      <c r="O23" s="245">
        <v>2286.3333333333335</v>
      </c>
      <c r="P23" s="245">
        <v>2286.3333333333335</v>
      </c>
      <c r="Q23" s="245">
        <v>653</v>
      </c>
      <c r="R23" s="246">
        <v>653</v>
      </c>
    </row>
    <row r="24" spans="1:18" ht="15.75" thickBot="1">
      <c r="A24" s="247" t="s">
        <v>85</v>
      </c>
      <c r="B24" s="245">
        <f>'G. CONST.'!E15</f>
        <v>58.7</v>
      </c>
      <c r="C24" s="245">
        <f aca="true" t="shared" si="13" ref="C24:M24">B24</f>
        <v>58.7</v>
      </c>
      <c r="D24" s="245">
        <f t="shared" si="13"/>
        <v>58.7</v>
      </c>
      <c r="E24" s="245">
        <f t="shared" si="13"/>
        <v>58.7</v>
      </c>
      <c r="F24" s="245">
        <f t="shared" si="13"/>
        <v>58.7</v>
      </c>
      <c r="G24" s="245">
        <f t="shared" si="13"/>
        <v>58.7</v>
      </c>
      <c r="H24" s="245">
        <f t="shared" si="13"/>
        <v>58.7</v>
      </c>
      <c r="I24" s="245">
        <f t="shared" si="13"/>
        <v>58.7</v>
      </c>
      <c r="J24" s="245">
        <f t="shared" si="13"/>
        <v>58.7</v>
      </c>
      <c r="K24" s="245">
        <f t="shared" si="13"/>
        <v>58.7</v>
      </c>
      <c r="L24" s="245">
        <f t="shared" si="13"/>
        <v>58.7</v>
      </c>
      <c r="M24" s="245">
        <f t="shared" si="13"/>
        <v>58.7</v>
      </c>
      <c r="N24" s="245">
        <f t="shared" si="2"/>
        <v>704.4000000000001</v>
      </c>
      <c r="O24" s="245">
        <v>704.4000000000001</v>
      </c>
      <c r="P24" s="245">
        <v>704.4000000000001</v>
      </c>
      <c r="Q24" s="245">
        <v>704.4000000000001</v>
      </c>
      <c r="R24" s="246">
        <v>704.4000000000001</v>
      </c>
    </row>
    <row r="25" spans="1:18" ht="15.75" thickBot="1">
      <c r="A25" s="252"/>
      <c r="B25" s="253">
        <f aca="true" t="shared" si="14" ref="B25:N25">SUM(B5:B24)</f>
        <v>4610.294444444444</v>
      </c>
      <c r="C25" s="253">
        <f t="shared" si="14"/>
        <v>4508.912956646115</v>
      </c>
      <c r="D25" s="253">
        <f t="shared" si="14"/>
        <v>4507.527151698417</v>
      </c>
      <c r="E25" s="253">
        <f t="shared" si="14"/>
        <v>4506.137016110256</v>
      </c>
      <c r="F25" s="253">
        <f t="shared" si="14"/>
        <v>4504.7425363483835</v>
      </c>
      <c r="G25" s="253">
        <f t="shared" si="14"/>
        <v>4503.343698837255</v>
      </c>
      <c r="H25" s="253">
        <f t="shared" si="14"/>
        <v>4501.9404899589035</v>
      </c>
      <c r="I25" s="253">
        <f t="shared" si="14"/>
        <v>4500.532896052807</v>
      </c>
      <c r="J25" s="253">
        <f t="shared" si="14"/>
        <v>4499.120903415755</v>
      </c>
      <c r="K25" s="253">
        <f t="shared" si="14"/>
        <v>4497.704498301711</v>
      </c>
      <c r="L25" s="253">
        <f t="shared" si="14"/>
        <v>4496.283666921686</v>
      </c>
      <c r="M25" s="253">
        <f t="shared" si="14"/>
        <v>4494.858395443599</v>
      </c>
      <c r="N25" s="253">
        <f t="shared" si="14"/>
        <v>54131.39865417934</v>
      </c>
      <c r="O25" s="253">
        <v>64852.52354763307</v>
      </c>
      <c r="P25" s="253">
        <v>67522.39845333333</v>
      </c>
      <c r="Q25" s="253">
        <v>68763.79172479999</v>
      </c>
      <c r="R25" s="254">
        <v>75984.07406045868</v>
      </c>
    </row>
    <row r="26" spans="1:23" s="241" customFormat="1" ht="15">
      <c r="A26" s="242"/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2"/>
      <c r="P26" s="242"/>
      <c r="Q26" s="242"/>
      <c r="R26" s="242"/>
      <c r="S26" s="242"/>
      <c r="T26" s="242"/>
      <c r="U26" s="242"/>
      <c r="V26" s="242"/>
      <c r="W26" s="242"/>
    </row>
    <row r="27" spans="1:14" s="8" customFormat="1" ht="15">
      <c r="A27" s="37" t="s">
        <v>113</v>
      </c>
      <c r="B27" s="36" t="s">
        <v>20</v>
      </c>
      <c r="C27" s="36" t="s">
        <v>21</v>
      </c>
      <c r="D27" s="36" t="s">
        <v>22</v>
      </c>
      <c r="E27" s="36" t="s">
        <v>23</v>
      </c>
      <c r="F27" s="36" t="s">
        <v>24</v>
      </c>
      <c r="G27" s="36" t="s">
        <v>25</v>
      </c>
      <c r="H27" s="36" t="s">
        <v>26</v>
      </c>
      <c r="I27" s="36" t="s">
        <v>27</v>
      </c>
      <c r="J27" s="36" t="s">
        <v>28</v>
      </c>
      <c r="K27" s="36" t="s">
        <v>29</v>
      </c>
      <c r="L27" s="36" t="s">
        <v>30</v>
      </c>
      <c r="M27" s="36" t="s">
        <v>31</v>
      </c>
      <c r="N27" s="37" t="s">
        <v>31</v>
      </c>
    </row>
    <row r="28" spans="1:14" ht="15">
      <c r="A28" s="38" t="s">
        <v>76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1:14" ht="15">
      <c r="A29" s="39" t="s">
        <v>86</v>
      </c>
      <c r="B29" s="39">
        <f>SUELDOS!B25</f>
        <v>2964</v>
      </c>
      <c r="C29" s="39">
        <f>B29</f>
        <v>2964</v>
      </c>
      <c r="D29" s="39">
        <f aca="true" t="shared" si="15" ref="D29:M29">C29</f>
        <v>2964</v>
      </c>
      <c r="E29" s="39">
        <f t="shared" si="15"/>
        <v>2964</v>
      </c>
      <c r="F29" s="39">
        <f t="shared" si="15"/>
        <v>2964</v>
      </c>
      <c r="G29" s="39">
        <f t="shared" si="15"/>
        <v>2964</v>
      </c>
      <c r="H29" s="39">
        <f t="shared" si="15"/>
        <v>2964</v>
      </c>
      <c r="I29" s="39">
        <f t="shared" si="15"/>
        <v>2964</v>
      </c>
      <c r="J29" s="39">
        <f t="shared" si="15"/>
        <v>2964</v>
      </c>
      <c r="K29" s="39">
        <f t="shared" si="15"/>
        <v>2964</v>
      </c>
      <c r="L29" s="39">
        <f t="shared" si="15"/>
        <v>2964</v>
      </c>
      <c r="M29" s="39">
        <f t="shared" si="15"/>
        <v>2964</v>
      </c>
      <c r="N29" s="39">
        <f>SUM(B29:M29)</f>
        <v>35568</v>
      </c>
    </row>
    <row r="30" spans="1:14" ht="15">
      <c r="A30" s="39" t="s">
        <v>87</v>
      </c>
      <c r="B30" s="39">
        <f>SUELDOS!E25</f>
        <v>360.12600000000003</v>
      </c>
      <c r="C30" s="39">
        <f aca="true" t="shared" si="16" ref="C30:M30">B30</f>
        <v>360.12600000000003</v>
      </c>
      <c r="D30" s="39">
        <f t="shared" si="16"/>
        <v>360.12600000000003</v>
      </c>
      <c r="E30" s="39">
        <f t="shared" si="16"/>
        <v>360.12600000000003</v>
      </c>
      <c r="F30" s="39">
        <f t="shared" si="16"/>
        <v>360.12600000000003</v>
      </c>
      <c r="G30" s="39">
        <f t="shared" si="16"/>
        <v>360.12600000000003</v>
      </c>
      <c r="H30" s="39">
        <f t="shared" si="16"/>
        <v>360.12600000000003</v>
      </c>
      <c r="I30" s="39">
        <f t="shared" si="16"/>
        <v>360.12600000000003</v>
      </c>
      <c r="J30" s="39">
        <f t="shared" si="16"/>
        <v>360.12600000000003</v>
      </c>
      <c r="K30" s="39">
        <f t="shared" si="16"/>
        <v>360.12600000000003</v>
      </c>
      <c r="L30" s="39">
        <f t="shared" si="16"/>
        <v>360.12600000000003</v>
      </c>
      <c r="M30" s="39">
        <f t="shared" si="16"/>
        <v>360.12600000000003</v>
      </c>
      <c r="N30" s="39">
        <f aca="true" t="shared" si="17" ref="N30:N48">SUM(B30:M30)</f>
        <v>4321.5120000000015</v>
      </c>
    </row>
    <row r="31" spans="1:14" ht="15">
      <c r="A31" s="39" t="s">
        <v>88</v>
      </c>
      <c r="B31" s="39">
        <f>SUELDOS!F25</f>
        <v>20.583333333333336</v>
      </c>
      <c r="C31" s="39">
        <f aca="true" t="shared" si="18" ref="C31:M31">B31</f>
        <v>20.583333333333336</v>
      </c>
      <c r="D31" s="39">
        <f t="shared" si="18"/>
        <v>20.583333333333336</v>
      </c>
      <c r="E31" s="39">
        <f t="shared" si="18"/>
        <v>20.583333333333336</v>
      </c>
      <c r="F31" s="39">
        <f t="shared" si="18"/>
        <v>20.583333333333336</v>
      </c>
      <c r="G31" s="39">
        <f t="shared" si="18"/>
        <v>20.583333333333336</v>
      </c>
      <c r="H31" s="39">
        <f t="shared" si="18"/>
        <v>20.583333333333336</v>
      </c>
      <c r="I31" s="39">
        <f t="shared" si="18"/>
        <v>20.583333333333336</v>
      </c>
      <c r="J31" s="39">
        <f t="shared" si="18"/>
        <v>20.583333333333336</v>
      </c>
      <c r="K31" s="39">
        <f t="shared" si="18"/>
        <v>20.583333333333336</v>
      </c>
      <c r="L31" s="39">
        <f t="shared" si="18"/>
        <v>20.583333333333336</v>
      </c>
      <c r="M31" s="39">
        <f t="shared" si="18"/>
        <v>20.583333333333336</v>
      </c>
      <c r="N31" s="39">
        <f t="shared" si="17"/>
        <v>247.00000000000009</v>
      </c>
    </row>
    <row r="32" spans="1:14" ht="15">
      <c r="A32" s="39" t="s">
        <v>89</v>
      </c>
      <c r="B32" s="39">
        <f>SUELDOS!G25</f>
        <v>13.625000000000002</v>
      </c>
      <c r="C32" s="39">
        <f aca="true" t="shared" si="19" ref="C32:M32">B32</f>
        <v>13.625000000000002</v>
      </c>
      <c r="D32" s="39">
        <f t="shared" si="19"/>
        <v>13.625000000000002</v>
      </c>
      <c r="E32" s="39">
        <f t="shared" si="19"/>
        <v>13.625000000000002</v>
      </c>
      <c r="F32" s="39">
        <f t="shared" si="19"/>
        <v>13.625000000000002</v>
      </c>
      <c r="G32" s="39">
        <f t="shared" si="19"/>
        <v>13.625000000000002</v>
      </c>
      <c r="H32" s="39">
        <f t="shared" si="19"/>
        <v>13.625000000000002</v>
      </c>
      <c r="I32" s="39">
        <f t="shared" si="19"/>
        <v>13.625000000000002</v>
      </c>
      <c r="J32" s="39">
        <f t="shared" si="19"/>
        <v>13.625000000000002</v>
      </c>
      <c r="K32" s="39">
        <f t="shared" si="19"/>
        <v>13.625000000000002</v>
      </c>
      <c r="L32" s="39">
        <f t="shared" si="19"/>
        <v>13.625000000000002</v>
      </c>
      <c r="M32" s="39">
        <f t="shared" si="19"/>
        <v>13.625000000000002</v>
      </c>
      <c r="N32" s="39">
        <f t="shared" si="17"/>
        <v>163.50000000000003</v>
      </c>
    </row>
    <row r="33" spans="1:14" ht="15">
      <c r="A33" s="39" t="s">
        <v>90</v>
      </c>
      <c r="B33" s="39">
        <f>SUELDOS!I25</f>
        <v>247</v>
      </c>
      <c r="C33" s="39">
        <f aca="true" t="shared" si="20" ref="C33:M33">B33</f>
        <v>247</v>
      </c>
      <c r="D33" s="39">
        <f t="shared" si="20"/>
        <v>247</v>
      </c>
      <c r="E33" s="39">
        <f t="shared" si="20"/>
        <v>247</v>
      </c>
      <c r="F33" s="39">
        <f t="shared" si="20"/>
        <v>247</v>
      </c>
      <c r="G33" s="39">
        <f t="shared" si="20"/>
        <v>247</v>
      </c>
      <c r="H33" s="39">
        <f t="shared" si="20"/>
        <v>247</v>
      </c>
      <c r="I33" s="39">
        <f t="shared" si="20"/>
        <v>247</v>
      </c>
      <c r="J33" s="39">
        <f t="shared" si="20"/>
        <v>247</v>
      </c>
      <c r="K33" s="39">
        <f t="shared" si="20"/>
        <v>247</v>
      </c>
      <c r="L33" s="39">
        <f t="shared" si="20"/>
        <v>247</v>
      </c>
      <c r="M33" s="39">
        <f t="shared" si="20"/>
        <v>247</v>
      </c>
      <c r="N33" s="39">
        <f t="shared" si="17"/>
        <v>2964</v>
      </c>
    </row>
    <row r="34" spans="1:14" ht="15">
      <c r="A34" s="39" t="s">
        <v>91</v>
      </c>
      <c r="B34" s="39">
        <f>SUELDOS!H25</f>
        <v>123.5</v>
      </c>
      <c r="C34" s="39">
        <f aca="true" t="shared" si="21" ref="C34:M34">B34</f>
        <v>123.5</v>
      </c>
      <c r="D34" s="39">
        <f t="shared" si="21"/>
        <v>123.5</v>
      </c>
      <c r="E34" s="39">
        <f t="shared" si="21"/>
        <v>123.5</v>
      </c>
      <c r="F34" s="39">
        <f t="shared" si="21"/>
        <v>123.5</v>
      </c>
      <c r="G34" s="39">
        <f t="shared" si="21"/>
        <v>123.5</v>
      </c>
      <c r="H34" s="39">
        <f t="shared" si="21"/>
        <v>123.5</v>
      </c>
      <c r="I34" s="39">
        <f t="shared" si="21"/>
        <v>123.5</v>
      </c>
      <c r="J34" s="39">
        <f t="shared" si="21"/>
        <v>123.5</v>
      </c>
      <c r="K34" s="39">
        <f t="shared" si="21"/>
        <v>123.5</v>
      </c>
      <c r="L34" s="39">
        <f t="shared" si="21"/>
        <v>123.5</v>
      </c>
      <c r="M34" s="39">
        <f t="shared" si="21"/>
        <v>123.5</v>
      </c>
      <c r="N34" s="39">
        <f t="shared" si="17"/>
        <v>1482</v>
      </c>
    </row>
    <row r="35" spans="1:14" ht="15">
      <c r="A35" s="39" t="s">
        <v>104</v>
      </c>
      <c r="B35" s="39">
        <f>SUM('PROY. INGRESOS'!Q6:Q8)*0.15/12</f>
        <v>37.44</v>
      </c>
      <c r="C35" s="39">
        <f aca="true" t="shared" si="22" ref="C35:M35">B35</f>
        <v>37.44</v>
      </c>
      <c r="D35" s="39">
        <f t="shared" si="22"/>
        <v>37.44</v>
      </c>
      <c r="E35" s="39">
        <f t="shared" si="22"/>
        <v>37.44</v>
      </c>
      <c r="F35" s="39">
        <f t="shared" si="22"/>
        <v>37.44</v>
      </c>
      <c r="G35" s="39">
        <f t="shared" si="22"/>
        <v>37.44</v>
      </c>
      <c r="H35" s="39">
        <f t="shared" si="22"/>
        <v>37.44</v>
      </c>
      <c r="I35" s="39">
        <f t="shared" si="22"/>
        <v>37.44</v>
      </c>
      <c r="J35" s="39">
        <f t="shared" si="22"/>
        <v>37.44</v>
      </c>
      <c r="K35" s="39">
        <f t="shared" si="22"/>
        <v>37.44</v>
      </c>
      <c r="L35" s="39">
        <f t="shared" si="22"/>
        <v>37.44</v>
      </c>
      <c r="M35" s="39">
        <f t="shared" si="22"/>
        <v>37.44</v>
      </c>
      <c r="N35" s="39">
        <f t="shared" si="17"/>
        <v>449.28</v>
      </c>
    </row>
    <row r="36" spans="1:14" ht="15">
      <c r="A36" s="39" t="s">
        <v>103</v>
      </c>
      <c r="B36" s="39">
        <f>SUM('PROY. INGRESOS'!Q11:Q12)*0.15/12</f>
        <v>327.59999999999997</v>
      </c>
      <c r="C36" s="39">
        <f aca="true" t="shared" si="23" ref="C36:M36">B36</f>
        <v>327.59999999999997</v>
      </c>
      <c r="D36" s="39">
        <f t="shared" si="23"/>
        <v>327.59999999999997</v>
      </c>
      <c r="E36" s="39">
        <f t="shared" si="23"/>
        <v>327.59999999999997</v>
      </c>
      <c r="F36" s="39">
        <f t="shared" si="23"/>
        <v>327.59999999999997</v>
      </c>
      <c r="G36" s="39">
        <f t="shared" si="23"/>
        <v>327.59999999999997</v>
      </c>
      <c r="H36" s="39">
        <f t="shared" si="23"/>
        <v>327.59999999999997</v>
      </c>
      <c r="I36" s="39">
        <f t="shared" si="23"/>
        <v>327.59999999999997</v>
      </c>
      <c r="J36" s="39">
        <f t="shared" si="23"/>
        <v>327.59999999999997</v>
      </c>
      <c r="K36" s="39">
        <f t="shared" si="23"/>
        <v>327.59999999999997</v>
      </c>
      <c r="L36" s="39">
        <f t="shared" si="23"/>
        <v>327.59999999999997</v>
      </c>
      <c r="M36" s="39">
        <f t="shared" si="23"/>
        <v>327.59999999999997</v>
      </c>
      <c r="N36" s="39">
        <f t="shared" si="17"/>
        <v>3931.1999999999994</v>
      </c>
    </row>
    <row r="37" spans="1:14" ht="15">
      <c r="A37" s="39" t="s">
        <v>154</v>
      </c>
      <c r="B37" s="39">
        <f>SUM('PROY. INGRESOS'!Q15:Q21)*0.2/12</f>
        <v>682.2400000000001</v>
      </c>
      <c r="C37" s="39">
        <f aca="true" t="shared" si="24" ref="C37:M37">B37</f>
        <v>682.2400000000001</v>
      </c>
      <c r="D37" s="39">
        <f t="shared" si="24"/>
        <v>682.2400000000001</v>
      </c>
      <c r="E37" s="39">
        <f t="shared" si="24"/>
        <v>682.2400000000001</v>
      </c>
      <c r="F37" s="39">
        <f t="shared" si="24"/>
        <v>682.2400000000001</v>
      </c>
      <c r="G37" s="39">
        <f t="shared" si="24"/>
        <v>682.2400000000001</v>
      </c>
      <c r="H37" s="39">
        <f t="shared" si="24"/>
        <v>682.2400000000001</v>
      </c>
      <c r="I37" s="39">
        <f t="shared" si="24"/>
        <v>682.2400000000001</v>
      </c>
      <c r="J37" s="39">
        <f t="shared" si="24"/>
        <v>682.2400000000001</v>
      </c>
      <c r="K37" s="39">
        <f t="shared" si="24"/>
        <v>682.2400000000001</v>
      </c>
      <c r="L37" s="39">
        <f t="shared" si="24"/>
        <v>682.2400000000001</v>
      </c>
      <c r="M37" s="39">
        <f t="shared" si="24"/>
        <v>682.2400000000001</v>
      </c>
      <c r="N37" s="39">
        <f t="shared" si="17"/>
        <v>8186.88</v>
      </c>
    </row>
    <row r="38" spans="1:14" ht="15">
      <c r="A38" s="39" t="s">
        <v>196</v>
      </c>
      <c r="B38" s="39">
        <f>PRESTAMOS!D24</f>
        <v>17.509225547698758</v>
      </c>
      <c r="C38" s="39">
        <f>PRESTAMOS!D25</f>
        <v>16.075032204206565</v>
      </c>
      <c r="D38" s="39">
        <f>PRESTAMOS!D26</f>
        <v>14.636357006515961</v>
      </c>
      <c r="E38" s="39">
        <f>PRESTAMOS!D27</f>
        <v>13.193185948832571</v>
      </c>
      <c r="F38" s="39">
        <f>PRESTAMOS!D28</f>
        <v>11.745504981593923</v>
      </c>
      <c r="G38" s="39">
        <f>PRESTAMOS!D29</f>
        <v>10.293300011332652</v>
      </c>
      <c r="H38" s="39">
        <f>PRESTAMOS!D30</f>
        <v>8.836556900539316</v>
      </c>
      <c r="I38" s="39">
        <f>PRESTAMOS!D31</f>
        <v>7.3752614675247505</v>
      </c>
      <c r="J38" s="39">
        <f>PRESTAMOS!D32</f>
        <v>5.909399486282015</v>
      </c>
      <c r="K38" s="39">
        <f>PRESTAMOS!D33</f>
        <v>4.438956686347896</v>
      </c>
      <c r="L38" s="39">
        <f>PRESTAMOS!D34</f>
        <v>2.963918752663982</v>
      </c>
      <c r="M38" s="39">
        <f>PRESTAMOS!D35</f>
        <v>1.484271325437306</v>
      </c>
      <c r="N38" s="39">
        <f t="shared" si="17"/>
        <v>114.4609703189757</v>
      </c>
    </row>
    <row r="39" spans="1:14" ht="15">
      <c r="A39" s="39" t="s">
        <v>77</v>
      </c>
      <c r="B39" s="39">
        <f>B15*1.04</f>
        <v>208</v>
      </c>
      <c r="C39" s="39">
        <f aca="true" t="shared" si="25" ref="C39:M39">B39</f>
        <v>208</v>
      </c>
      <c r="D39" s="39">
        <f t="shared" si="25"/>
        <v>208</v>
      </c>
      <c r="E39" s="39">
        <f t="shared" si="25"/>
        <v>208</v>
      </c>
      <c r="F39" s="39">
        <f t="shared" si="25"/>
        <v>208</v>
      </c>
      <c r="G39" s="39">
        <f t="shared" si="25"/>
        <v>208</v>
      </c>
      <c r="H39" s="39">
        <f t="shared" si="25"/>
        <v>208</v>
      </c>
      <c r="I39" s="39">
        <f t="shared" si="25"/>
        <v>208</v>
      </c>
      <c r="J39" s="39">
        <f t="shared" si="25"/>
        <v>208</v>
      </c>
      <c r="K39" s="39">
        <f t="shared" si="25"/>
        <v>208</v>
      </c>
      <c r="L39" s="39">
        <f t="shared" si="25"/>
        <v>208</v>
      </c>
      <c r="M39" s="39">
        <f t="shared" si="25"/>
        <v>208</v>
      </c>
      <c r="N39" s="39">
        <f t="shared" si="17"/>
        <v>2496</v>
      </c>
    </row>
    <row r="40" spans="1:14" ht="15">
      <c r="A40" s="39" t="s">
        <v>78</v>
      </c>
      <c r="B40" s="39">
        <f>B16*1.04</f>
        <v>26</v>
      </c>
      <c r="C40" s="39">
        <f aca="true" t="shared" si="26" ref="C40:M40">B40</f>
        <v>26</v>
      </c>
      <c r="D40" s="39">
        <f t="shared" si="26"/>
        <v>26</v>
      </c>
      <c r="E40" s="39">
        <f t="shared" si="26"/>
        <v>26</v>
      </c>
      <c r="F40" s="39">
        <f t="shared" si="26"/>
        <v>26</v>
      </c>
      <c r="G40" s="39">
        <f t="shared" si="26"/>
        <v>26</v>
      </c>
      <c r="H40" s="39">
        <f t="shared" si="26"/>
        <v>26</v>
      </c>
      <c r="I40" s="39">
        <f t="shared" si="26"/>
        <v>26</v>
      </c>
      <c r="J40" s="39">
        <f t="shared" si="26"/>
        <v>26</v>
      </c>
      <c r="K40" s="39">
        <f t="shared" si="26"/>
        <v>26</v>
      </c>
      <c r="L40" s="39">
        <f t="shared" si="26"/>
        <v>26</v>
      </c>
      <c r="M40" s="39">
        <f t="shared" si="26"/>
        <v>26</v>
      </c>
      <c r="N40" s="39">
        <f t="shared" si="17"/>
        <v>312</v>
      </c>
    </row>
    <row r="41" spans="1:14" ht="15">
      <c r="A41" s="39" t="s">
        <v>79</v>
      </c>
      <c r="B41" s="39">
        <f>B17*1.04</f>
        <v>10.4</v>
      </c>
      <c r="C41" s="39">
        <f aca="true" t="shared" si="27" ref="C41:M41">B41</f>
        <v>10.4</v>
      </c>
      <c r="D41" s="39">
        <f t="shared" si="27"/>
        <v>10.4</v>
      </c>
      <c r="E41" s="39">
        <f t="shared" si="27"/>
        <v>10.4</v>
      </c>
      <c r="F41" s="39">
        <f t="shared" si="27"/>
        <v>10.4</v>
      </c>
      <c r="G41" s="39">
        <f t="shared" si="27"/>
        <v>10.4</v>
      </c>
      <c r="H41" s="39">
        <f t="shared" si="27"/>
        <v>10.4</v>
      </c>
      <c r="I41" s="39">
        <f t="shared" si="27"/>
        <v>10.4</v>
      </c>
      <c r="J41" s="39">
        <f t="shared" si="27"/>
        <v>10.4</v>
      </c>
      <c r="K41" s="39">
        <f t="shared" si="27"/>
        <v>10.4</v>
      </c>
      <c r="L41" s="39">
        <f t="shared" si="27"/>
        <v>10.4</v>
      </c>
      <c r="M41" s="39">
        <f t="shared" si="27"/>
        <v>10.4</v>
      </c>
      <c r="N41" s="39">
        <f t="shared" si="17"/>
        <v>124.80000000000003</v>
      </c>
    </row>
    <row r="42" spans="1:14" ht="15">
      <c r="A42" s="39" t="s">
        <v>80</v>
      </c>
      <c r="B42" s="39">
        <f>B18*1.04</f>
        <v>67.60000000000001</v>
      </c>
      <c r="C42" s="39">
        <f aca="true" t="shared" si="28" ref="C42:M42">B42</f>
        <v>67.60000000000001</v>
      </c>
      <c r="D42" s="39">
        <f t="shared" si="28"/>
        <v>67.60000000000001</v>
      </c>
      <c r="E42" s="39">
        <f t="shared" si="28"/>
        <v>67.60000000000001</v>
      </c>
      <c r="F42" s="39">
        <f t="shared" si="28"/>
        <v>67.60000000000001</v>
      </c>
      <c r="G42" s="39">
        <f t="shared" si="28"/>
        <v>67.60000000000001</v>
      </c>
      <c r="H42" s="39">
        <f t="shared" si="28"/>
        <v>67.60000000000001</v>
      </c>
      <c r="I42" s="39">
        <f t="shared" si="28"/>
        <v>67.60000000000001</v>
      </c>
      <c r="J42" s="39">
        <f t="shared" si="28"/>
        <v>67.60000000000001</v>
      </c>
      <c r="K42" s="39">
        <f t="shared" si="28"/>
        <v>67.60000000000001</v>
      </c>
      <c r="L42" s="39">
        <f t="shared" si="28"/>
        <v>67.60000000000001</v>
      </c>
      <c r="M42" s="39">
        <f t="shared" si="28"/>
        <v>67.60000000000001</v>
      </c>
      <c r="N42" s="39">
        <f t="shared" si="17"/>
        <v>811.2000000000002</v>
      </c>
    </row>
    <row r="43" spans="1:14" ht="15">
      <c r="A43" s="39" t="str">
        <f>A20</f>
        <v>CUOTAS Y SUSCRIPCIONES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1:14" ht="15">
      <c r="A44" s="39" t="str">
        <f>A68</f>
        <v>CUOTAS Y SUSCRIPCIONES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1:14" ht="15">
      <c r="A45" s="39" t="s">
        <v>82</v>
      </c>
      <c r="B45" s="39">
        <f>B21*1.04</f>
        <v>104</v>
      </c>
      <c r="C45" s="39">
        <v>0</v>
      </c>
      <c r="D45" s="39">
        <f aca="true" t="shared" si="29" ref="D45:M45">C45</f>
        <v>0</v>
      </c>
      <c r="E45" s="39">
        <f t="shared" si="29"/>
        <v>0</v>
      </c>
      <c r="F45" s="39">
        <f t="shared" si="29"/>
        <v>0</v>
      </c>
      <c r="G45" s="39">
        <f t="shared" si="29"/>
        <v>0</v>
      </c>
      <c r="H45" s="39">
        <f t="shared" si="29"/>
        <v>0</v>
      </c>
      <c r="I45" s="39">
        <f t="shared" si="29"/>
        <v>0</v>
      </c>
      <c r="J45" s="39">
        <f t="shared" si="29"/>
        <v>0</v>
      </c>
      <c r="K45" s="39">
        <f t="shared" si="29"/>
        <v>0</v>
      </c>
      <c r="L45" s="39">
        <f t="shared" si="29"/>
        <v>0</v>
      </c>
      <c r="M45" s="39">
        <f t="shared" si="29"/>
        <v>0</v>
      </c>
      <c r="N45" s="39">
        <f t="shared" si="17"/>
        <v>104</v>
      </c>
    </row>
    <row r="46" spans="1:14" ht="15">
      <c r="A46" s="39" t="s">
        <v>83</v>
      </c>
      <c r="B46" s="39">
        <f>B22*1.04</f>
        <v>31.200000000000003</v>
      </c>
      <c r="C46" s="39">
        <f aca="true" t="shared" si="30" ref="C46:M46">B46</f>
        <v>31.200000000000003</v>
      </c>
      <c r="D46" s="39">
        <f t="shared" si="30"/>
        <v>31.200000000000003</v>
      </c>
      <c r="E46" s="39">
        <f t="shared" si="30"/>
        <v>31.200000000000003</v>
      </c>
      <c r="F46" s="39">
        <f t="shared" si="30"/>
        <v>31.200000000000003</v>
      </c>
      <c r="G46" s="39">
        <f t="shared" si="30"/>
        <v>31.200000000000003</v>
      </c>
      <c r="H46" s="39">
        <f t="shared" si="30"/>
        <v>31.200000000000003</v>
      </c>
      <c r="I46" s="39">
        <f t="shared" si="30"/>
        <v>31.200000000000003</v>
      </c>
      <c r="J46" s="39">
        <f t="shared" si="30"/>
        <v>31.200000000000003</v>
      </c>
      <c r="K46" s="39">
        <f t="shared" si="30"/>
        <v>31.200000000000003</v>
      </c>
      <c r="L46" s="39">
        <f t="shared" si="30"/>
        <v>31.200000000000003</v>
      </c>
      <c r="M46" s="39">
        <f t="shared" si="30"/>
        <v>31.200000000000003</v>
      </c>
      <c r="N46" s="39">
        <f t="shared" si="17"/>
        <v>374.3999999999999</v>
      </c>
    </row>
    <row r="47" spans="1:14" ht="15">
      <c r="A47" s="39" t="s">
        <v>84</v>
      </c>
      <c r="B47" s="39">
        <f>'ACTIVOS FIJOS'!G17</f>
        <v>190.5277777777778</v>
      </c>
      <c r="C47" s="39">
        <f aca="true" t="shared" si="31" ref="C47:M47">B47</f>
        <v>190.5277777777778</v>
      </c>
      <c r="D47" s="39">
        <f t="shared" si="31"/>
        <v>190.5277777777778</v>
      </c>
      <c r="E47" s="39">
        <f t="shared" si="31"/>
        <v>190.5277777777778</v>
      </c>
      <c r="F47" s="39">
        <f t="shared" si="31"/>
        <v>190.5277777777778</v>
      </c>
      <c r="G47" s="39">
        <f t="shared" si="31"/>
        <v>190.5277777777778</v>
      </c>
      <c r="H47" s="39">
        <f t="shared" si="31"/>
        <v>190.5277777777778</v>
      </c>
      <c r="I47" s="39">
        <f t="shared" si="31"/>
        <v>190.5277777777778</v>
      </c>
      <c r="J47" s="39">
        <f t="shared" si="31"/>
        <v>190.5277777777778</v>
      </c>
      <c r="K47" s="39">
        <f t="shared" si="31"/>
        <v>190.5277777777778</v>
      </c>
      <c r="L47" s="39">
        <f t="shared" si="31"/>
        <v>190.5277777777778</v>
      </c>
      <c r="M47" s="39">
        <f t="shared" si="31"/>
        <v>190.5277777777778</v>
      </c>
      <c r="N47" s="39">
        <f t="shared" si="17"/>
        <v>2286.3333333333335</v>
      </c>
    </row>
    <row r="48" spans="1:14" ht="15">
      <c r="A48" s="39" t="s">
        <v>85</v>
      </c>
      <c r="B48" s="39">
        <f>'G. CONST.'!E15</f>
        <v>58.7</v>
      </c>
      <c r="C48" s="39">
        <f aca="true" t="shared" si="32" ref="C48:M48">B48</f>
        <v>58.7</v>
      </c>
      <c r="D48" s="39">
        <f t="shared" si="32"/>
        <v>58.7</v>
      </c>
      <c r="E48" s="39">
        <f t="shared" si="32"/>
        <v>58.7</v>
      </c>
      <c r="F48" s="39">
        <f t="shared" si="32"/>
        <v>58.7</v>
      </c>
      <c r="G48" s="39">
        <f t="shared" si="32"/>
        <v>58.7</v>
      </c>
      <c r="H48" s="39">
        <f t="shared" si="32"/>
        <v>58.7</v>
      </c>
      <c r="I48" s="39">
        <f t="shared" si="32"/>
        <v>58.7</v>
      </c>
      <c r="J48" s="39">
        <f t="shared" si="32"/>
        <v>58.7</v>
      </c>
      <c r="K48" s="39">
        <f t="shared" si="32"/>
        <v>58.7</v>
      </c>
      <c r="L48" s="39">
        <f t="shared" si="32"/>
        <v>58.7</v>
      </c>
      <c r="M48" s="39">
        <f t="shared" si="32"/>
        <v>58.7</v>
      </c>
      <c r="N48" s="39">
        <f t="shared" si="17"/>
        <v>704.4000000000001</v>
      </c>
    </row>
    <row r="49" spans="1:14" ht="15">
      <c r="A49" s="43"/>
      <c r="B49" s="44">
        <f aca="true" t="shared" si="33" ref="B49:N49">SUM(B29:B48)</f>
        <v>5490.051336658809</v>
      </c>
      <c r="C49" s="44">
        <f t="shared" si="33"/>
        <v>5384.617143315318</v>
      </c>
      <c r="D49" s="44">
        <f t="shared" si="33"/>
        <v>5383.178468117627</v>
      </c>
      <c r="E49" s="44">
        <f t="shared" si="33"/>
        <v>5381.735297059943</v>
      </c>
      <c r="F49" s="44">
        <f t="shared" si="33"/>
        <v>5380.287616092704</v>
      </c>
      <c r="G49" s="44">
        <f t="shared" si="33"/>
        <v>5378.8354111224435</v>
      </c>
      <c r="H49" s="44">
        <f t="shared" si="33"/>
        <v>5377.37866801165</v>
      </c>
      <c r="I49" s="44">
        <f t="shared" si="33"/>
        <v>5375.917372578636</v>
      </c>
      <c r="J49" s="44">
        <f t="shared" si="33"/>
        <v>5374.451510597393</v>
      </c>
      <c r="K49" s="44">
        <f t="shared" si="33"/>
        <v>5372.981067797459</v>
      </c>
      <c r="L49" s="44">
        <f t="shared" si="33"/>
        <v>5371.5060298637745</v>
      </c>
      <c r="M49" s="44">
        <f t="shared" si="33"/>
        <v>5370.026382436548</v>
      </c>
      <c r="N49" s="44">
        <f t="shared" si="33"/>
        <v>64640.96630365231</v>
      </c>
    </row>
    <row r="51" spans="1:14" s="8" customFormat="1" ht="15">
      <c r="A51" s="37" t="s">
        <v>114</v>
      </c>
      <c r="B51" s="36" t="s">
        <v>20</v>
      </c>
      <c r="C51" s="36" t="s">
        <v>21</v>
      </c>
      <c r="D51" s="36" t="s">
        <v>22</v>
      </c>
      <c r="E51" s="36" t="s">
        <v>23</v>
      </c>
      <c r="F51" s="36" t="s">
        <v>24</v>
      </c>
      <c r="G51" s="36" t="s">
        <v>25</v>
      </c>
      <c r="H51" s="36" t="s">
        <v>26</v>
      </c>
      <c r="I51" s="36" t="s">
        <v>27</v>
      </c>
      <c r="J51" s="36" t="s">
        <v>28</v>
      </c>
      <c r="K51" s="36" t="s">
        <v>29</v>
      </c>
      <c r="L51" s="36" t="s">
        <v>30</v>
      </c>
      <c r="M51" s="36" t="s">
        <v>31</v>
      </c>
      <c r="N51" s="37" t="s">
        <v>31</v>
      </c>
    </row>
    <row r="52" spans="1:14" ht="15">
      <c r="A52" s="38" t="s">
        <v>76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1:14" ht="15">
      <c r="A53" s="39" t="s">
        <v>86</v>
      </c>
      <c r="B53" s="39">
        <f>SUELDOS!B37</f>
        <v>3082.5600000000004</v>
      </c>
      <c r="C53" s="39">
        <f>B53</f>
        <v>3082.5600000000004</v>
      </c>
      <c r="D53" s="39">
        <f aca="true" t="shared" si="34" ref="D53:M53">C53</f>
        <v>3082.5600000000004</v>
      </c>
      <c r="E53" s="39">
        <f t="shared" si="34"/>
        <v>3082.5600000000004</v>
      </c>
      <c r="F53" s="39">
        <f t="shared" si="34"/>
        <v>3082.5600000000004</v>
      </c>
      <c r="G53" s="39">
        <f t="shared" si="34"/>
        <v>3082.5600000000004</v>
      </c>
      <c r="H53" s="39">
        <f t="shared" si="34"/>
        <v>3082.5600000000004</v>
      </c>
      <c r="I53" s="39">
        <f t="shared" si="34"/>
        <v>3082.5600000000004</v>
      </c>
      <c r="J53" s="39">
        <f t="shared" si="34"/>
        <v>3082.5600000000004</v>
      </c>
      <c r="K53" s="39">
        <f t="shared" si="34"/>
        <v>3082.5600000000004</v>
      </c>
      <c r="L53" s="39">
        <f t="shared" si="34"/>
        <v>3082.5600000000004</v>
      </c>
      <c r="M53" s="39">
        <f t="shared" si="34"/>
        <v>3082.5600000000004</v>
      </c>
      <c r="N53" s="39">
        <f>SUM(B53:M53)</f>
        <v>36990.72000000001</v>
      </c>
    </row>
    <row r="54" spans="1:14" ht="15">
      <c r="A54" s="39" t="s">
        <v>87</v>
      </c>
      <c r="B54" s="39">
        <f>SUELDOS!E37</f>
        <v>374.53104000000013</v>
      </c>
      <c r="C54" s="39">
        <f aca="true" t="shared" si="35" ref="C54:M54">B54</f>
        <v>374.53104000000013</v>
      </c>
      <c r="D54" s="39">
        <f t="shared" si="35"/>
        <v>374.53104000000013</v>
      </c>
      <c r="E54" s="39">
        <f t="shared" si="35"/>
        <v>374.53104000000013</v>
      </c>
      <c r="F54" s="39">
        <f t="shared" si="35"/>
        <v>374.53104000000013</v>
      </c>
      <c r="G54" s="39">
        <f t="shared" si="35"/>
        <v>374.53104000000013</v>
      </c>
      <c r="H54" s="39">
        <f t="shared" si="35"/>
        <v>374.53104000000013</v>
      </c>
      <c r="I54" s="39">
        <f t="shared" si="35"/>
        <v>374.53104000000013</v>
      </c>
      <c r="J54" s="39">
        <f t="shared" si="35"/>
        <v>374.53104000000013</v>
      </c>
      <c r="K54" s="39">
        <f t="shared" si="35"/>
        <v>374.53104000000013</v>
      </c>
      <c r="L54" s="39">
        <f t="shared" si="35"/>
        <v>374.53104000000013</v>
      </c>
      <c r="M54" s="39">
        <f t="shared" si="35"/>
        <v>374.53104000000013</v>
      </c>
      <c r="N54" s="39">
        <f aca="true" t="shared" si="36" ref="N54:N72">SUM(B54:M54)</f>
        <v>4494.372480000002</v>
      </c>
    </row>
    <row r="55" spans="1:14" ht="15">
      <c r="A55" s="39" t="s">
        <v>88</v>
      </c>
      <c r="B55" s="39">
        <f>SUELDOS!F37</f>
        <v>21.40666666666667</v>
      </c>
      <c r="C55" s="39">
        <f aca="true" t="shared" si="37" ref="C55:M55">B55</f>
        <v>21.40666666666667</v>
      </c>
      <c r="D55" s="39">
        <f t="shared" si="37"/>
        <v>21.40666666666667</v>
      </c>
      <c r="E55" s="39">
        <f t="shared" si="37"/>
        <v>21.40666666666667</v>
      </c>
      <c r="F55" s="39">
        <f t="shared" si="37"/>
        <v>21.40666666666667</v>
      </c>
      <c r="G55" s="39">
        <f t="shared" si="37"/>
        <v>21.40666666666667</v>
      </c>
      <c r="H55" s="39">
        <f t="shared" si="37"/>
        <v>21.40666666666667</v>
      </c>
      <c r="I55" s="39">
        <f t="shared" si="37"/>
        <v>21.40666666666667</v>
      </c>
      <c r="J55" s="39">
        <f t="shared" si="37"/>
        <v>21.40666666666667</v>
      </c>
      <c r="K55" s="39">
        <f t="shared" si="37"/>
        <v>21.40666666666667</v>
      </c>
      <c r="L55" s="39">
        <f t="shared" si="37"/>
        <v>21.40666666666667</v>
      </c>
      <c r="M55" s="39">
        <f t="shared" si="37"/>
        <v>21.40666666666667</v>
      </c>
      <c r="N55" s="39">
        <f t="shared" si="36"/>
        <v>256.88000000000005</v>
      </c>
    </row>
    <row r="56" spans="1:14" ht="15">
      <c r="A56" s="39" t="s">
        <v>89</v>
      </c>
      <c r="B56" s="39">
        <f>SUELDOS!G37</f>
        <v>13.625000000000002</v>
      </c>
      <c r="C56" s="39">
        <f aca="true" t="shared" si="38" ref="C56:M56">B56</f>
        <v>13.625000000000002</v>
      </c>
      <c r="D56" s="39">
        <f t="shared" si="38"/>
        <v>13.625000000000002</v>
      </c>
      <c r="E56" s="39">
        <f t="shared" si="38"/>
        <v>13.625000000000002</v>
      </c>
      <c r="F56" s="39">
        <f t="shared" si="38"/>
        <v>13.625000000000002</v>
      </c>
      <c r="G56" s="39">
        <f t="shared" si="38"/>
        <v>13.625000000000002</v>
      </c>
      <c r="H56" s="39">
        <f t="shared" si="38"/>
        <v>13.625000000000002</v>
      </c>
      <c r="I56" s="39">
        <f t="shared" si="38"/>
        <v>13.625000000000002</v>
      </c>
      <c r="J56" s="39">
        <f t="shared" si="38"/>
        <v>13.625000000000002</v>
      </c>
      <c r="K56" s="39">
        <f t="shared" si="38"/>
        <v>13.625000000000002</v>
      </c>
      <c r="L56" s="39">
        <f t="shared" si="38"/>
        <v>13.625000000000002</v>
      </c>
      <c r="M56" s="39">
        <f t="shared" si="38"/>
        <v>13.625000000000002</v>
      </c>
      <c r="N56" s="39">
        <f t="shared" si="36"/>
        <v>163.50000000000003</v>
      </c>
    </row>
    <row r="57" spans="1:14" ht="15">
      <c r="A57" s="39" t="s">
        <v>90</v>
      </c>
      <c r="B57" s="39">
        <f>SUELDOS!I37</f>
        <v>256.88</v>
      </c>
      <c r="C57" s="39">
        <f aca="true" t="shared" si="39" ref="C57:M57">B57</f>
        <v>256.88</v>
      </c>
      <c r="D57" s="39">
        <f t="shared" si="39"/>
        <v>256.88</v>
      </c>
      <c r="E57" s="39">
        <f t="shared" si="39"/>
        <v>256.88</v>
      </c>
      <c r="F57" s="39">
        <f t="shared" si="39"/>
        <v>256.88</v>
      </c>
      <c r="G57" s="39">
        <f t="shared" si="39"/>
        <v>256.88</v>
      </c>
      <c r="H57" s="39">
        <f t="shared" si="39"/>
        <v>256.88</v>
      </c>
      <c r="I57" s="39">
        <f t="shared" si="39"/>
        <v>256.88</v>
      </c>
      <c r="J57" s="39">
        <f t="shared" si="39"/>
        <v>256.88</v>
      </c>
      <c r="K57" s="39">
        <f t="shared" si="39"/>
        <v>256.88</v>
      </c>
      <c r="L57" s="39">
        <f t="shared" si="39"/>
        <v>256.88</v>
      </c>
      <c r="M57" s="39">
        <f t="shared" si="39"/>
        <v>256.88</v>
      </c>
      <c r="N57" s="39">
        <f t="shared" si="36"/>
        <v>3082.560000000001</v>
      </c>
    </row>
    <row r="58" spans="1:14" ht="15">
      <c r="A58" s="39" t="s">
        <v>91</v>
      </c>
      <c r="B58" s="39">
        <f>SUELDOS!H37</f>
        <v>128.44</v>
      </c>
      <c r="C58" s="39">
        <f aca="true" t="shared" si="40" ref="C58:M58">B58</f>
        <v>128.44</v>
      </c>
      <c r="D58" s="39">
        <f t="shared" si="40"/>
        <v>128.44</v>
      </c>
      <c r="E58" s="39">
        <f t="shared" si="40"/>
        <v>128.44</v>
      </c>
      <c r="F58" s="39">
        <f t="shared" si="40"/>
        <v>128.44</v>
      </c>
      <c r="G58" s="39">
        <f t="shared" si="40"/>
        <v>128.44</v>
      </c>
      <c r="H58" s="39">
        <f t="shared" si="40"/>
        <v>128.44</v>
      </c>
      <c r="I58" s="39">
        <f t="shared" si="40"/>
        <v>128.44</v>
      </c>
      <c r="J58" s="39">
        <f t="shared" si="40"/>
        <v>128.44</v>
      </c>
      <c r="K58" s="39">
        <f t="shared" si="40"/>
        <v>128.44</v>
      </c>
      <c r="L58" s="39">
        <f t="shared" si="40"/>
        <v>128.44</v>
      </c>
      <c r="M58" s="39">
        <f t="shared" si="40"/>
        <v>128.44</v>
      </c>
      <c r="N58" s="39">
        <f t="shared" si="36"/>
        <v>1541.2800000000004</v>
      </c>
    </row>
    <row r="59" spans="1:14" ht="15">
      <c r="A59" s="39" t="s">
        <v>104</v>
      </c>
      <c r="B59" s="39">
        <f>SUM('PROY. INGRESOS'!R6:R8)*0.15/12</f>
        <v>38.9376</v>
      </c>
      <c r="C59" s="39">
        <f aca="true" t="shared" si="41" ref="C59:M59">B59</f>
        <v>38.9376</v>
      </c>
      <c r="D59" s="39">
        <f t="shared" si="41"/>
        <v>38.9376</v>
      </c>
      <c r="E59" s="39">
        <f t="shared" si="41"/>
        <v>38.9376</v>
      </c>
      <c r="F59" s="39">
        <f t="shared" si="41"/>
        <v>38.9376</v>
      </c>
      <c r="G59" s="39">
        <f t="shared" si="41"/>
        <v>38.9376</v>
      </c>
      <c r="H59" s="39">
        <f t="shared" si="41"/>
        <v>38.9376</v>
      </c>
      <c r="I59" s="39">
        <f t="shared" si="41"/>
        <v>38.9376</v>
      </c>
      <c r="J59" s="39">
        <f t="shared" si="41"/>
        <v>38.9376</v>
      </c>
      <c r="K59" s="39">
        <f t="shared" si="41"/>
        <v>38.9376</v>
      </c>
      <c r="L59" s="39">
        <f t="shared" si="41"/>
        <v>38.9376</v>
      </c>
      <c r="M59" s="39">
        <f t="shared" si="41"/>
        <v>38.9376</v>
      </c>
      <c r="N59" s="39">
        <f t="shared" si="36"/>
        <v>467.2511999999999</v>
      </c>
    </row>
    <row r="60" spans="1:14" ht="15">
      <c r="A60" s="39" t="s">
        <v>103</v>
      </c>
      <c r="B60" s="39">
        <f>SUM('PROY. INGRESOS'!R11:R12)*0.15/12</f>
        <v>340.704</v>
      </c>
      <c r="C60" s="39">
        <f aca="true" t="shared" si="42" ref="C60:M60">B60</f>
        <v>340.704</v>
      </c>
      <c r="D60" s="39">
        <f t="shared" si="42"/>
        <v>340.704</v>
      </c>
      <c r="E60" s="39">
        <f t="shared" si="42"/>
        <v>340.704</v>
      </c>
      <c r="F60" s="39">
        <f t="shared" si="42"/>
        <v>340.704</v>
      </c>
      <c r="G60" s="39">
        <f t="shared" si="42"/>
        <v>340.704</v>
      </c>
      <c r="H60" s="39">
        <f t="shared" si="42"/>
        <v>340.704</v>
      </c>
      <c r="I60" s="39">
        <f t="shared" si="42"/>
        <v>340.704</v>
      </c>
      <c r="J60" s="39">
        <f t="shared" si="42"/>
        <v>340.704</v>
      </c>
      <c r="K60" s="39">
        <f t="shared" si="42"/>
        <v>340.704</v>
      </c>
      <c r="L60" s="39">
        <f t="shared" si="42"/>
        <v>340.704</v>
      </c>
      <c r="M60" s="39">
        <f t="shared" si="42"/>
        <v>340.704</v>
      </c>
      <c r="N60" s="39">
        <f t="shared" si="36"/>
        <v>4088.448000000001</v>
      </c>
    </row>
    <row r="61" spans="1:14" ht="15">
      <c r="A61" s="39" t="s">
        <v>154</v>
      </c>
      <c r="B61" s="39">
        <f>SUM('PROY. INGRESOS'!R15:R21)*0.2/12</f>
        <v>709.5296</v>
      </c>
      <c r="C61" s="39">
        <f aca="true" t="shared" si="43" ref="C61:M61">B61</f>
        <v>709.5296</v>
      </c>
      <c r="D61" s="39">
        <f t="shared" si="43"/>
        <v>709.5296</v>
      </c>
      <c r="E61" s="39">
        <f t="shared" si="43"/>
        <v>709.5296</v>
      </c>
      <c r="F61" s="39">
        <f t="shared" si="43"/>
        <v>709.5296</v>
      </c>
      <c r="G61" s="39">
        <f t="shared" si="43"/>
        <v>709.5296</v>
      </c>
      <c r="H61" s="39">
        <f t="shared" si="43"/>
        <v>709.5296</v>
      </c>
      <c r="I61" s="39">
        <f t="shared" si="43"/>
        <v>709.5296</v>
      </c>
      <c r="J61" s="39">
        <f t="shared" si="43"/>
        <v>709.5296</v>
      </c>
      <c r="K61" s="39">
        <f t="shared" si="43"/>
        <v>709.5296</v>
      </c>
      <c r="L61" s="39">
        <f t="shared" si="43"/>
        <v>709.5296</v>
      </c>
      <c r="M61" s="39">
        <f t="shared" si="43"/>
        <v>709.5296</v>
      </c>
      <c r="N61" s="39">
        <f t="shared" si="36"/>
        <v>8514.3552</v>
      </c>
    </row>
    <row r="62" spans="1:14" ht="15">
      <c r="A62" s="39" t="s">
        <v>196</v>
      </c>
      <c r="B62" s="39">
        <v>0</v>
      </c>
      <c r="C62" s="39">
        <f>B62</f>
        <v>0</v>
      </c>
      <c r="D62" s="39">
        <f aca="true" t="shared" si="44" ref="D62:M62">C62</f>
        <v>0</v>
      </c>
      <c r="E62" s="39">
        <f t="shared" si="44"/>
        <v>0</v>
      </c>
      <c r="F62" s="39">
        <f t="shared" si="44"/>
        <v>0</v>
      </c>
      <c r="G62" s="39">
        <f t="shared" si="44"/>
        <v>0</v>
      </c>
      <c r="H62" s="39">
        <f t="shared" si="44"/>
        <v>0</v>
      </c>
      <c r="I62" s="39">
        <f t="shared" si="44"/>
        <v>0</v>
      </c>
      <c r="J62" s="39">
        <f t="shared" si="44"/>
        <v>0</v>
      </c>
      <c r="K62" s="39">
        <f t="shared" si="44"/>
        <v>0</v>
      </c>
      <c r="L62" s="39">
        <f t="shared" si="44"/>
        <v>0</v>
      </c>
      <c r="M62" s="39">
        <f t="shared" si="44"/>
        <v>0</v>
      </c>
      <c r="N62" s="39">
        <f t="shared" si="36"/>
        <v>0</v>
      </c>
    </row>
    <row r="63" spans="1:14" ht="15">
      <c r="A63" s="39" t="s">
        <v>77</v>
      </c>
      <c r="B63" s="39">
        <f>B39*1.04</f>
        <v>216.32</v>
      </c>
      <c r="C63" s="39">
        <f aca="true" t="shared" si="45" ref="C63:M63">B63</f>
        <v>216.32</v>
      </c>
      <c r="D63" s="39">
        <f t="shared" si="45"/>
        <v>216.32</v>
      </c>
      <c r="E63" s="39">
        <f t="shared" si="45"/>
        <v>216.32</v>
      </c>
      <c r="F63" s="39">
        <f t="shared" si="45"/>
        <v>216.32</v>
      </c>
      <c r="G63" s="39">
        <f t="shared" si="45"/>
        <v>216.32</v>
      </c>
      <c r="H63" s="39">
        <f t="shared" si="45"/>
        <v>216.32</v>
      </c>
      <c r="I63" s="39">
        <f t="shared" si="45"/>
        <v>216.32</v>
      </c>
      <c r="J63" s="39">
        <f t="shared" si="45"/>
        <v>216.32</v>
      </c>
      <c r="K63" s="39">
        <f t="shared" si="45"/>
        <v>216.32</v>
      </c>
      <c r="L63" s="39">
        <f t="shared" si="45"/>
        <v>216.32</v>
      </c>
      <c r="M63" s="39">
        <f t="shared" si="45"/>
        <v>216.32</v>
      </c>
      <c r="N63" s="39">
        <f t="shared" si="36"/>
        <v>2595.84</v>
      </c>
    </row>
    <row r="64" spans="1:14" ht="15">
      <c r="A64" s="39" t="s">
        <v>78</v>
      </c>
      <c r="B64" s="39">
        <f>B40*1.04</f>
        <v>27.04</v>
      </c>
      <c r="C64" s="39">
        <f aca="true" t="shared" si="46" ref="C64:M64">B64</f>
        <v>27.04</v>
      </c>
      <c r="D64" s="39">
        <f t="shared" si="46"/>
        <v>27.04</v>
      </c>
      <c r="E64" s="39">
        <f t="shared" si="46"/>
        <v>27.04</v>
      </c>
      <c r="F64" s="39">
        <f t="shared" si="46"/>
        <v>27.04</v>
      </c>
      <c r="G64" s="39">
        <f t="shared" si="46"/>
        <v>27.04</v>
      </c>
      <c r="H64" s="39">
        <f t="shared" si="46"/>
        <v>27.04</v>
      </c>
      <c r="I64" s="39">
        <f t="shared" si="46"/>
        <v>27.04</v>
      </c>
      <c r="J64" s="39">
        <f t="shared" si="46"/>
        <v>27.04</v>
      </c>
      <c r="K64" s="39">
        <f t="shared" si="46"/>
        <v>27.04</v>
      </c>
      <c r="L64" s="39">
        <f t="shared" si="46"/>
        <v>27.04</v>
      </c>
      <c r="M64" s="39">
        <f t="shared" si="46"/>
        <v>27.04</v>
      </c>
      <c r="N64" s="39">
        <f t="shared" si="36"/>
        <v>324.48</v>
      </c>
    </row>
    <row r="65" spans="1:14" ht="15">
      <c r="A65" s="39" t="s">
        <v>79</v>
      </c>
      <c r="B65" s="39">
        <f>B41*1.04</f>
        <v>10.816</v>
      </c>
      <c r="C65" s="39">
        <f aca="true" t="shared" si="47" ref="C65:M65">B65</f>
        <v>10.816</v>
      </c>
      <c r="D65" s="39">
        <f t="shared" si="47"/>
        <v>10.816</v>
      </c>
      <c r="E65" s="39">
        <f t="shared" si="47"/>
        <v>10.816</v>
      </c>
      <c r="F65" s="39">
        <f t="shared" si="47"/>
        <v>10.816</v>
      </c>
      <c r="G65" s="39">
        <f t="shared" si="47"/>
        <v>10.816</v>
      </c>
      <c r="H65" s="39">
        <f t="shared" si="47"/>
        <v>10.816</v>
      </c>
      <c r="I65" s="39">
        <f t="shared" si="47"/>
        <v>10.816</v>
      </c>
      <c r="J65" s="39">
        <f t="shared" si="47"/>
        <v>10.816</v>
      </c>
      <c r="K65" s="39">
        <f t="shared" si="47"/>
        <v>10.816</v>
      </c>
      <c r="L65" s="39">
        <f t="shared" si="47"/>
        <v>10.816</v>
      </c>
      <c r="M65" s="39">
        <f t="shared" si="47"/>
        <v>10.816</v>
      </c>
      <c r="N65" s="39">
        <f t="shared" si="36"/>
        <v>129.792</v>
      </c>
    </row>
    <row r="66" spans="1:14" ht="15">
      <c r="A66" s="39" t="s">
        <v>80</v>
      </c>
      <c r="B66" s="39">
        <f>B42*1.04</f>
        <v>70.30400000000002</v>
      </c>
      <c r="C66" s="39">
        <f aca="true" t="shared" si="48" ref="C66:M66">B66</f>
        <v>70.30400000000002</v>
      </c>
      <c r="D66" s="39">
        <f t="shared" si="48"/>
        <v>70.30400000000002</v>
      </c>
      <c r="E66" s="39">
        <f t="shared" si="48"/>
        <v>70.30400000000002</v>
      </c>
      <c r="F66" s="39">
        <f t="shared" si="48"/>
        <v>70.30400000000002</v>
      </c>
      <c r="G66" s="39">
        <f t="shared" si="48"/>
        <v>70.30400000000002</v>
      </c>
      <c r="H66" s="39">
        <f t="shared" si="48"/>
        <v>70.30400000000002</v>
      </c>
      <c r="I66" s="39">
        <f t="shared" si="48"/>
        <v>70.30400000000002</v>
      </c>
      <c r="J66" s="39">
        <f t="shared" si="48"/>
        <v>70.30400000000002</v>
      </c>
      <c r="K66" s="39">
        <f t="shared" si="48"/>
        <v>70.30400000000002</v>
      </c>
      <c r="L66" s="39">
        <f t="shared" si="48"/>
        <v>70.30400000000002</v>
      </c>
      <c r="M66" s="39">
        <f t="shared" si="48"/>
        <v>70.30400000000002</v>
      </c>
      <c r="N66" s="39">
        <f t="shared" si="36"/>
        <v>843.648</v>
      </c>
    </row>
    <row r="67" spans="1:14" ht="15">
      <c r="A67" s="39" t="str">
        <f>A43</f>
        <v>CUOTAS Y SUSCRIPCIONES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</row>
    <row r="68" spans="1:14" ht="15">
      <c r="A68" s="39" t="s">
        <v>92</v>
      </c>
      <c r="B68" s="39">
        <v>40</v>
      </c>
      <c r="C68" s="39">
        <f aca="true" t="shared" si="49" ref="C68:M68">B68</f>
        <v>40</v>
      </c>
      <c r="D68" s="39">
        <f t="shared" si="49"/>
        <v>40</v>
      </c>
      <c r="E68" s="39">
        <f t="shared" si="49"/>
        <v>40</v>
      </c>
      <c r="F68" s="39">
        <f t="shared" si="49"/>
        <v>40</v>
      </c>
      <c r="G68" s="39">
        <f t="shared" si="49"/>
        <v>40</v>
      </c>
      <c r="H68" s="39">
        <f t="shared" si="49"/>
        <v>40</v>
      </c>
      <c r="I68" s="39">
        <f t="shared" si="49"/>
        <v>40</v>
      </c>
      <c r="J68" s="39">
        <f t="shared" si="49"/>
        <v>40</v>
      </c>
      <c r="K68" s="39">
        <f t="shared" si="49"/>
        <v>40</v>
      </c>
      <c r="L68" s="39">
        <f t="shared" si="49"/>
        <v>40</v>
      </c>
      <c r="M68" s="39">
        <f t="shared" si="49"/>
        <v>40</v>
      </c>
      <c r="N68" s="39">
        <f t="shared" si="36"/>
        <v>480</v>
      </c>
    </row>
    <row r="69" spans="1:14" ht="15">
      <c r="A69" s="39" t="s">
        <v>82</v>
      </c>
      <c r="B69" s="39">
        <f>B45*1.04</f>
        <v>108.16</v>
      </c>
      <c r="C69" s="39">
        <v>0</v>
      </c>
      <c r="D69" s="39">
        <f aca="true" t="shared" si="50" ref="D69:M69">C69</f>
        <v>0</v>
      </c>
      <c r="E69" s="39">
        <f t="shared" si="50"/>
        <v>0</v>
      </c>
      <c r="F69" s="39">
        <f t="shared" si="50"/>
        <v>0</v>
      </c>
      <c r="G69" s="39">
        <f t="shared" si="50"/>
        <v>0</v>
      </c>
      <c r="H69" s="39">
        <f t="shared" si="50"/>
        <v>0</v>
      </c>
      <c r="I69" s="39">
        <f t="shared" si="50"/>
        <v>0</v>
      </c>
      <c r="J69" s="39">
        <f t="shared" si="50"/>
        <v>0</v>
      </c>
      <c r="K69" s="39">
        <f t="shared" si="50"/>
        <v>0</v>
      </c>
      <c r="L69" s="39">
        <f t="shared" si="50"/>
        <v>0</v>
      </c>
      <c r="M69" s="39">
        <f t="shared" si="50"/>
        <v>0</v>
      </c>
      <c r="N69" s="39">
        <f t="shared" si="36"/>
        <v>108.16</v>
      </c>
    </row>
    <row r="70" spans="1:14" ht="15">
      <c r="A70" s="39" t="s">
        <v>83</v>
      </c>
      <c r="B70" s="39">
        <f>B46*1.04</f>
        <v>32.44800000000001</v>
      </c>
      <c r="C70" s="39">
        <f aca="true" t="shared" si="51" ref="C70:M70">B70</f>
        <v>32.44800000000001</v>
      </c>
      <c r="D70" s="39">
        <f t="shared" si="51"/>
        <v>32.44800000000001</v>
      </c>
      <c r="E70" s="39">
        <f t="shared" si="51"/>
        <v>32.44800000000001</v>
      </c>
      <c r="F70" s="39">
        <f t="shared" si="51"/>
        <v>32.44800000000001</v>
      </c>
      <c r="G70" s="39">
        <f t="shared" si="51"/>
        <v>32.44800000000001</v>
      </c>
      <c r="H70" s="39">
        <f t="shared" si="51"/>
        <v>32.44800000000001</v>
      </c>
      <c r="I70" s="39">
        <f t="shared" si="51"/>
        <v>32.44800000000001</v>
      </c>
      <c r="J70" s="39">
        <f t="shared" si="51"/>
        <v>32.44800000000001</v>
      </c>
      <c r="K70" s="39">
        <f t="shared" si="51"/>
        <v>32.44800000000001</v>
      </c>
      <c r="L70" s="39">
        <f t="shared" si="51"/>
        <v>32.44800000000001</v>
      </c>
      <c r="M70" s="39">
        <f t="shared" si="51"/>
        <v>32.44800000000001</v>
      </c>
      <c r="N70" s="39">
        <f t="shared" si="36"/>
        <v>389.376</v>
      </c>
    </row>
    <row r="71" spans="1:14" ht="15">
      <c r="A71" s="39" t="s">
        <v>84</v>
      </c>
      <c r="B71" s="39">
        <f>'ACTIVOS FIJOS'!H17</f>
        <v>190.5277777777778</v>
      </c>
      <c r="C71" s="39">
        <f aca="true" t="shared" si="52" ref="C71:M71">B71</f>
        <v>190.5277777777778</v>
      </c>
      <c r="D71" s="39">
        <f t="shared" si="52"/>
        <v>190.5277777777778</v>
      </c>
      <c r="E71" s="39">
        <f t="shared" si="52"/>
        <v>190.5277777777778</v>
      </c>
      <c r="F71" s="39">
        <f t="shared" si="52"/>
        <v>190.5277777777778</v>
      </c>
      <c r="G71" s="39">
        <f t="shared" si="52"/>
        <v>190.5277777777778</v>
      </c>
      <c r="H71" s="39">
        <f t="shared" si="52"/>
        <v>190.5277777777778</v>
      </c>
      <c r="I71" s="39">
        <f t="shared" si="52"/>
        <v>190.5277777777778</v>
      </c>
      <c r="J71" s="39">
        <f t="shared" si="52"/>
        <v>190.5277777777778</v>
      </c>
      <c r="K71" s="39">
        <f t="shared" si="52"/>
        <v>190.5277777777778</v>
      </c>
      <c r="L71" s="39">
        <f t="shared" si="52"/>
        <v>190.5277777777778</v>
      </c>
      <c r="M71" s="39">
        <f t="shared" si="52"/>
        <v>190.5277777777778</v>
      </c>
      <c r="N71" s="39">
        <f t="shared" si="36"/>
        <v>2286.3333333333335</v>
      </c>
    </row>
    <row r="72" spans="1:14" ht="15">
      <c r="A72" s="39" t="s">
        <v>85</v>
      </c>
      <c r="B72" s="39">
        <f>'G. CONST.'!E15</f>
        <v>58.7</v>
      </c>
      <c r="C72" s="39">
        <f aca="true" t="shared" si="53" ref="C72:M72">B72</f>
        <v>58.7</v>
      </c>
      <c r="D72" s="39">
        <f t="shared" si="53"/>
        <v>58.7</v>
      </c>
      <c r="E72" s="39">
        <f t="shared" si="53"/>
        <v>58.7</v>
      </c>
      <c r="F72" s="39">
        <f t="shared" si="53"/>
        <v>58.7</v>
      </c>
      <c r="G72" s="39">
        <f t="shared" si="53"/>
        <v>58.7</v>
      </c>
      <c r="H72" s="39">
        <f t="shared" si="53"/>
        <v>58.7</v>
      </c>
      <c r="I72" s="39">
        <f t="shared" si="53"/>
        <v>58.7</v>
      </c>
      <c r="J72" s="39">
        <f t="shared" si="53"/>
        <v>58.7</v>
      </c>
      <c r="K72" s="39">
        <f t="shared" si="53"/>
        <v>58.7</v>
      </c>
      <c r="L72" s="39">
        <f t="shared" si="53"/>
        <v>58.7</v>
      </c>
      <c r="M72" s="39">
        <f t="shared" si="53"/>
        <v>58.7</v>
      </c>
      <c r="N72" s="39">
        <f t="shared" si="36"/>
        <v>704.4000000000001</v>
      </c>
    </row>
    <row r="73" spans="1:14" ht="15">
      <c r="A73" s="43"/>
      <c r="B73" s="44">
        <f aca="true" t="shared" si="54" ref="B73:N73">SUM(B53:B72)</f>
        <v>5720.929684444444</v>
      </c>
      <c r="C73" s="44">
        <f t="shared" si="54"/>
        <v>5612.7696844444445</v>
      </c>
      <c r="D73" s="44">
        <f t="shared" si="54"/>
        <v>5612.7696844444445</v>
      </c>
      <c r="E73" s="44">
        <f t="shared" si="54"/>
        <v>5612.7696844444445</v>
      </c>
      <c r="F73" s="44">
        <f t="shared" si="54"/>
        <v>5612.7696844444445</v>
      </c>
      <c r="G73" s="44">
        <f t="shared" si="54"/>
        <v>5612.7696844444445</v>
      </c>
      <c r="H73" s="44">
        <f t="shared" si="54"/>
        <v>5612.7696844444445</v>
      </c>
      <c r="I73" s="44">
        <f t="shared" si="54"/>
        <v>5612.7696844444445</v>
      </c>
      <c r="J73" s="44">
        <f t="shared" si="54"/>
        <v>5612.7696844444445</v>
      </c>
      <c r="K73" s="44">
        <f t="shared" si="54"/>
        <v>5612.7696844444445</v>
      </c>
      <c r="L73" s="44">
        <f t="shared" si="54"/>
        <v>5612.7696844444445</v>
      </c>
      <c r="M73" s="44">
        <f t="shared" si="54"/>
        <v>5612.7696844444445</v>
      </c>
      <c r="N73" s="44">
        <f t="shared" si="54"/>
        <v>67461.39621333333</v>
      </c>
    </row>
    <row r="75" spans="1:14" s="8" customFormat="1" ht="15">
      <c r="A75" s="37" t="s">
        <v>115</v>
      </c>
      <c r="B75" s="36" t="s">
        <v>20</v>
      </c>
      <c r="C75" s="36" t="s">
        <v>21</v>
      </c>
      <c r="D75" s="36" t="s">
        <v>22</v>
      </c>
      <c r="E75" s="36" t="s">
        <v>23</v>
      </c>
      <c r="F75" s="36" t="s">
        <v>24</v>
      </c>
      <c r="G75" s="36" t="s">
        <v>25</v>
      </c>
      <c r="H75" s="36" t="s">
        <v>26</v>
      </c>
      <c r="I75" s="36" t="s">
        <v>27</v>
      </c>
      <c r="J75" s="36" t="s">
        <v>28</v>
      </c>
      <c r="K75" s="36" t="s">
        <v>29</v>
      </c>
      <c r="L75" s="36" t="s">
        <v>30</v>
      </c>
      <c r="M75" s="36" t="s">
        <v>31</v>
      </c>
      <c r="N75" s="37" t="s">
        <v>31</v>
      </c>
    </row>
    <row r="76" spans="1:14" ht="15">
      <c r="A76" s="38" t="s">
        <v>76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</row>
    <row r="77" spans="1:14" ht="15">
      <c r="A77" s="39" t="s">
        <v>86</v>
      </c>
      <c r="B77" s="39">
        <f>SUELDOS!B49</f>
        <v>3205.862400000001</v>
      </c>
      <c r="C77" s="39">
        <f>B77</f>
        <v>3205.862400000001</v>
      </c>
      <c r="D77" s="39">
        <f aca="true" t="shared" si="55" ref="D77:M77">C77</f>
        <v>3205.862400000001</v>
      </c>
      <c r="E77" s="39">
        <f t="shared" si="55"/>
        <v>3205.862400000001</v>
      </c>
      <c r="F77" s="39">
        <f t="shared" si="55"/>
        <v>3205.862400000001</v>
      </c>
      <c r="G77" s="39">
        <f t="shared" si="55"/>
        <v>3205.862400000001</v>
      </c>
      <c r="H77" s="39">
        <f t="shared" si="55"/>
        <v>3205.862400000001</v>
      </c>
      <c r="I77" s="39">
        <f t="shared" si="55"/>
        <v>3205.862400000001</v>
      </c>
      <c r="J77" s="39">
        <f t="shared" si="55"/>
        <v>3205.862400000001</v>
      </c>
      <c r="K77" s="39">
        <f t="shared" si="55"/>
        <v>3205.862400000001</v>
      </c>
      <c r="L77" s="39">
        <f t="shared" si="55"/>
        <v>3205.862400000001</v>
      </c>
      <c r="M77" s="39">
        <f t="shared" si="55"/>
        <v>3205.862400000001</v>
      </c>
      <c r="N77" s="39">
        <f>SUM(B77:M77)</f>
        <v>38470.348800000014</v>
      </c>
    </row>
    <row r="78" spans="1:14" ht="15">
      <c r="A78" s="39" t="s">
        <v>87</v>
      </c>
      <c r="B78" s="39">
        <f>SUELDOS!E49</f>
        <v>389.5122816</v>
      </c>
      <c r="C78" s="39">
        <f aca="true" t="shared" si="56" ref="C78:M78">B78</f>
        <v>389.5122816</v>
      </c>
      <c r="D78" s="39">
        <f t="shared" si="56"/>
        <v>389.5122816</v>
      </c>
      <c r="E78" s="39">
        <f t="shared" si="56"/>
        <v>389.5122816</v>
      </c>
      <c r="F78" s="39">
        <f t="shared" si="56"/>
        <v>389.5122816</v>
      </c>
      <c r="G78" s="39">
        <f t="shared" si="56"/>
        <v>389.5122816</v>
      </c>
      <c r="H78" s="39">
        <f t="shared" si="56"/>
        <v>389.5122816</v>
      </c>
      <c r="I78" s="39">
        <f t="shared" si="56"/>
        <v>389.5122816</v>
      </c>
      <c r="J78" s="39">
        <f t="shared" si="56"/>
        <v>389.5122816</v>
      </c>
      <c r="K78" s="39">
        <f t="shared" si="56"/>
        <v>389.5122816</v>
      </c>
      <c r="L78" s="39">
        <f t="shared" si="56"/>
        <v>389.5122816</v>
      </c>
      <c r="M78" s="39">
        <f t="shared" si="56"/>
        <v>389.5122816</v>
      </c>
      <c r="N78" s="39">
        <f aca="true" t="shared" si="57" ref="N78:N96">SUM(B78:M78)</f>
        <v>4674.1473792</v>
      </c>
    </row>
    <row r="79" spans="1:14" ht="15">
      <c r="A79" s="39" t="s">
        <v>88</v>
      </c>
      <c r="B79" s="39">
        <f>SUELDOS!F49</f>
        <v>22.262933333333336</v>
      </c>
      <c r="C79" s="39">
        <f aca="true" t="shared" si="58" ref="C79:M79">B79</f>
        <v>22.262933333333336</v>
      </c>
      <c r="D79" s="39">
        <f t="shared" si="58"/>
        <v>22.262933333333336</v>
      </c>
      <c r="E79" s="39">
        <f t="shared" si="58"/>
        <v>22.262933333333336</v>
      </c>
      <c r="F79" s="39">
        <f t="shared" si="58"/>
        <v>22.262933333333336</v>
      </c>
      <c r="G79" s="39">
        <f t="shared" si="58"/>
        <v>22.262933333333336</v>
      </c>
      <c r="H79" s="39">
        <f t="shared" si="58"/>
        <v>22.262933333333336</v>
      </c>
      <c r="I79" s="39">
        <f t="shared" si="58"/>
        <v>22.262933333333336</v>
      </c>
      <c r="J79" s="39">
        <f t="shared" si="58"/>
        <v>22.262933333333336</v>
      </c>
      <c r="K79" s="39">
        <f t="shared" si="58"/>
        <v>22.262933333333336</v>
      </c>
      <c r="L79" s="39">
        <f t="shared" si="58"/>
        <v>22.262933333333336</v>
      </c>
      <c r="M79" s="39">
        <f t="shared" si="58"/>
        <v>22.262933333333336</v>
      </c>
      <c r="N79" s="39">
        <f t="shared" si="57"/>
        <v>267.15520000000004</v>
      </c>
    </row>
    <row r="80" spans="1:14" ht="15">
      <c r="A80" s="39" t="s">
        <v>89</v>
      </c>
      <c r="B80" s="39">
        <f>SUELDOS!G49</f>
        <v>13.625000000000002</v>
      </c>
      <c r="C80" s="39">
        <f aca="true" t="shared" si="59" ref="C80:M80">B80</f>
        <v>13.625000000000002</v>
      </c>
      <c r="D80" s="39">
        <f t="shared" si="59"/>
        <v>13.625000000000002</v>
      </c>
      <c r="E80" s="39">
        <f t="shared" si="59"/>
        <v>13.625000000000002</v>
      </c>
      <c r="F80" s="39">
        <f t="shared" si="59"/>
        <v>13.625000000000002</v>
      </c>
      <c r="G80" s="39">
        <f t="shared" si="59"/>
        <v>13.625000000000002</v>
      </c>
      <c r="H80" s="39">
        <f t="shared" si="59"/>
        <v>13.625000000000002</v>
      </c>
      <c r="I80" s="39">
        <f t="shared" si="59"/>
        <v>13.625000000000002</v>
      </c>
      <c r="J80" s="39">
        <f t="shared" si="59"/>
        <v>13.625000000000002</v>
      </c>
      <c r="K80" s="39">
        <f t="shared" si="59"/>
        <v>13.625000000000002</v>
      </c>
      <c r="L80" s="39">
        <f t="shared" si="59"/>
        <v>13.625000000000002</v>
      </c>
      <c r="M80" s="39">
        <f t="shared" si="59"/>
        <v>13.625000000000002</v>
      </c>
      <c r="N80" s="39">
        <f t="shared" si="57"/>
        <v>163.50000000000003</v>
      </c>
    </row>
    <row r="81" spans="1:14" ht="15">
      <c r="A81" s="39" t="s">
        <v>90</v>
      </c>
      <c r="B81" s="39">
        <f>SUELDOS!I49</f>
        <v>267.15520000000004</v>
      </c>
      <c r="C81" s="39">
        <f aca="true" t="shared" si="60" ref="C81:M81">B81</f>
        <v>267.15520000000004</v>
      </c>
      <c r="D81" s="39">
        <f t="shared" si="60"/>
        <v>267.15520000000004</v>
      </c>
      <c r="E81" s="39">
        <f t="shared" si="60"/>
        <v>267.15520000000004</v>
      </c>
      <c r="F81" s="39">
        <f t="shared" si="60"/>
        <v>267.15520000000004</v>
      </c>
      <c r="G81" s="39">
        <f t="shared" si="60"/>
        <v>267.15520000000004</v>
      </c>
      <c r="H81" s="39">
        <f t="shared" si="60"/>
        <v>267.15520000000004</v>
      </c>
      <c r="I81" s="39">
        <f t="shared" si="60"/>
        <v>267.15520000000004</v>
      </c>
      <c r="J81" s="39">
        <f t="shared" si="60"/>
        <v>267.15520000000004</v>
      </c>
      <c r="K81" s="39">
        <f t="shared" si="60"/>
        <v>267.15520000000004</v>
      </c>
      <c r="L81" s="39">
        <f t="shared" si="60"/>
        <v>267.15520000000004</v>
      </c>
      <c r="M81" s="39">
        <f t="shared" si="60"/>
        <v>267.15520000000004</v>
      </c>
      <c r="N81" s="39">
        <f t="shared" si="57"/>
        <v>3205.8624000000013</v>
      </c>
    </row>
    <row r="82" spans="1:14" ht="15">
      <c r="A82" s="39" t="s">
        <v>91</v>
      </c>
      <c r="B82" s="39">
        <f>SUELDOS!H49</f>
        <v>133.57760000000002</v>
      </c>
      <c r="C82" s="39">
        <f aca="true" t="shared" si="61" ref="C82:M82">B82</f>
        <v>133.57760000000002</v>
      </c>
      <c r="D82" s="39">
        <f t="shared" si="61"/>
        <v>133.57760000000002</v>
      </c>
      <c r="E82" s="39">
        <f t="shared" si="61"/>
        <v>133.57760000000002</v>
      </c>
      <c r="F82" s="39">
        <f t="shared" si="61"/>
        <v>133.57760000000002</v>
      </c>
      <c r="G82" s="39">
        <f t="shared" si="61"/>
        <v>133.57760000000002</v>
      </c>
      <c r="H82" s="39">
        <f t="shared" si="61"/>
        <v>133.57760000000002</v>
      </c>
      <c r="I82" s="39">
        <f t="shared" si="61"/>
        <v>133.57760000000002</v>
      </c>
      <c r="J82" s="39">
        <f t="shared" si="61"/>
        <v>133.57760000000002</v>
      </c>
      <c r="K82" s="39">
        <f t="shared" si="61"/>
        <v>133.57760000000002</v>
      </c>
      <c r="L82" s="39">
        <f t="shared" si="61"/>
        <v>133.57760000000002</v>
      </c>
      <c r="M82" s="39">
        <f t="shared" si="61"/>
        <v>133.57760000000002</v>
      </c>
      <c r="N82" s="39">
        <f t="shared" si="57"/>
        <v>1602.9312000000007</v>
      </c>
    </row>
    <row r="83" spans="1:14" ht="15">
      <c r="A83" s="39" t="s">
        <v>104</v>
      </c>
      <c r="B83" s="39">
        <f>SUM('PROY. INGRESOS'!S6:S8)*0.15/12</f>
        <v>40.495104000000005</v>
      </c>
      <c r="C83" s="39">
        <f aca="true" t="shared" si="62" ref="C83:M83">B83</f>
        <v>40.495104000000005</v>
      </c>
      <c r="D83" s="39">
        <f t="shared" si="62"/>
        <v>40.495104000000005</v>
      </c>
      <c r="E83" s="39">
        <f t="shared" si="62"/>
        <v>40.495104000000005</v>
      </c>
      <c r="F83" s="39">
        <f t="shared" si="62"/>
        <v>40.495104000000005</v>
      </c>
      <c r="G83" s="39">
        <f t="shared" si="62"/>
        <v>40.495104000000005</v>
      </c>
      <c r="H83" s="39">
        <f t="shared" si="62"/>
        <v>40.495104000000005</v>
      </c>
      <c r="I83" s="39">
        <f t="shared" si="62"/>
        <v>40.495104000000005</v>
      </c>
      <c r="J83" s="39">
        <f t="shared" si="62"/>
        <v>40.495104000000005</v>
      </c>
      <c r="K83" s="39">
        <f t="shared" si="62"/>
        <v>40.495104000000005</v>
      </c>
      <c r="L83" s="39">
        <f t="shared" si="62"/>
        <v>40.495104000000005</v>
      </c>
      <c r="M83" s="39">
        <f t="shared" si="62"/>
        <v>40.495104000000005</v>
      </c>
      <c r="N83" s="39">
        <f t="shared" si="57"/>
        <v>485.94124800000014</v>
      </c>
    </row>
    <row r="84" spans="1:14" ht="15">
      <c r="A84" s="39" t="s">
        <v>103</v>
      </c>
      <c r="B84" s="39">
        <f>SUM('PROY. INGRESOS'!S11:S12)*0.15/12</f>
        <v>354.33216</v>
      </c>
      <c r="C84" s="39">
        <f aca="true" t="shared" si="63" ref="C84:M84">B84</f>
        <v>354.33216</v>
      </c>
      <c r="D84" s="39">
        <f t="shared" si="63"/>
        <v>354.33216</v>
      </c>
      <c r="E84" s="39">
        <f t="shared" si="63"/>
        <v>354.33216</v>
      </c>
      <c r="F84" s="39">
        <f t="shared" si="63"/>
        <v>354.33216</v>
      </c>
      <c r="G84" s="39">
        <f t="shared" si="63"/>
        <v>354.33216</v>
      </c>
      <c r="H84" s="39">
        <f t="shared" si="63"/>
        <v>354.33216</v>
      </c>
      <c r="I84" s="39">
        <f t="shared" si="63"/>
        <v>354.33216</v>
      </c>
      <c r="J84" s="39">
        <f t="shared" si="63"/>
        <v>354.33216</v>
      </c>
      <c r="K84" s="39">
        <f t="shared" si="63"/>
        <v>354.33216</v>
      </c>
      <c r="L84" s="39">
        <f t="shared" si="63"/>
        <v>354.33216</v>
      </c>
      <c r="M84" s="39">
        <f t="shared" si="63"/>
        <v>354.33216</v>
      </c>
      <c r="N84" s="39">
        <f t="shared" si="57"/>
        <v>4251.98592</v>
      </c>
    </row>
    <row r="85" spans="1:14" ht="15">
      <c r="A85" s="39" t="s">
        <v>154</v>
      </c>
      <c r="B85" s="39">
        <f>SUM('PROY. INGRESOS'!S15:S21)*0.2/12</f>
        <v>737.9107840000001</v>
      </c>
      <c r="C85" s="39">
        <f aca="true" t="shared" si="64" ref="C85:M86">B85</f>
        <v>737.9107840000001</v>
      </c>
      <c r="D85" s="39">
        <f t="shared" si="64"/>
        <v>737.9107840000001</v>
      </c>
      <c r="E85" s="39">
        <f t="shared" si="64"/>
        <v>737.9107840000001</v>
      </c>
      <c r="F85" s="39">
        <f t="shared" si="64"/>
        <v>737.9107840000001</v>
      </c>
      <c r="G85" s="39">
        <f t="shared" si="64"/>
        <v>737.9107840000001</v>
      </c>
      <c r="H85" s="39">
        <f t="shared" si="64"/>
        <v>737.9107840000001</v>
      </c>
      <c r="I85" s="39">
        <f t="shared" si="64"/>
        <v>737.9107840000001</v>
      </c>
      <c r="J85" s="39">
        <f t="shared" si="64"/>
        <v>737.9107840000001</v>
      </c>
      <c r="K85" s="39">
        <f t="shared" si="64"/>
        <v>737.9107840000001</v>
      </c>
      <c r="L85" s="39">
        <f t="shared" si="64"/>
        <v>737.9107840000001</v>
      </c>
      <c r="M85" s="39">
        <f t="shared" si="64"/>
        <v>737.9107840000001</v>
      </c>
      <c r="N85" s="39">
        <f t="shared" si="57"/>
        <v>8854.929408</v>
      </c>
    </row>
    <row r="86" spans="1:14" ht="15">
      <c r="A86" s="39" t="s">
        <v>197</v>
      </c>
      <c r="B86" s="39">
        <v>0</v>
      </c>
      <c r="C86" s="39">
        <f>B86</f>
        <v>0</v>
      </c>
      <c r="D86" s="39">
        <f t="shared" si="64"/>
        <v>0</v>
      </c>
      <c r="E86" s="39">
        <f t="shared" si="64"/>
        <v>0</v>
      </c>
      <c r="F86" s="39">
        <f t="shared" si="64"/>
        <v>0</v>
      </c>
      <c r="G86" s="39">
        <f t="shared" si="64"/>
        <v>0</v>
      </c>
      <c r="H86" s="39">
        <f t="shared" si="64"/>
        <v>0</v>
      </c>
      <c r="I86" s="39">
        <f t="shared" si="64"/>
        <v>0</v>
      </c>
      <c r="J86" s="39">
        <f t="shared" si="64"/>
        <v>0</v>
      </c>
      <c r="K86" s="39">
        <f t="shared" si="64"/>
        <v>0</v>
      </c>
      <c r="L86" s="39">
        <f t="shared" si="64"/>
        <v>0</v>
      </c>
      <c r="M86" s="39">
        <f t="shared" si="64"/>
        <v>0</v>
      </c>
      <c r="N86" s="39">
        <f t="shared" si="57"/>
        <v>0</v>
      </c>
    </row>
    <row r="87" spans="1:14" ht="15">
      <c r="A87" s="39" t="s">
        <v>77</v>
      </c>
      <c r="B87" s="39">
        <f>B63*1.04</f>
        <v>224.9728</v>
      </c>
      <c r="C87" s="39">
        <f aca="true" t="shared" si="65" ref="C87:M87">B87</f>
        <v>224.9728</v>
      </c>
      <c r="D87" s="39">
        <f t="shared" si="65"/>
        <v>224.9728</v>
      </c>
      <c r="E87" s="39">
        <f t="shared" si="65"/>
        <v>224.9728</v>
      </c>
      <c r="F87" s="39">
        <f t="shared" si="65"/>
        <v>224.9728</v>
      </c>
      <c r="G87" s="39">
        <f t="shared" si="65"/>
        <v>224.9728</v>
      </c>
      <c r="H87" s="39">
        <f t="shared" si="65"/>
        <v>224.9728</v>
      </c>
      <c r="I87" s="39">
        <f t="shared" si="65"/>
        <v>224.9728</v>
      </c>
      <c r="J87" s="39">
        <f t="shared" si="65"/>
        <v>224.9728</v>
      </c>
      <c r="K87" s="39">
        <f t="shared" si="65"/>
        <v>224.9728</v>
      </c>
      <c r="L87" s="39">
        <f t="shared" si="65"/>
        <v>224.9728</v>
      </c>
      <c r="M87" s="39">
        <f t="shared" si="65"/>
        <v>224.9728</v>
      </c>
      <c r="N87" s="39">
        <f t="shared" si="57"/>
        <v>2699.6736</v>
      </c>
    </row>
    <row r="88" spans="1:14" ht="15">
      <c r="A88" s="39" t="s">
        <v>78</v>
      </c>
      <c r="B88" s="39">
        <f>B64*1.04</f>
        <v>28.1216</v>
      </c>
      <c r="C88" s="39">
        <f aca="true" t="shared" si="66" ref="C88:M88">B88</f>
        <v>28.1216</v>
      </c>
      <c r="D88" s="39">
        <f t="shared" si="66"/>
        <v>28.1216</v>
      </c>
      <c r="E88" s="39">
        <f t="shared" si="66"/>
        <v>28.1216</v>
      </c>
      <c r="F88" s="39">
        <f t="shared" si="66"/>
        <v>28.1216</v>
      </c>
      <c r="G88" s="39">
        <f t="shared" si="66"/>
        <v>28.1216</v>
      </c>
      <c r="H88" s="39">
        <f t="shared" si="66"/>
        <v>28.1216</v>
      </c>
      <c r="I88" s="39">
        <f t="shared" si="66"/>
        <v>28.1216</v>
      </c>
      <c r="J88" s="39">
        <f t="shared" si="66"/>
        <v>28.1216</v>
      </c>
      <c r="K88" s="39">
        <f t="shared" si="66"/>
        <v>28.1216</v>
      </c>
      <c r="L88" s="39">
        <f t="shared" si="66"/>
        <v>28.1216</v>
      </c>
      <c r="M88" s="39">
        <f t="shared" si="66"/>
        <v>28.1216</v>
      </c>
      <c r="N88" s="39">
        <f t="shared" si="57"/>
        <v>337.4592</v>
      </c>
    </row>
    <row r="89" spans="1:14" ht="15">
      <c r="A89" s="39" t="s">
        <v>79</v>
      </c>
      <c r="B89" s="39">
        <f>B65*1.04</f>
        <v>11.248640000000002</v>
      </c>
      <c r="C89" s="39">
        <f aca="true" t="shared" si="67" ref="C89:M89">B89</f>
        <v>11.248640000000002</v>
      </c>
      <c r="D89" s="39">
        <f t="shared" si="67"/>
        <v>11.248640000000002</v>
      </c>
      <c r="E89" s="39">
        <f t="shared" si="67"/>
        <v>11.248640000000002</v>
      </c>
      <c r="F89" s="39">
        <f t="shared" si="67"/>
        <v>11.248640000000002</v>
      </c>
      <c r="G89" s="39">
        <f t="shared" si="67"/>
        <v>11.248640000000002</v>
      </c>
      <c r="H89" s="39">
        <f t="shared" si="67"/>
        <v>11.248640000000002</v>
      </c>
      <c r="I89" s="39">
        <f t="shared" si="67"/>
        <v>11.248640000000002</v>
      </c>
      <c r="J89" s="39">
        <f t="shared" si="67"/>
        <v>11.248640000000002</v>
      </c>
      <c r="K89" s="39">
        <f t="shared" si="67"/>
        <v>11.248640000000002</v>
      </c>
      <c r="L89" s="39">
        <f t="shared" si="67"/>
        <v>11.248640000000002</v>
      </c>
      <c r="M89" s="39">
        <f t="shared" si="67"/>
        <v>11.248640000000002</v>
      </c>
      <c r="N89" s="39">
        <f t="shared" si="57"/>
        <v>134.98368</v>
      </c>
    </row>
    <row r="90" spans="1:14" ht="15">
      <c r="A90" s="39" t="s">
        <v>80</v>
      </c>
      <c r="B90" s="39">
        <f>B66*1.04</f>
        <v>73.11616000000002</v>
      </c>
      <c r="C90" s="39">
        <f aca="true" t="shared" si="68" ref="C90:M90">B90</f>
        <v>73.11616000000002</v>
      </c>
      <c r="D90" s="39">
        <f t="shared" si="68"/>
        <v>73.11616000000002</v>
      </c>
      <c r="E90" s="39">
        <f t="shared" si="68"/>
        <v>73.11616000000002</v>
      </c>
      <c r="F90" s="39">
        <f t="shared" si="68"/>
        <v>73.11616000000002</v>
      </c>
      <c r="G90" s="39">
        <f t="shared" si="68"/>
        <v>73.11616000000002</v>
      </c>
      <c r="H90" s="39">
        <f t="shared" si="68"/>
        <v>73.11616000000002</v>
      </c>
      <c r="I90" s="39">
        <f t="shared" si="68"/>
        <v>73.11616000000002</v>
      </c>
      <c r="J90" s="39">
        <f t="shared" si="68"/>
        <v>73.11616000000002</v>
      </c>
      <c r="K90" s="39">
        <f t="shared" si="68"/>
        <v>73.11616000000002</v>
      </c>
      <c r="L90" s="39">
        <f t="shared" si="68"/>
        <v>73.11616000000002</v>
      </c>
      <c r="M90" s="39">
        <f t="shared" si="68"/>
        <v>73.11616000000002</v>
      </c>
      <c r="N90" s="39">
        <f t="shared" si="57"/>
        <v>877.3939200000003</v>
      </c>
    </row>
    <row r="91" spans="1:14" ht="15">
      <c r="A91" s="39" t="s">
        <v>81</v>
      </c>
      <c r="B91" s="39">
        <v>25</v>
      </c>
      <c r="C91" s="39">
        <f aca="true" t="shared" si="69" ref="C91:M91">B91</f>
        <v>25</v>
      </c>
      <c r="D91" s="39">
        <f t="shared" si="69"/>
        <v>25</v>
      </c>
      <c r="E91" s="39">
        <f t="shared" si="69"/>
        <v>25</v>
      </c>
      <c r="F91" s="39">
        <f t="shared" si="69"/>
        <v>25</v>
      </c>
      <c r="G91" s="39">
        <f t="shared" si="69"/>
        <v>25</v>
      </c>
      <c r="H91" s="39">
        <f t="shared" si="69"/>
        <v>25</v>
      </c>
      <c r="I91" s="39">
        <f t="shared" si="69"/>
        <v>25</v>
      </c>
      <c r="J91" s="39">
        <f t="shared" si="69"/>
        <v>25</v>
      </c>
      <c r="K91" s="39">
        <f t="shared" si="69"/>
        <v>25</v>
      </c>
      <c r="L91" s="39">
        <f t="shared" si="69"/>
        <v>25</v>
      </c>
      <c r="M91" s="39">
        <f t="shared" si="69"/>
        <v>25</v>
      </c>
      <c r="N91" s="39">
        <f t="shared" si="57"/>
        <v>300</v>
      </c>
    </row>
    <row r="92" spans="1:14" ht="15">
      <c r="A92" s="39" t="s">
        <v>92</v>
      </c>
      <c r="B92" s="39">
        <f>B68*1.04</f>
        <v>41.6</v>
      </c>
      <c r="C92" s="39">
        <f aca="true" t="shared" si="70" ref="C92:M92">B92</f>
        <v>41.6</v>
      </c>
      <c r="D92" s="39">
        <f t="shared" si="70"/>
        <v>41.6</v>
      </c>
      <c r="E92" s="39">
        <f t="shared" si="70"/>
        <v>41.6</v>
      </c>
      <c r="F92" s="39">
        <f t="shared" si="70"/>
        <v>41.6</v>
      </c>
      <c r="G92" s="39">
        <f t="shared" si="70"/>
        <v>41.6</v>
      </c>
      <c r="H92" s="39">
        <f t="shared" si="70"/>
        <v>41.6</v>
      </c>
      <c r="I92" s="39">
        <f t="shared" si="70"/>
        <v>41.6</v>
      </c>
      <c r="J92" s="39">
        <f t="shared" si="70"/>
        <v>41.6</v>
      </c>
      <c r="K92" s="39">
        <f t="shared" si="70"/>
        <v>41.6</v>
      </c>
      <c r="L92" s="39">
        <f t="shared" si="70"/>
        <v>41.6</v>
      </c>
      <c r="M92" s="39">
        <f t="shared" si="70"/>
        <v>41.6</v>
      </c>
      <c r="N92" s="39">
        <f t="shared" si="57"/>
        <v>499.2000000000001</v>
      </c>
    </row>
    <row r="93" spans="1:14" ht="15">
      <c r="A93" s="39" t="s">
        <v>82</v>
      </c>
      <c r="B93" s="39">
        <f>B69*1.04</f>
        <v>112.4864</v>
      </c>
      <c r="C93" s="39">
        <v>0</v>
      </c>
      <c r="D93" s="39">
        <f aca="true" t="shared" si="71" ref="D93:M93">C93</f>
        <v>0</v>
      </c>
      <c r="E93" s="39">
        <f t="shared" si="71"/>
        <v>0</v>
      </c>
      <c r="F93" s="39">
        <f t="shared" si="71"/>
        <v>0</v>
      </c>
      <c r="G93" s="39">
        <f t="shared" si="71"/>
        <v>0</v>
      </c>
      <c r="H93" s="39">
        <f t="shared" si="71"/>
        <v>0</v>
      </c>
      <c r="I93" s="39">
        <f t="shared" si="71"/>
        <v>0</v>
      </c>
      <c r="J93" s="39">
        <f t="shared" si="71"/>
        <v>0</v>
      </c>
      <c r="K93" s="39">
        <f t="shared" si="71"/>
        <v>0</v>
      </c>
      <c r="L93" s="39">
        <f t="shared" si="71"/>
        <v>0</v>
      </c>
      <c r="M93" s="39">
        <f t="shared" si="71"/>
        <v>0</v>
      </c>
      <c r="N93" s="39">
        <f t="shared" si="57"/>
        <v>112.4864</v>
      </c>
    </row>
    <row r="94" spans="1:14" ht="15">
      <c r="A94" s="39" t="s">
        <v>83</v>
      </c>
      <c r="B94" s="39">
        <f>B70*1.04</f>
        <v>33.74592000000001</v>
      </c>
      <c r="C94" s="39">
        <f aca="true" t="shared" si="72" ref="C94:M94">B94</f>
        <v>33.74592000000001</v>
      </c>
      <c r="D94" s="39">
        <f t="shared" si="72"/>
        <v>33.74592000000001</v>
      </c>
      <c r="E94" s="39">
        <f t="shared" si="72"/>
        <v>33.74592000000001</v>
      </c>
      <c r="F94" s="39">
        <f t="shared" si="72"/>
        <v>33.74592000000001</v>
      </c>
      <c r="G94" s="39">
        <f t="shared" si="72"/>
        <v>33.74592000000001</v>
      </c>
      <c r="H94" s="39">
        <f t="shared" si="72"/>
        <v>33.74592000000001</v>
      </c>
      <c r="I94" s="39">
        <f t="shared" si="72"/>
        <v>33.74592000000001</v>
      </c>
      <c r="J94" s="39">
        <f t="shared" si="72"/>
        <v>33.74592000000001</v>
      </c>
      <c r="K94" s="39">
        <f t="shared" si="72"/>
        <v>33.74592000000001</v>
      </c>
      <c r="L94" s="39">
        <f t="shared" si="72"/>
        <v>33.74592000000001</v>
      </c>
      <c r="M94" s="39">
        <f t="shared" si="72"/>
        <v>33.74592000000001</v>
      </c>
      <c r="N94" s="39">
        <f t="shared" si="57"/>
        <v>404.95104000000015</v>
      </c>
    </row>
    <row r="95" spans="1:14" ht="15">
      <c r="A95" s="39" t="s">
        <v>84</v>
      </c>
      <c r="B95" s="39">
        <f>'ACTIVOS FIJOS'!I17</f>
        <v>54.416666666666664</v>
      </c>
      <c r="C95" s="39">
        <f aca="true" t="shared" si="73" ref="C95:M95">B95</f>
        <v>54.416666666666664</v>
      </c>
      <c r="D95" s="39">
        <f t="shared" si="73"/>
        <v>54.416666666666664</v>
      </c>
      <c r="E95" s="39">
        <f t="shared" si="73"/>
        <v>54.416666666666664</v>
      </c>
      <c r="F95" s="39">
        <f t="shared" si="73"/>
        <v>54.416666666666664</v>
      </c>
      <c r="G95" s="39">
        <f t="shared" si="73"/>
        <v>54.416666666666664</v>
      </c>
      <c r="H95" s="39">
        <f t="shared" si="73"/>
        <v>54.416666666666664</v>
      </c>
      <c r="I95" s="39">
        <f t="shared" si="73"/>
        <v>54.416666666666664</v>
      </c>
      <c r="J95" s="39">
        <f t="shared" si="73"/>
        <v>54.416666666666664</v>
      </c>
      <c r="K95" s="39">
        <f t="shared" si="73"/>
        <v>54.416666666666664</v>
      </c>
      <c r="L95" s="39">
        <f t="shared" si="73"/>
        <v>54.416666666666664</v>
      </c>
      <c r="M95" s="39">
        <f t="shared" si="73"/>
        <v>54.416666666666664</v>
      </c>
      <c r="N95" s="39">
        <f t="shared" si="57"/>
        <v>653</v>
      </c>
    </row>
    <row r="96" spans="1:14" ht="15">
      <c r="A96" s="39" t="s">
        <v>85</v>
      </c>
      <c r="B96" s="39">
        <f>'G. CONST.'!E15</f>
        <v>58.7</v>
      </c>
      <c r="C96" s="39">
        <f aca="true" t="shared" si="74" ref="C96:M96">B96</f>
        <v>58.7</v>
      </c>
      <c r="D96" s="39">
        <f t="shared" si="74"/>
        <v>58.7</v>
      </c>
      <c r="E96" s="39">
        <f t="shared" si="74"/>
        <v>58.7</v>
      </c>
      <c r="F96" s="39">
        <f t="shared" si="74"/>
        <v>58.7</v>
      </c>
      <c r="G96" s="39">
        <f t="shared" si="74"/>
        <v>58.7</v>
      </c>
      <c r="H96" s="39">
        <f t="shared" si="74"/>
        <v>58.7</v>
      </c>
      <c r="I96" s="39">
        <f t="shared" si="74"/>
        <v>58.7</v>
      </c>
      <c r="J96" s="39">
        <f t="shared" si="74"/>
        <v>58.7</v>
      </c>
      <c r="K96" s="39">
        <f t="shared" si="74"/>
        <v>58.7</v>
      </c>
      <c r="L96" s="39">
        <f t="shared" si="74"/>
        <v>58.7</v>
      </c>
      <c r="M96" s="39">
        <f t="shared" si="74"/>
        <v>58.7</v>
      </c>
      <c r="N96" s="39">
        <f t="shared" si="57"/>
        <v>704.4000000000001</v>
      </c>
    </row>
    <row r="97" spans="1:14" ht="15">
      <c r="A97" s="43"/>
      <c r="B97" s="44">
        <f aca="true" t="shared" si="75" ref="B97:N97">SUM(B77:B96)</f>
        <v>5828.141649600001</v>
      </c>
      <c r="C97" s="44">
        <f t="shared" si="75"/>
        <v>5715.655249600001</v>
      </c>
      <c r="D97" s="44">
        <f t="shared" si="75"/>
        <v>5715.655249600001</v>
      </c>
      <c r="E97" s="44">
        <f t="shared" si="75"/>
        <v>5715.655249600001</v>
      </c>
      <c r="F97" s="44">
        <f t="shared" si="75"/>
        <v>5715.655249600001</v>
      </c>
      <c r="G97" s="44">
        <f t="shared" si="75"/>
        <v>5715.655249600001</v>
      </c>
      <c r="H97" s="44">
        <f t="shared" si="75"/>
        <v>5715.655249600001</v>
      </c>
      <c r="I97" s="44">
        <f t="shared" si="75"/>
        <v>5715.655249600001</v>
      </c>
      <c r="J97" s="44">
        <f t="shared" si="75"/>
        <v>5715.655249600001</v>
      </c>
      <c r="K97" s="44">
        <f t="shared" si="75"/>
        <v>5715.655249600001</v>
      </c>
      <c r="L97" s="44">
        <f t="shared" si="75"/>
        <v>5715.655249600001</v>
      </c>
      <c r="M97" s="44">
        <f t="shared" si="75"/>
        <v>5715.655249600001</v>
      </c>
      <c r="N97" s="44">
        <f t="shared" si="75"/>
        <v>68700.3493952</v>
      </c>
    </row>
    <row r="99" spans="1:14" s="8" customFormat="1" ht="15">
      <c r="A99" s="37" t="s">
        <v>116</v>
      </c>
      <c r="B99" s="36" t="s">
        <v>20</v>
      </c>
      <c r="C99" s="36" t="s">
        <v>21</v>
      </c>
      <c r="D99" s="36" t="s">
        <v>22</v>
      </c>
      <c r="E99" s="36" t="s">
        <v>23</v>
      </c>
      <c r="F99" s="36" t="s">
        <v>24</v>
      </c>
      <c r="G99" s="36" t="s">
        <v>25</v>
      </c>
      <c r="H99" s="36" t="s">
        <v>26</v>
      </c>
      <c r="I99" s="36" t="s">
        <v>27</v>
      </c>
      <c r="J99" s="36" t="s">
        <v>28</v>
      </c>
      <c r="K99" s="36" t="s">
        <v>29</v>
      </c>
      <c r="L99" s="36" t="s">
        <v>30</v>
      </c>
      <c r="M99" s="36" t="s">
        <v>31</v>
      </c>
      <c r="N99" s="37" t="s">
        <v>31</v>
      </c>
    </row>
    <row r="100" spans="1:14" ht="15">
      <c r="A100" s="38" t="s">
        <v>76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</row>
    <row r="101" spans="1:14" ht="15">
      <c r="A101" s="39" t="s">
        <v>86</v>
      </c>
      <c r="B101" s="39">
        <f>SUELDOS!B62</f>
        <v>3634.096896</v>
      </c>
      <c r="C101" s="39">
        <f>B101</f>
        <v>3634.096896</v>
      </c>
      <c r="D101" s="39">
        <f aca="true" t="shared" si="76" ref="D101:M101">C101</f>
        <v>3634.096896</v>
      </c>
      <c r="E101" s="39">
        <f t="shared" si="76"/>
        <v>3634.096896</v>
      </c>
      <c r="F101" s="39">
        <f t="shared" si="76"/>
        <v>3634.096896</v>
      </c>
      <c r="G101" s="39">
        <f t="shared" si="76"/>
        <v>3634.096896</v>
      </c>
      <c r="H101" s="39">
        <f t="shared" si="76"/>
        <v>3634.096896</v>
      </c>
      <c r="I101" s="39">
        <f t="shared" si="76"/>
        <v>3634.096896</v>
      </c>
      <c r="J101" s="39">
        <f t="shared" si="76"/>
        <v>3634.096896</v>
      </c>
      <c r="K101" s="39">
        <f t="shared" si="76"/>
        <v>3634.096896</v>
      </c>
      <c r="L101" s="39">
        <f t="shared" si="76"/>
        <v>3634.096896</v>
      </c>
      <c r="M101" s="39">
        <f t="shared" si="76"/>
        <v>3634.096896</v>
      </c>
      <c r="N101" s="39">
        <f>SUM(B101:M101)</f>
        <v>43609.162752000004</v>
      </c>
    </row>
    <row r="102" spans="1:14" ht="15">
      <c r="A102" s="39" t="s">
        <v>87</v>
      </c>
      <c r="B102" s="39">
        <f>SUELDOS!E62</f>
        <v>441.542772864</v>
      </c>
      <c r="C102" s="39">
        <f aca="true" t="shared" si="77" ref="C102:M102">B102</f>
        <v>441.542772864</v>
      </c>
      <c r="D102" s="39">
        <f t="shared" si="77"/>
        <v>441.542772864</v>
      </c>
      <c r="E102" s="39">
        <f t="shared" si="77"/>
        <v>441.542772864</v>
      </c>
      <c r="F102" s="39">
        <f t="shared" si="77"/>
        <v>441.542772864</v>
      </c>
      <c r="G102" s="39">
        <f t="shared" si="77"/>
        <v>441.542772864</v>
      </c>
      <c r="H102" s="39">
        <f t="shared" si="77"/>
        <v>441.542772864</v>
      </c>
      <c r="I102" s="39">
        <f t="shared" si="77"/>
        <v>441.542772864</v>
      </c>
      <c r="J102" s="39">
        <f t="shared" si="77"/>
        <v>441.542772864</v>
      </c>
      <c r="K102" s="39">
        <f t="shared" si="77"/>
        <v>441.542772864</v>
      </c>
      <c r="L102" s="39">
        <f t="shared" si="77"/>
        <v>441.542772864</v>
      </c>
      <c r="M102" s="39">
        <f t="shared" si="77"/>
        <v>441.542772864</v>
      </c>
      <c r="N102" s="39">
        <f aca="true" t="shared" si="78" ref="N102:N120">SUM(B102:M102)</f>
        <v>5298.513274368001</v>
      </c>
    </row>
    <row r="103" spans="1:14" ht="15">
      <c r="A103" s="39" t="s">
        <v>88</v>
      </c>
      <c r="B103" s="39">
        <f>SUELDOS!F62</f>
        <v>25.236784000000004</v>
      </c>
      <c r="C103" s="39">
        <f aca="true" t="shared" si="79" ref="C103:M103">B103</f>
        <v>25.236784000000004</v>
      </c>
      <c r="D103" s="39">
        <f t="shared" si="79"/>
        <v>25.236784000000004</v>
      </c>
      <c r="E103" s="39">
        <f t="shared" si="79"/>
        <v>25.236784000000004</v>
      </c>
      <c r="F103" s="39">
        <f t="shared" si="79"/>
        <v>25.236784000000004</v>
      </c>
      <c r="G103" s="39">
        <f t="shared" si="79"/>
        <v>25.236784000000004</v>
      </c>
      <c r="H103" s="39">
        <f t="shared" si="79"/>
        <v>25.236784000000004</v>
      </c>
      <c r="I103" s="39">
        <f t="shared" si="79"/>
        <v>25.236784000000004</v>
      </c>
      <c r="J103" s="39">
        <f t="shared" si="79"/>
        <v>25.236784000000004</v>
      </c>
      <c r="K103" s="39">
        <f t="shared" si="79"/>
        <v>25.236784000000004</v>
      </c>
      <c r="L103" s="39">
        <f t="shared" si="79"/>
        <v>25.236784000000004</v>
      </c>
      <c r="M103" s="39">
        <f t="shared" si="79"/>
        <v>25.236784000000004</v>
      </c>
      <c r="N103" s="39">
        <f t="shared" si="78"/>
        <v>302.84140800000006</v>
      </c>
    </row>
    <row r="104" spans="1:14" ht="15">
      <c r="A104" s="39" t="s">
        <v>89</v>
      </c>
      <c r="B104" s="39">
        <f>SUELDOS!G62</f>
        <v>15.138888888888891</v>
      </c>
      <c r="C104" s="39">
        <f aca="true" t="shared" si="80" ref="C104:M104">B104</f>
        <v>15.138888888888891</v>
      </c>
      <c r="D104" s="39">
        <f t="shared" si="80"/>
        <v>15.138888888888891</v>
      </c>
      <c r="E104" s="39">
        <f t="shared" si="80"/>
        <v>15.138888888888891</v>
      </c>
      <c r="F104" s="39">
        <f t="shared" si="80"/>
        <v>15.138888888888891</v>
      </c>
      <c r="G104" s="39">
        <f t="shared" si="80"/>
        <v>15.138888888888891</v>
      </c>
      <c r="H104" s="39">
        <f t="shared" si="80"/>
        <v>15.138888888888891</v>
      </c>
      <c r="I104" s="39">
        <f t="shared" si="80"/>
        <v>15.138888888888891</v>
      </c>
      <c r="J104" s="39">
        <f t="shared" si="80"/>
        <v>15.138888888888891</v>
      </c>
      <c r="K104" s="39">
        <f t="shared" si="80"/>
        <v>15.138888888888891</v>
      </c>
      <c r="L104" s="39">
        <f t="shared" si="80"/>
        <v>15.138888888888891</v>
      </c>
      <c r="M104" s="39">
        <f t="shared" si="80"/>
        <v>15.138888888888891</v>
      </c>
      <c r="N104" s="39">
        <f t="shared" si="78"/>
        <v>181.66666666666666</v>
      </c>
    </row>
    <row r="105" spans="1:14" ht="15">
      <c r="A105" s="39" t="s">
        <v>90</v>
      </c>
      <c r="B105" s="39">
        <f>SUELDOS!I62</f>
        <v>302.84140800000006</v>
      </c>
      <c r="C105" s="39">
        <f aca="true" t="shared" si="81" ref="C105:M105">B105</f>
        <v>302.84140800000006</v>
      </c>
      <c r="D105" s="39">
        <f t="shared" si="81"/>
        <v>302.84140800000006</v>
      </c>
      <c r="E105" s="39">
        <f t="shared" si="81"/>
        <v>302.84140800000006</v>
      </c>
      <c r="F105" s="39">
        <f t="shared" si="81"/>
        <v>302.84140800000006</v>
      </c>
      <c r="G105" s="39">
        <f t="shared" si="81"/>
        <v>302.84140800000006</v>
      </c>
      <c r="H105" s="39">
        <f t="shared" si="81"/>
        <v>302.84140800000006</v>
      </c>
      <c r="I105" s="39">
        <f t="shared" si="81"/>
        <v>302.84140800000006</v>
      </c>
      <c r="J105" s="39">
        <f t="shared" si="81"/>
        <v>302.84140800000006</v>
      </c>
      <c r="K105" s="39">
        <f t="shared" si="81"/>
        <v>302.84140800000006</v>
      </c>
      <c r="L105" s="39">
        <f t="shared" si="81"/>
        <v>302.84140800000006</v>
      </c>
      <c r="M105" s="39">
        <f t="shared" si="81"/>
        <v>302.84140800000006</v>
      </c>
      <c r="N105" s="39">
        <f t="shared" si="78"/>
        <v>3634.0968960000014</v>
      </c>
    </row>
    <row r="106" spans="1:14" ht="15">
      <c r="A106" s="39" t="s">
        <v>91</v>
      </c>
      <c r="B106" s="39">
        <f>SUELDOS!H62</f>
        <v>151.42070400000003</v>
      </c>
      <c r="C106" s="39">
        <f aca="true" t="shared" si="82" ref="C106:M106">B106</f>
        <v>151.42070400000003</v>
      </c>
      <c r="D106" s="39">
        <f t="shared" si="82"/>
        <v>151.42070400000003</v>
      </c>
      <c r="E106" s="39">
        <f t="shared" si="82"/>
        <v>151.42070400000003</v>
      </c>
      <c r="F106" s="39">
        <f t="shared" si="82"/>
        <v>151.42070400000003</v>
      </c>
      <c r="G106" s="39">
        <f t="shared" si="82"/>
        <v>151.42070400000003</v>
      </c>
      <c r="H106" s="39">
        <f t="shared" si="82"/>
        <v>151.42070400000003</v>
      </c>
      <c r="I106" s="39">
        <f t="shared" si="82"/>
        <v>151.42070400000003</v>
      </c>
      <c r="J106" s="39">
        <f t="shared" si="82"/>
        <v>151.42070400000003</v>
      </c>
      <c r="K106" s="39">
        <f t="shared" si="82"/>
        <v>151.42070400000003</v>
      </c>
      <c r="L106" s="39">
        <f t="shared" si="82"/>
        <v>151.42070400000003</v>
      </c>
      <c r="M106" s="39">
        <f t="shared" si="82"/>
        <v>151.42070400000003</v>
      </c>
      <c r="N106" s="39">
        <f t="shared" si="78"/>
        <v>1817.0484480000007</v>
      </c>
    </row>
    <row r="107" spans="1:14" ht="15">
      <c r="A107" s="39" t="s">
        <v>104</v>
      </c>
      <c r="B107" s="39">
        <f>SUM('PROY. INGRESOS'!T6:T8)*0.15/12</f>
        <v>42.114908160000006</v>
      </c>
      <c r="C107" s="39">
        <f aca="true" t="shared" si="83" ref="C107:M107">B107</f>
        <v>42.114908160000006</v>
      </c>
      <c r="D107" s="39">
        <f t="shared" si="83"/>
        <v>42.114908160000006</v>
      </c>
      <c r="E107" s="39">
        <f t="shared" si="83"/>
        <v>42.114908160000006</v>
      </c>
      <c r="F107" s="39">
        <f t="shared" si="83"/>
        <v>42.114908160000006</v>
      </c>
      <c r="G107" s="39">
        <f t="shared" si="83"/>
        <v>42.114908160000006</v>
      </c>
      <c r="H107" s="39">
        <f t="shared" si="83"/>
        <v>42.114908160000006</v>
      </c>
      <c r="I107" s="39">
        <f t="shared" si="83"/>
        <v>42.114908160000006</v>
      </c>
      <c r="J107" s="39">
        <f t="shared" si="83"/>
        <v>42.114908160000006</v>
      </c>
      <c r="K107" s="39">
        <f t="shared" si="83"/>
        <v>42.114908160000006</v>
      </c>
      <c r="L107" s="39">
        <f t="shared" si="83"/>
        <v>42.114908160000006</v>
      </c>
      <c r="M107" s="39">
        <f t="shared" si="83"/>
        <v>42.114908160000006</v>
      </c>
      <c r="N107" s="39">
        <f t="shared" si="78"/>
        <v>505.37889792000016</v>
      </c>
    </row>
    <row r="108" spans="1:14" ht="15">
      <c r="A108" s="39" t="s">
        <v>103</v>
      </c>
      <c r="B108" s="39">
        <f>SUM('PROY. INGRESOS'!T11:T12)*0.15/12</f>
        <v>368.50544640000004</v>
      </c>
      <c r="C108" s="39">
        <f aca="true" t="shared" si="84" ref="C108:M108">B108</f>
        <v>368.50544640000004</v>
      </c>
      <c r="D108" s="39">
        <f t="shared" si="84"/>
        <v>368.50544640000004</v>
      </c>
      <c r="E108" s="39">
        <f t="shared" si="84"/>
        <v>368.50544640000004</v>
      </c>
      <c r="F108" s="39">
        <f t="shared" si="84"/>
        <v>368.50544640000004</v>
      </c>
      <c r="G108" s="39">
        <f t="shared" si="84"/>
        <v>368.50544640000004</v>
      </c>
      <c r="H108" s="39">
        <f t="shared" si="84"/>
        <v>368.50544640000004</v>
      </c>
      <c r="I108" s="39">
        <f t="shared" si="84"/>
        <v>368.50544640000004</v>
      </c>
      <c r="J108" s="39">
        <f t="shared" si="84"/>
        <v>368.50544640000004</v>
      </c>
      <c r="K108" s="39">
        <f t="shared" si="84"/>
        <v>368.50544640000004</v>
      </c>
      <c r="L108" s="39">
        <f t="shared" si="84"/>
        <v>368.50544640000004</v>
      </c>
      <c r="M108" s="39">
        <f t="shared" si="84"/>
        <v>368.50544640000004</v>
      </c>
      <c r="N108" s="39">
        <f t="shared" si="78"/>
        <v>4422.065356800001</v>
      </c>
    </row>
    <row r="109" spans="1:14" ht="15">
      <c r="A109" s="39" t="s">
        <v>154</v>
      </c>
      <c r="B109" s="39">
        <f>SUM('PROY. INGRESOS'!T15:T21)*0.2/12</f>
        <v>767.4272153600001</v>
      </c>
      <c r="C109" s="39">
        <f aca="true" t="shared" si="85" ref="C109:M109">B109</f>
        <v>767.4272153600001</v>
      </c>
      <c r="D109" s="39">
        <f t="shared" si="85"/>
        <v>767.4272153600001</v>
      </c>
      <c r="E109" s="39">
        <f t="shared" si="85"/>
        <v>767.4272153600001</v>
      </c>
      <c r="F109" s="39">
        <f t="shared" si="85"/>
        <v>767.4272153600001</v>
      </c>
      <c r="G109" s="39">
        <f t="shared" si="85"/>
        <v>767.4272153600001</v>
      </c>
      <c r="H109" s="39">
        <f t="shared" si="85"/>
        <v>767.4272153600001</v>
      </c>
      <c r="I109" s="39">
        <f t="shared" si="85"/>
        <v>767.4272153600001</v>
      </c>
      <c r="J109" s="39">
        <f t="shared" si="85"/>
        <v>767.4272153600001</v>
      </c>
      <c r="K109" s="39">
        <f t="shared" si="85"/>
        <v>767.4272153600001</v>
      </c>
      <c r="L109" s="39">
        <f t="shared" si="85"/>
        <v>767.4272153600001</v>
      </c>
      <c r="M109" s="39">
        <f t="shared" si="85"/>
        <v>767.4272153600001</v>
      </c>
      <c r="N109" s="39">
        <f t="shared" si="78"/>
        <v>9209.126584320002</v>
      </c>
    </row>
    <row r="110" spans="1:14" ht="15">
      <c r="A110" s="39" t="s">
        <v>197</v>
      </c>
      <c r="B110" s="39">
        <v>0</v>
      </c>
      <c r="C110" s="39">
        <f>B110</f>
        <v>0</v>
      </c>
      <c r="D110" s="39">
        <f aca="true" t="shared" si="86" ref="D110:M110">C110</f>
        <v>0</v>
      </c>
      <c r="E110" s="39">
        <f t="shared" si="86"/>
        <v>0</v>
      </c>
      <c r="F110" s="39">
        <f t="shared" si="86"/>
        <v>0</v>
      </c>
      <c r="G110" s="39">
        <f t="shared" si="86"/>
        <v>0</v>
      </c>
      <c r="H110" s="39">
        <f t="shared" si="86"/>
        <v>0</v>
      </c>
      <c r="I110" s="39">
        <f t="shared" si="86"/>
        <v>0</v>
      </c>
      <c r="J110" s="39">
        <f t="shared" si="86"/>
        <v>0</v>
      </c>
      <c r="K110" s="39">
        <f t="shared" si="86"/>
        <v>0</v>
      </c>
      <c r="L110" s="39">
        <f t="shared" si="86"/>
        <v>0</v>
      </c>
      <c r="M110" s="39">
        <f t="shared" si="86"/>
        <v>0</v>
      </c>
      <c r="N110" s="39">
        <f t="shared" si="78"/>
        <v>0</v>
      </c>
    </row>
    <row r="111" spans="1:14" ht="15">
      <c r="A111" s="39" t="s">
        <v>77</v>
      </c>
      <c r="B111" s="39">
        <f aca="true" t="shared" si="87" ref="B111:B118">B87*1.04</f>
        <v>233.97171200000003</v>
      </c>
      <c r="C111" s="39">
        <f aca="true" t="shared" si="88" ref="C111:M111">B111</f>
        <v>233.97171200000003</v>
      </c>
      <c r="D111" s="39">
        <f t="shared" si="88"/>
        <v>233.97171200000003</v>
      </c>
      <c r="E111" s="39">
        <f t="shared" si="88"/>
        <v>233.97171200000003</v>
      </c>
      <c r="F111" s="39">
        <f t="shared" si="88"/>
        <v>233.97171200000003</v>
      </c>
      <c r="G111" s="39">
        <f t="shared" si="88"/>
        <v>233.97171200000003</v>
      </c>
      <c r="H111" s="39">
        <f t="shared" si="88"/>
        <v>233.97171200000003</v>
      </c>
      <c r="I111" s="39">
        <f t="shared" si="88"/>
        <v>233.97171200000003</v>
      </c>
      <c r="J111" s="39">
        <f t="shared" si="88"/>
        <v>233.97171200000003</v>
      </c>
      <c r="K111" s="39">
        <f t="shared" si="88"/>
        <v>233.97171200000003</v>
      </c>
      <c r="L111" s="39">
        <f t="shared" si="88"/>
        <v>233.97171200000003</v>
      </c>
      <c r="M111" s="39">
        <f t="shared" si="88"/>
        <v>233.97171200000003</v>
      </c>
      <c r="N111" s="39">
        <f t="shared" si="78"/>
        <v>2807.6605440000003</v>
      </c>
    </row>
    <row r="112" spans="1:14" ht="15">
      <c r="A112" s="39" t="s">
        <v>78</v>
      </c>
      <c r="B112" s="39">
        <f t="shared" si="87"/>
        <v>29.246464000000003</v>
      </c>
      <c r="C112" s="39">
        <f aca="true" t="shared" si="89" ref="C112:M112">B112</f>
        <v>29.246464000000003</v>
      </c>
      <c r="D112" s="39">
        <f t="shared" si="89"/>
        <v>29.246464000000003</v>
      </c>
      <c r="E112" s="39">
        <f t="shared" si="89"/>
        <v>29.246464000000003</v>
      </c>
      <c r="F112" s="39">
        <f t="shared" si="89"/>
        <v>29.246464000000003</v>
      </c>
      <c r="G112" s="39">
        <f t="shared" si="89"/>
        <v>29.246464000000003</v>
      </c>
      <c r="H112" s="39">
        <f t="shared" si="89"/>
        <v>29.246464000000003</v>
      </c>
      <c r="I112" s="39">
        <f t="shared" si="89"/>
        <v>29.246464000000003</v>
      </c>
      <c r="J112" s="39">
        <f t="shared" si="89"/>
        <v>29.246464000000003</v>
      </c>
      <c r="K112" s="39">
        <f t="shared" si="89"/>
        <v>29.246464000000003</v>
      </c>
      <c r="L112" s="39">
        <f t="shared" si="89"/>
        <v>29.246464000000003</v>
      </c>
      <c r="M112" s="39">
        <f t="shared" si="89"/>
        <v>29.246464000000003</v>
      </c>
      <c r="N112" s="39">
        <f t="shared" si="78"/>
        <v>350.95756800000004</v>
      </c>
    </row>
    <row r="113" spans="1:14" ht="15">
      <c r="A113" s="39" t="s">
        <v>79</v>
      </c>
      <c r="B113" s="39">
        <f t="shared" si="87"/>
        <v>11.698585600000003</v>
      </c>
      <c r="C113" s="39">
        <f aca="true" t="shared" si="90" ref="C113:M113">B113</f>
        <v>11.698585600000003</v>
      </c>
      <c r="D113" s="39">
        <f t="shared" si="90"/>
        <v>11.698585600000003</v>
      </c>
      <c r="E113" s="39">
        <f t="shared" si="90"/>
        <v>11.698585600000003</v>
      </c>
      <c r="F113" s="39">
        <f t="shared" si="90"/>
        <v>11.698585600000003</v>
      </c>
      <c r="G113" s="39">
        <f t="shared" si="90"/>
        <v>11.698585600000003</v>
      </c>
      <c r="H113" s="39">
        <f t="shared" si="90"/>
        <v>11.698585600000003</v>
      </c>
      <c r="I113" s="39">
        <f t="shared" si="90"/>
        <v>11.698585600000003</v>
      </c>
      <c r="J113" s="39">
        <f t="shared" si="90"/>
        <v>11.698585600000003</v>
      </c>
      <c r="K113" s="39">
        <f t="shared" si="90"/>
        <v>11.698585600000003</v>
      </c>
      <c r="L113" s="39">
        <f t="shared" si="90"/>
        <v>11.698585600000003</v>
      </c>
      <c r="M113" s="39">
        <f t="shared" si="90"/>
        <v>11.698585600000003</v>
      </c>
      <c r="N113" s="39">
        <f t="shared" si="78"/>
        <v>140.38302720000004</v>
      </c>
    </row>
    <row r="114" spans="1:14" ht="15">
      <c r="A114" s="39" t="s">
        <v>80</v>
      </c>
      <c r="B114" s="39">
        <f t="shared" si="87"/>
        <v>76.04080640000002</v>
      </c>
      <c r="C114" s="39">
        <f aca="true" t="shared" si="91" ref="C114:M114">B114</f>
        <v>76.04080640000002</v>
      </c>
      <c r="D114" s="39">
        <f t="shared" si="91"/>
        <v>76.04080640000002</v>
      </c>
      <c r="E114" s="39">
        <f t="shared" si="91"/>
        <v>76.04080640000002</v>
      </c>
      <c r="F114" s="39">
        <f t="shared" si="91"/>
        <v>76.04080640000002</v>
      </c>
      <c r="G114" s="39">
        <f t="shared" si="91"/>
        <v>76.04080640000002</v>
      </c>
      <c r="H114" s="39">
        <f t="shared" si="91"/>
        <v>76.04080640000002</v>
      </c>
      <c r="I114" s="39">
        <f t="shared" si="91"/>
        <v>76.04080640000002</v>
      </c>
      <c r="J114" s="39">
        <f t="shared" si="91"/>
        <v>76.04080640000002</v>
      </c>
      <c r="K114" s="39">
        <f t="shared" si="91"/>
        <v>76.04080640000002</v>
      </c>
      <c r="L114" s="39">
        <f t="shared" si="91"/>
        <v>76.04080640000002</v>
      </c>
      <c r="M114" s="39">
        <f t="shared" si="91"/>
        <v>76.04080640000002</v>
      </c>
      <c r="N114" s="39">
        <f t="shared" si="78"/>
        <v>912.4896768000004</v>
      </c>
    </row>
    <row r="115" spans="1:14" ht="15">
      <c r="A115" s="39" t="s">
        <v>81</v>
      </c>
      <c r="B115" s="39">
        <f t="shared" si="87"/>
        <v>26</v>
      </c>
      <c r="C115" s="39">
        <f aca="true" t="shared" si="92" ref="C115:M115">B115</f>
        <v>26</v>
      </c>
      <c r="D115" s="39">
        <f t="shared" si="92"/>
        <v>26</v>
      </c>
      <c r="E115" s="39">
        <f t="shared" si="92"/>
        <v>26</v>
      </c>
      <c r="F115" s="39">
        <f t="shared" si="92"/>
        <v>26</v>
      </c>
      <c r="G115" s="39">
        <f t="shared" si="92"/>
        <v>26</v>
      </c>
      <c r="H115" s="39">
        <f t="shared" si="92"/>
        <v>26</v>
      </c>
      <c r="I115" s="39">
        <f t="shared" si="92"/>
        <v>26</v>
      </c>
      <c r="J115" s="39">
        <f t="shared" si="92"/>
        <v>26</v>
      </c>
      <c r="K115" s="39">
        <f t="shared" si="92"/>
        <v>26</v>
      </c>
      <c r="L115" s="39">
        <f t="shared" si="92"/>
        <v>26</v>
      </c>
      <c r="M115" s="39">
        <f t="shared" si="92"/>
        <v>26</v>
      </c>
      <c r="N115" s="39">
        <f t="shared" si="78"/>
        <v>312</v>
      </c>
    </row>
    <row r="116" spans="1:14" ht="15">
      <c r="A116" s="39" t="s">
        <v>92</v>
      </c>
      <c r="B116" s="39">
        <f t="shared" si="87"/>
        <v>43.264</v>
      </c>
      <c r="C116" s="39">
        <f aca="true" t="shared" si="93" ref="C116:M116">B116</f>
        <v>43.264</v>
      </c>
      <c r="D116" s="39">
        <f t="shared" si="93"/>
        <v>43.264</v>
      </c>
      <c r="E116" s="39">
        <f t="shared" si="93"/>
        <v>43.264</v>
      </c>
      <c r="F116" s="39">
        <f t="shared" si="93"/>
        <v>43.264</v>
      </c>
      <c r="G116" s="39">
        <f t="shared" si="93"/>
        <v>43.264</v>
      </c>
      <c r="H116" s="39">
        <f t="shared" si="93"/>
        <v>43.264</v>
      </c>
      <c r="I116" s="39">
        <f t="shared" si="93"/>
        <v>43.264</v>
      </c>
      <c r="J116" s="39">
        <f t="shared" si="93"/>
        <v>43.264</v>
      </c>
      <c r="K116" s="39">
        <f t="shared" si="93"/>
        <v>43.264</v>
      </c>
      <c r="L116" s="39">
        <f t="shared" si="93"/>
        <v>43.264</v>
      </c>
      <c r="M116" s="39">
        <f t="shared" si="93"/>
        <v>43.264</v>
      </c>
      <c r="N116" s="39">
        <f t="shared" si="78"/>
        <v>519.168</v>
      </c>
    </row>
    <row r="117" spans="1:14" ht="15">
      <c r="A117" s="39" t="s">
        <v>82</v>
      </c>
      <c r="B117" s="39">
        <f t="shared" si="87"/>
        <v>116.98585600000001</v>
      </c>
      <c r="C117" s="39">
        <v>0</v>
      </c>
      <c r="D117" s="39">
        <f aca="true" t="shared" si="94" ref="D117:M117">C117</f>
        <v>0</v>
      </c>
      <c r="E117" s="39">
        <f t="shared" si="94"/>
        <v>0</v>
      </c>
      <c r="F117" s="39">
        <f t="shared" si="94"/>
        <v>0</v>
      </c>
      <c r="G117" s="39">
        <f t="shared" si="94"/>
        <v>0</v>
      </c>
      <c r="H117" s="39">
        <f t="shared" si="94"/>
        <v>0</v>
      </c>
      <c r="I117" s="39">
        <f t="shared" si="94"/>
        <v>0</v>
      </c>
      <c r="J117" s="39">
        <f t="shared" si="94"/>
        <v>0</v>
      </c>
      <c r="K117" s="39">
        <f t="shared" si="94"/>
        <v>0</v>
      </c>
      <c r="L117" s="39">
        <f t="shared" si="94"/>
        <v>0</v>
      </c>
      <c r="M117" s="39">
        <f t="shared" si="94"/>
        <v>0</v>
      </c>
      <c r="N117" s="39">
        <f t="shared" si="78"/>
        <v>116.98585600000001</v>
      </c>
    </row>
    <row r="118" spans="1:14" ht="15">
      <c r="A118" s="39" t="s">
        <v>83</v>
      </c>
      <c r="B118" s="39">
        <f t="shared" si="87"/>
        <v>35.09575680000001</v>
      </c>
      <c r="C118" s="39">
        <f aca="true" t="shared" si="95" ref="C118:M118">B118</f>
        <v>35.09575680000001</v>
      </c>
      <c r="D118" s="39">
        <f t="shared" si="95"/>
        <v>35.09575680000001</v>
      </c>
      <c r="E118" s="39">
        <f t="shared" si="95"/>
        <v>35.09575680000001</v>
      </c>
      <c r="F118" s="39">
        <f t="shared" si="95"/>
        <v>35.09575680000001</v>
      </c>
      <c r="G118" s="39">
        <f t="shared" si="95"/>
        <v>35.09575680000001</v>
      </c>
      <c r="H118" s="39">
        <f t="shared" si="95"/>
        <v>35.09575680000001</v>
      </c>
      <c r="I118" s="39">
        <f t="shared" si="95"/>
        <v>35.09575680000001</v>
      </c>
      <c r="J118" s="39">
        <f t="shared" si="95"/>
        <v>35.09575680000001</v>
      </c>
      <c r="K118" s="39">
        <f t="shared" si="95"/>
        <v>35.09575680000001</v>
      </c>
      <c r="L118" s="39">
        <f t="shared" si="95"/>
        <v>35.09575680000001</v>
      </c>
      <c r="M118" s="39">
        <f t="shared" si="95"/>
        <v>35.09575680000001</v>
      </c>
      <c r="N118" s="39">
        <f t="shared" si="78"/>
        <v>421.1490816000001</v>
      </c>
    </row>
    <row r="119" spans="1:14" ht="15">
      <c r="A119" s="39" t="s">
        <v>84</v>
      </c>
      <c r="B119" s="39">
        <f>'ACTIVOS FIJOS'!J17</f>
        <v>54.416666666666664</v>
      </c>
      <c r="C119" s="39">
        <f aca="true" t="shared" si="96" ref="C119:M119">B119</f>
        <v>54.416666666666664</v>
      </c>
      <c r="D119" s="39">
        <f t="shared" si="96"/>
        <v>54.416666666666664</v>
      </c>
      <c r="E119" s="39">
        <f t="shared" si="96"/>
        <v>54.416666666666664</v>
      </c>
      <c r="F119" s="39">
        <f t="shared" si="96"/>
        <v>54.416666666666664</v>
      </c>
      <c r="G119" s="39">
        <f t="shared" si="96"/>
        <v>54.416666666666664</v>
      </c>
      <c r="H119" s="39">
        <f t="shared" si="96"/>
        <v>54.416666666666664</v>
      </c>
      <c r="I119" s="39">
        <f t="shared" si="96"/>
        <v>54.416666666666664</v>
      </c>
      <c r="J119" s="39">
        <f t="shared" si="96"/>
        <v>54.416666666666664</v>
      </c>
      <c r="K119" s="39">
        <f t="shared" si="96"/>
        <v>54.416666666666664</v>
      </c>
      <c r="L119" s="39">
        <f t="shared" si="96"/>
        <v>54.416666666666664</v>
      </c>
      <c r="M119" s="39">
        <f t="shared" si="96"/>
        <v>54.416666666666664</v>
      </c>
      <c r="N119" s="39">
        <f t="shared" si="78"/>
        <v>653</v>
      </c>
    </row>
    <row r="120" spans="1:14" ht="15">
      <c r="A120" s="39" t="s">
        <v>85</v>
      </c>
      <c r="B120" s="39">
        <f>'G. CONST.'!E15</f>
        <v>58.7</v>
      </c>
      <c r="C120" s="39">
        <f aca="true" t="shared" si="97" ref="C120:M120">B120</f>
        <v>58.7</v>
      </c>
      <c r="D120" s="39">
        <f t="shared" si="97"/>
        <v>58.7</v>
      </c>
      <c r="E120" s="39">
        <f t="shared" si="97"/>
        <v>58.7</v>
      </c>
      <c r="F120" s="39">
        <f t="shared" si="97"/>
        <v>58.7</v>
      </c>
      <c r="G120" s="39">
        <f t="shared" si="97"/>
        <v>58.7</v>
      </c>
      <c r="H120" s="39">
        <f t="shared" si="97"/>
        <v>58.7</v>
      </c>
      <c r="I120" s="39">
        <f t="shared" si="97"/>
        <v>58.7</v>
      </c>
      <c r="J120" s="39">
        <f t="shared" si="97"/>
        <v>58.7</v>
      </c>
      <c r="K120" s="39">
        <f t="shared" si="97"/>
        <v>58.7</v>
      </c>
      <c r="L120" s="39">
        <f t="shared" si="97"/>
        <v>58.7</v>
      </c>
      <c r="M120" s="39">
        <f t="shared" si="97"/>
        <v>58.7</v>
      </c>
      <c r="N120" s="39">
        <f t="shared" si="78"/>
        <v>704.4000000000001</v>
      </c>
    </row>
    <row r="121" spans="1:14" ht="15">
      <c r="A121" s="43"/>
      <c r="B121" s="44">
        <f aca="true" t="shared" si="98" ref="B121:N121">SUM(B101:B120)</f>
        <v>6433.744871139557</v>
      </c>
      <c r="C121" s="44">
        <f t="shared" si="98"/>
        <v>6316.759015139557</v>
      </c>
      <c r="D121" s="44">
        <f t="shared" si="98"/>
        <v>6316.759015139557</v>
      </c>
      <c r="E121" s="44">
        <f t="shared" si="98"/>
        <v>6316.759015139557</v>
      </c>
      <c r="F121" s="44">
        <f t="shared" si="98"/>
        <v>6316.759015139557</v>
      </c>
      <c r="G121" s="44">
        <f t="shared" si="98"/>
        <v>6316.759015139557</v>
      </c>
      <c r="H121" s="44">
        <f t="shared" si="98"/>
        <v>6316.759015139557</v>
      </c>
      <c r="I121" s="44">
        <f t="shared" si="98"/>
        <v>6316.759015139557</v>
      </c>
      <c r="J121" s="44">
        <f t="shared" si="98"/>
        <v>6316.759015139557</v>
      </c>
      <c r="K121" s="44">
        <f t="shared" si="98"/>
        <v>6316.759015139557</v>
      </c>
      <c r="L121" s="44">
        <f t="shared" si="98"/>
        <v>6316.759015139557</v>
      </c>
      <c r="M121" s="44">
        <f t="shared" si="98"/>
        <v>6316.759015139557</v>
      </c>
      <c r="N121" s="44">
        <f t="shared" si="98"/>
        <v>75918.09403767469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3"/>
  <sheetViews>
    <sheetView zoomScalePageLayoutView="0" workbookViewId="0" topLeftCell="A1">
      <pane xSplit="1" ySplit="5" topLeftCell="I6" activePane="bottomRight" state="frozen"/>
      <selection pane="topLeft" activeCell="A15" sqref="A15"/>
      <selection pane="topRight" activeCell="A15" sqref="A15"/>
      <selection pane="bottomLeft" activeCell="A15" sqref="A15"/>
      <selection pane="bottomRight" activeCell="E11" sqref="E11"/>
    </sheetView>
  </sheetViews>
  <sheetFormatPr defaultColWidth="11.421875" defaultRowHeight="15"/>
  <cols>
    <col min="1" max="1" width="39.7109375" style="2" customWidth="1"/>
    <col min="2" max="3" width="11.421875" style="6" customWidth="1"/>
    <col min="4" max="4" width="11.00390625" style="6" customWidth="1"/>
    <col min="5" max="14" width="11.421875" style="6" customWidth="1"/>
    <col min="15" max="15" width="9.140625" style="4" customWidth="1"/>
    <col min="16" max="16" width="8.28125" style="80" customWidth="1"/>
    <col min="17" max="17" width="11.421875" style="6" customWidth="1"/>
    <col min="18" max="18" width="11.7109375" style="6" bestFit="1" customWidth="1"/>
    <col min="19" max="21" width="11.421875" style="6" customWidth="1"/>
    <col min="22" max="16384" width="11.421875" style="2" customWidth="1"/>
  </cols>
  <sheetData>
    <row r="1" ht="18.75">
      <c r="A1" s="40" t="s">
        <v>0</v>
      </c>
    </row>
    <row r="2" ht="18.75">
      <c r="A2" s="40" t="s">
        <v>148</v>
      </c>
    </row>
    <row r="4" ht="15.75" thickBot="1"/>
    <row r="5" spans="2:20" ht="15.75" thickBot="1">
      <c r="B5" s="236" t="s">
        <v>20</v>
      </c>
      <c r="C5" s="237" t="s">
        <v>21</v>
      </c>
      <c r="D5" s="237" t="s">
        <v>22</v>
      </c>
      <c r="E5" s="237" t="s">
        <v>23</v>
      </c>
      <c r="F5" s="237" t="s">
        <v>24</v>
      </c>
      <c r="G5" s="237" t="s">
        <v>25</v>
      </c>
      <c r="H5" s="237" t="s">
        <v>26</v>
      </c>
      <c r="I5" s="237" t="s">
        <v>27</v>
      </c>
      <c r="J5" s="237" t="s">
        <v>28</v>
      </c>
      <c r="K5" s="237" t="s">
        <v>29</v>
      </c>
      <c r="L5" s="237" t="s">
        <v>30</v>
      </c>
      <c r="M5" s="237" t="s">
        <v>31</v>
      </c>
      <c r="N5" s="237" t="s">
        <v>40</v>
      </c>
      <c r="O5" s="238"/>
      <c r="P5" s="239"/>
      <c r="Q5" s="237" t="s">
        <v>113</v>
      </c>
      <c r="R5" s="237" t="s">
        <v>114</v>
      </c>
      <c r="S5" s="237" t="s">
        <v>115</v>
      </c>
      <c r="T5" s="240" t="s">
        <v>116</v>
      </c>
    </row>
    <row r="6" spans="1:20" ht="15">
      <c r="A6" s="227" t="s">
        <v>149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9"/>
      <c r="P6" s="230"/>
      <c r="Q6" s="228"/>
      <c r="R6" s="228"/>
      <c r="S6" s="228"/>
      <c r="T6" s="228"/>
    </row>
    <row r="7" spans="1:20" ht="15">
      <c r="A7" s="228" t="str">
        <f>'PROY. GASTOS'!A5</f>
        <v>SUELDOS</v>
      </c>
      <c r="B7" s="228">
        <f>'PROY. GASTOS'!B5</f>
        <v>2850</v>
      </c>
      <c r="C7" s="228">
        <f>'PROY. GASTOS'!C5</f>
        <v>2850</v>
      </c>
      <c r="D7" s="228">
        <f>'PROY. GASTOS'!D5</f>
        <v>2850</v>
      </c>
      <c r="E7" s="228">
        <f>'PROY. GASTOS'!E5</f>
        <v>2850</v>
      </c>
      <c r="F7" s="228">
        <f>'PROY. GASTOS'!F5</f>
        <v>2850</v>
      </c>
      <c r="G7" s="228">
        <f>'PROY. GASTOS'!G5</f>
        <v>2850</v>
      </c>
      <c r="H7" s="228">
        <f>'PROY. GASTOS'!H5</f>
        <v>2850</v>
      </c>
      <c r="I7" s="228">
        <f>'PROY. GASTOS'!I5</f>
        <v>2850</v>
      </c>
      <c r="J7" s="228">
        <f>'PROY. GASTOS'!J5</f>
        <v>2850</v>
      </c>
      <c r="K7" s="228">
        <f>'PROY. GASTOS'!K5</f>
        <v>2850</v>
      </c>
      <c r="L7" s="228">
        <f>'PROY. GASTOS'!L5</f>
        <v>2850</v>
      </c>
      <c r="M7" s="228">
        <f>'PROY. GASTOS'!M5</f>
        <v>2850</v>
      </c>
      <c r="N7" s="228">
        <f>SUM(B7:M7)</f>
        <v>34200</v>
      </c>
      <c r="O7" s="229"/>
      <c r="P7" s="230"/>
      <c r="Q7" s="228">
        <f>'PROY. GASTOS'!N29</f>
        <v>35568</v>
      </c>
      <c r="R7" s="228">
        <f>'PROY. GASTOS'!N53</f>
        <v>36990.72000000001</v>
      </c>
      <c r="S7" s="228">
        <f>'PROY. GASTOS'!N77</f>
        <v>38470.348800000014</v>
      </c>
      <c r="T7" s="228">
        <f>'PROY. GASTOS'!N101</f>
        <v>43609.162752000004</v>
      </c>
    </row>
    <row r="8" spans="1:20" ht="15">
      <c r="A8" s="228" t="str">
        <f>'PROY. GASTOS'!A6</f>
        <v>APORTE PATRONAL 12,15%</v>
      </c>
      <c r="B8" s="228">
        <f>'PROY. GASTOS'!B6</f>
        <v>346.275</v>
      </c>
      <c r="C8" s="228">
        <f>'PROY. GASTOS'!C6</f>
        <v>346.275</v>
      </c>
      <c r="D8" s="228">
        <f>'PROY. GASTOS'!D6</f>
        <v>346.275</v>
      </c>
      <c r="E8" s="228">
        <f>'PROY. GASTOS'!E6</f>
        <v>346.275</v>
      </c>
      <c r="F8" s="228">
        <f>'PROY. GASTOS'!F6</f>
        <v>346.275</v>
      </c>
      <c r="G8" s="228">
        <f>'PROY. GASTOS'!G6</f>
        <v>346.275</v>
      </c>
      <c r="H8" s="228">
        <f>'PROY. GASTOS'!H6</f>
        <v>346.275</v>
      </c>
      <c r="I8" s="228">
        <f>'PROY. GASTOS'!I6</f>
        <v>346.275</v>
      </c>
      <c r="J8" s="228">
        <f>'PROY. GASTOS'!J6</f>
        <v>346.275</v>
      </c>
      <c r="K8" s="228">
        <f>'PROY. GASTOS'!K6</f>
        <v>346.275</v>
      </c>
      <c r="L8" s="228">
        <f>'PROY. GASTOS'!L6</f>
        <v>346.275</v>
      </c>
      <c r="M8" s="228">
        <f>'PROY. GASTOS'!M6</f>
        <v>346.275</v>
      </c>
      <c r="N8" s="228">
        <f aca="true" t="shared" si="0" ref="N8:N21">SUM(B8:M8)</f>
        <v>4155.3</v>
      </c>
      <c r="O8" s="229"/>
      <c r="P8" s="230"/>
      <c r="Q8" s="228">
        <f>'PROY. GASTOS'!N30</f>
        <v>4321.5120000000015</v>
      </c>
      <c r="R8" s="228">
        <f>'PROY. GASTOS'!N54</f>
        <v>4494.372480000002</v>
      </c>
      <c r="S8" s="228">
        <f>'PROY. GASTOS'!N78</f>
        <v>4674.1473792</v>
      </c>
      <c r="T8" s="228">
        <f>'PROY. GASTOS'!N102</f>
        <v>5298.513274368001</v>
      </c>
    </row>
    <row r="9" spans="1:20" ht="15">
      <c r="A9" s="228" t="str">
        <f>'PROY. GASTOS'!A7</f>
        <v>DECIMO TERCER SUELDO</v>
      </c>
      <c r="B9" s="228">
        <f>'PROY. GASTOS'!B7</f>
        <v>19.791666666666664</v>
      </c>
      <c r="C9" s="228">
        <f>'PROY. GASTOS'!C7</f>
        <v>19.791666666666664</v>
      </c>
      <c r="D9" s="228">
        <f>'PROY. GASTOS'!D7</f>
        <v>19.791666666666664</v>
      </c>
      <c r="E9" s="228">
        <f>'PROY. GASTOS'!E7</f>
        <v>19.791666666666664</v>
      </c>
      <c r="F9" s="228">
        <f>'PROY. GASTOS'!F7</f>
        <v>19.791666666666664</v>
      </c>
      <c r="G9" s="228">
        <f>'PROY. GASTOS'!G7</f>
        <v>19.791666666666664</v>
      </c>
      <c r="H9" s="228">
        <f>'PROY. GASTOS'!H7</f>
        <v>19.791666666666664</v>
      </c>
      <c r="I9" s="228">
        <f>'PROY. GASTOS'!I7</f>
        <v>19.791666666666664</v>
      </c>
      <c r="J9" s="228">
        <f>'PROY. GASTOS'!J7</f>
        <v>19.791666666666664</v>
      </c>
      <c r="K9" s="228">
        <f>'PROY. GASTOS'!K7</f>
        <v>19.791666666666664</v>
      </c>
      <c r="L9" s="228">
        <f>'PROY. GASTOS'!L7</f>
        <v>19.791666666666664</v>
      </c>
      <c r="M9" s="228">
        <f>'PROY. GASTOS'!M7</f>
        <v>19.791666666666664</v>
      </c>
      <c r="N9" s="228">
        <f t="shared" si="0"/>
        <v>237.49999999999991</v>
      </c>
      <c r="O9" s="229"/>
      <c r="P9" s="230"/>
      <c r="Q9" s="228">
        <f>'PROY. GASTOS'!N31</f>
        <v>247.00000000000009</v>
      </c>
      <c r="R9" s="228">
        <f>'PROY. GASTOS'!N55</f>
        <v>256.88000000000005</v>
      </c>
      <c r="S9" s="228">
        <f>'PROY. GASTOS'!N79</f>
        <v>267.15520000000004</v>
      </c>
      <c r="T9" s="228">
        <f>'PROY. GASTOS'!N103</f>
        <v>302.84140800000006</v>
      </c>
    </row>
    <row r="10" spans="1:20" ht="15">
      <c r="A10" s="228" t="str">
        <f>'PROY. GASTOS'!A8</f>
        <v>DECIMO CUARTO SUELDO</v>
      </c>
      <c r="B10" s="228">
        <f>'PROY. GASTOS'!B8</f>
        <v>13.625000000000002</v>
      </c>
      <c r="C10" s="228">
        <f>'PROY. GASTOS'!C8</f>
        <v>13.625000000000002</v>
      </c>
      <c r="D10" s="228">
        <f>'PROY. GASTOS'!D8</f>
        <v>13.625000000000002</v>
      </c>
      <c r="E10" s="228">
        <f>'PROY. GASTOS'!E8</f>
        <v>13.625000000000002</v>
      </c>
      <c r="F10" s="228">
        <f>'PROY. GASTOS'!F8</f>
        <v>13.625000000000002</v>
      </c>
      <c r="G10" s="228">
        <f>'PROY. GASTOS'!G8</f>
        <v>13.625000000000002</v>
      </c>
      <c r="H10" s="228">
        <f>'PROY. GASTOS'!H8</f>
        <v>13.625000000000002</v>
      </c>
      <c r="I10" s="228">
        <f>'PROY. GASTOS'!I8</f>
        <v>13.625000000000002</v>
      </c>
      <c r="J10" s="228">
        <f>'PROY. GASTOS'!J8</f>
        <v>13.625000000000002</v>
      </c>
      <c r="K10" s="228">
        <f>'PROY. GASTOS'!K8</f>
        <v>13.625000000000002</v>
      </c>
      <c r="L10" s="228">
        <f>'PROY. GASTOS'!L8</f>
        <v>13.625000000000002</v>
      </c>
      <c r="M10" s="228">
        <f>'PROY. GASTOS'!M8</f>
        <v>13.625000000000002</v>
      </c>
      <c r="N10" s="228">
        <f t="shared" si="0"/>
        <v>163.50000000000003</v>
      </c>
      <c r="O10" s="229"/>
      <c r="P10" s="230"/>
      <c r="Q10" s="228">
        <f>'PROY. GASTOS'!N32</f>
        <v>163.50000000000003</v>
      </c>
      <c r="R10" s="228">
        <f>'PROY. GASTOS'!N56</f>
        <v>163.50000000000003</v>
      </c>
      <c r="S10" s="228">
        <f>'PROY. GASTOS'!N80</f>
        <v>163.50000000000003</v>
      </c>
      <c r="T10" s="228">
        <f>'PROY. GASTOS'!N104</f>
        <v>181.66666666666666</v>
      </c>
    </row>
    <row r="11" spans="1:20" ht="15">
      <c r="A11" s="228" t="str">
        <f>'PROY. GASTOS'!A9</f>
        <v>FONDOS DE RESERVA</v>
      </c>
      <c r="B11" s="228">
        <f>'PROY. GASTOS'!B9</f>
        <v>0</v>
      </c>
      <c r="C11" s="228">
        <f>'PROY. GASTOS'!C9</f>
        <v>0</v>
      </c>
      <c r="D11" s="228">
        <f>'PROY. GASTOS'!D9</f>
        <v>0</v>
      </c>
      <c r="E11" s="228">
        <f>'PROY. GASTOS'!E9</f>
        <v>0</v>
      </c>
      <c r="F11" s="228">
        <f>'PROY. GASTOS'!F9</f>
        <v>0</v>
      </c>
      <c r="G11" s="228">
        <f>'PROY. GASTOS'!G9</f>
        <v>0</v>
      </c>
      <c r="H11" s="228">
        <f>'PROY. GASTOS'!H9</f>
        <v>0</v>
      </c>
      <c r="I11" s="228">
        <f>'PROY. GASTOS'!I9</f>
        <v>0</v>
      </c>
      <c r="J11" s="228">
        <f>'PROY. GASTOS'!J9</f>
        <v>0</v>
      </c>
      <c r="K11" s="228">
        <f>'PROY. GASTOS'!K9</f>
        <v>0</v>
      </c>
      <c r="L11" s="228">
        <f>'PROY. GASTOS'!L9</f>
        <v>0</v>
      </c>
      <c r="M11" s="228">
        <f>'PROY. GASTOS'!M9</f>
        <v>0</v>
      </c>
      <c r="N11" s="228">
        <f t="shared" si="0"/>
        <v>0</v>
      </c>
      <c r="O11" s="229"/>
      <c r="P11" s="230"/>
      <c r="Q11" s="228">
        <f>'PROY. GASTOS'!N33</f>
        <v>2964</v>
      </c>
      <c r="R11" s="228">
        <f>'PROY. GASTOS'!N57</f>
        <v>3082.560000000001</v>
      </c>
      <c r="S11" s="228">
        <f>'PROY. GASTOS'!N81</f>
        <v>3205.8624000000013</v>
      </c>
      <c r="T11" s="228">
        <f>'PROY. GASTOS'!N105</f>
        <v>3634.0968960000014</v>
      </c>
    </row>
    <row r="12" spans="1:20" ht="15">
      <c r="A12" s="228" t="str">
        <f>'PROY. GASTOS'!A10</f>
        <v>VACACIONES</v>
      </c>
      <c r="B12" s="228">
        <f>'PROY. GASTOS'!B10</f>
        <v>0</v>
      </c>
      <c r="C12" s="228">
        <f>'PROY. GASTOS'!C10</f>
        <v>0</v>
      </c>
      <c r="D12" s="228">
        <f>'PROY. GASTOS'!D10</f>
        <v>0</v>
      </c>
      <c r="E12" s="228">
        <f>'PROY. GASTOS'!E10</f>
        <v>0</v>
      </c>
      <c r="F12" s="228">
        <f>'PROY. GASTOS'!F10</f>
        <v>0</v>
      </c>
      <c r="G12" s="228">
        <f>'PROY. GASTOS'!G10</f>
        <v>0</v>
      </c>
      <c r="H12" s="228">
        <f>'PROY. GASTOS'!H10</f>
        <v>0</v>
      </c>
      <c r="I12" s="228">
        <f>'PROY. GASTOS'!I10</f>
        <v>0</v>
      </c>
      <c r="J12" s="228">
        <f>'PROY. GASTOS'!J10</f>
        <v>0</v>
      </c>
      <c r="K12" s="228">
        <f>'PROY. GASTOS'!K10</f>
        <v>0</v>
      </c>
      <c r="L12" s="228">
        <f>'PROY. GASTOS'!L10</f>
        <v>0</v>
      </c>
      <c r="M12" s="228">
        <f>'PROY. GASTOS'!M10</f>
        <v>0</v>
      </c>
      <c r="N12" s="228">
        <f t="shared" si="0"/>
        <v>0</v>
      </c>
      <c r="O12" s="229"/>
      <c r="P12" s="230"/>
      <c r="Q12" s="228">
        <f>'PROY. GASTOS'!N34</f>
        <v>1482</v>
      </c>
      <c r="R12" s="228">
        <f>'PROY. GASTOS'!N58</f>
        <v>1541.2800000000004</v>
      </c>
      <c r="S12" s="228">
        <f>'PROY. GASTOS'!N82</f>
        <v>1602.9312000000007</v>
      </c>
      <c r="T12" s="228">
        <f>'PROY. GASTOS'!N106</f>
        <v>1817.0484480000007</v>
      </c>
    </row>
    <row r="13" spans="1:20" ht="15">
      <c r="A13" s="228" t="str">
        <f>'PROY. GASTOS'!A14</f>
        <v>INTERESES POR PRESTAMO</v>
      </c>
      <c r="B13" s="228">
        <f>'PROY. GASTOS'!B14</f>
        <v>34.375</v>
      </c>
      <c r="C13" s="228">
        <f>'PROY. GASTOS'!C14</f>
        <v>32.99351220167125</v>
      </c>
      <c r="D13" s="228">
        <f>'PROY. GASTOS'!D14</f>
        <v>31.60770725397272</v>
      </c>
      <c r="E13" s="228">
        <f>'PROY. GASTOS'!E14</f>
        <v>30.217571665812635</v>
      </c>
      <c r="F13" s="228">
        <f>'PROY. GASTOS'!F14</f>
        <v>28.823091903939545</v>
      </c>
      <c r="G13" s="228">
        <f>'PROY. GASTOS'!G14</f>
        <v>27.424254392810607</v>
      </c>
      <c r="H13" s="228">
        <f>'PROY. GASTOS'!H14</f>
        <v>26.02104551445939</v>
      </c>
      <c r="I13" s="228">
        <f>'PROY. GASTOS'!I14</f>
        <v>24.613451608363327</v>
      </c>
      <c r="J13" s="228">
        <f>'PROY. GASTOS'!J14</f>
        <v>23.20145897131071</v>
      </c>
      <c r="K13" s="228">
        <f>'PROY. GASTOS'!K14</f>
        <v>21.785053857267307</v>
      </c>
      <c r="L13" s="228">
        <f>'PROY. GASTOS'!L14</f>
        <v>20.364222477242517</v>
      </c>
      <c r="M13" s="228">
        <f>'PROY. GASTOS'!M14</f>
        <v>18.93895099915515</v>
      </c>
      <c r="N13" s="228">
        <f t="shared" si="0"/>
        <v>320.36532084600515</v>
      </c>
      <c r="O13" s="229"/>
      <c r="P13" s="230"/>
      <c r="Q13" s="228">
        <f>'PROY. GASTOS'!N38</f>
        <v>114.4609703189757</v>
      </c>
      <c r="R13" s="228">
        <f>'PROY. GASTOS'!N62</f>
        <v>0</v>
      </c>
      <c r="S13" s="228">
        <f>'PROY. GASTOS'!N86</f>
        <v>0</v>
      </c>
      <c r="T13" s="228">
        <f>'PROY. GASTOS'!N110</f>
        <v>0</v>
      </c>
    </row>
    <row r="14" spans="1:20" ht="15">
      <c r="A14" s="228" t="str">
        <f>'PROY. GASTOS'!A15</f>
        <v>ALQUILER DE OFICINA</v>
      </c>
      <c r="B14" s="228">
        <f>'PROY. GASTOS'!B15</f>
        <v>200</v>
      </c>
      <c r="C14" s="228">
        <f>'PROY. GASTOS'!C15</f>
        <v>200</v>
      </c>
      <c r="D14" s="228">
        <f>'PROY. GASTOS'!D15</f>
        <v>200</v>
      </c>
      <c r="E14" s="228">
        <f>'PROY. GASTOS'!E15</f>
        <v>200</v>
      </c>
      <c r="F14" s="228">
        <f>'PROY. GASTOS'!F15</f>
        <v>200</v>
      </c>
      <c r="G14" s="228">
        <f>'PROY. GASTOS'!G15</f>
        <v>200</v>
      </c>
      <c r="H14" s="228">
        <f>'PROY. GASTOS'!H15</f>
        <v>200</v>
      </c>
      <c r="I14" s="228">
        <f>'PROY. GASTOS'!I15</f>
        <v>200</v>
      </c>
      <c r="J14" s="228">
        <f>'PROY. GASTOS'!J15</f>
        <v>200</v>
      </c>
      <c r="K14" s="228">
        <f>'PROY. GASTOS'!K15</f>
        <v>200</v>
      </c>
      <c r="L14" s="228">
        <f>'PROY. GASTOS'!L15</f>
        <v>200</v>
      </c>
      <c r="M14" s="228">
        <f>'PROY. GASTOS'!M15</f>
        <v>200</v>
      </c>
      <c r="N14" s="228">
        <f t="shared" si="0"/>
        <v>2400</v>
      </c>
      <c r="O14" s="229"/>
      <c r="P14" s="230"/>
      <c r="Q14" s="228">
        <f>'PROY. GASTOS'!N39</f>
        <v>2496</v>
      </c>
      <c r="R14" s="228">
        <f>'PROY. GASTOS'!N63</f>
        <v>2595.84</v>
      </c>
      <c r="S14" s="228">
        <f>'PROY. GASTOS'!N87</f>
        <v>2699.6736</v>
      </c>
      <c r="T14" s="228">
        <f>'PROY. GASTOS'!N111</f>
        <v>2807.6605440000003</v>
      </c>
    </row>
    <row r="15" spans="1:20" ht="15">
      <c r="A15" s="228" t="str">
        <f>'PROY. GASTOS'!A16</f>
        <v>ENERGIA ELECTRICA</v>
      </c>
      <c r="B15" s="228">
        <f>'PROY. GASTOS'!B16</f>
        <v>25</v>
      </c>
      <c r="C15" s="228">
        <f>'PROY. GASTOS'!C16</f>
        <v>25</v>
      </c>
      <c r="D15" s="228">
        <f>'PROY. GASTOS'!D16</f>
        <v>25</v>
      </c>
      <c r="E15" s="228">
        <f>'PROY. GASTOS'!E16</f>
        <v>25</v>
      </c>
      <c r="F15" s="228">
        <f>'PROY. GASTOS'!F16</f>
        <v>25</v>
      </c>
      <c r="G15" s="228">
        <f>'PROY. GASTOS'!G16</f>
        <v>25</v>
      </c>
      <c r="H15" s="228">
        <f>'PROY. GASTOS'!H16</f>
        <v>25</v>
      </c>
      <c r="I15" s="228">
        <f>'PROY. GASTOS'!I16</f>
        <v>25</v>
      </c>
      <c r="J15" s="228">
        <f>'PROY. GASTOS'!J16</f>
        <v>25</v>
      </c>
      <c r="K15" s="228">
        <f>'PROY. GASTOS'!K16</f>
        <v>25</v>
      </c>
      <c r="L15" s="228">
        <f>'PROY. GASTOS'!L16</f>
        <v>25</v>
      </c>
      <c r="M15" s="228">
        <f>'PROY. GASTOS'!M16</f>
        <v>25</v>
      </c>
      <c r="N15" s="228">
        <f t="shared" si="0"/>
        <v>300</v>
      </c>
      <c r="O15" s="229"/>
      <c r="P15" s="230"/>
      <c r="Q15" s="228">
        <f>'PROY. GASTOS'!N40</f>
        <v>312</v>
      </c>
      <c r="R15" s="228">
        <f>'PROY. GASTOS'!N64</f>
        <v>324.48</v>
      </c>
      <c r="S15" s="228">
        <f>'PROY. GASTOS'!N88</f>
        <v>337.4592</v>
      </c>
      <c r="T15" s="228">
        <f>'PROY. GASTOS'!N112</f>
        <v>350.95756800000004</v>
      </c>
    </row>
    <row r="16" spans="1:20" ht="15">
      <c r="A16" s="228" t="str">
        <f>'PROY. GASTOS'!A17</f>
        <v>AGUA POTABLE</v>
      </c>
      <c r="B16" s="228">
        <f>'PROY. GASTOS'!B17</f>
        <v>10</v>
      </c>
      <c r="C16" s="228">
        <f>'PROY. GASTOS'!C17</f>
        <v>10</v>
      </c>
      <c r="D16" s="228">
        <f>'PROY. GASTOS'!D17</f>
        <v>10</v>
      </c>
      <c r="E16" s="228">
        <f>'PROY. GASTOS'!E17</f>
        <v>10</v>
      </c>
      <c r="F16" s="228">
        <f>'PROY. GASTOS'!F17</f>
        <v>10</v>
      </c>
      <c r="G16" s="228">
        <f>'PROY. GASTOS'!G17</f>
        <v>10</v>
      </c>
      <c r="H16" s="228">
        <f>'PROY. GASTOS'!H17</f>
        <v>10</v>
      </c>
      <c r="I16" s="228">
        <f>'PROY. GASTOS'!I17</f>
        <v>10</v>
      </c>
      <c r="J16" s="228">
        <f>'PROY. GASTOS'!J17</f>
        <v>10</v>
      </c>
      <c r="K16" s="228">
        <f>'PROY. GASTOS'!K17</f>
        <v>10</v>
      </c>
      <c r="L16" s="228">
        <f>'PROY. GASTOS'!L17</f>
        <v>10</v>
      </c>
      <c r="M16" s="228">
        <f>'PROY. GASTOS'!M17</f>
        <v>10</v>
      </c>
      <c r="N16" s="228">
        <f t="shared" si="0"/>
        <v>120</v>
      </c>
      <c r="O16" s="229"/>
      <c r="P16" s="230"/>
      <c r="Q16" s="228">
        <f>'PROY. GASTOS'!N41</f>
        <v>124.80000000000003</v>
      </c>
      <c r="R16" s="228">
        <f>'PROY. GASTOS'!N65</f>
        <v>129.792</v>
      </c>
      <c r="S16" s="228">
        <f>'PROY. GASTOS'!N89</f>
        <v>134.98368</v>
      </c>
      <c r="T16" s="228">
        <f>'PROY. GASTOS'!N113</f>
        <v>140.38302720000004</v>
      </c>
    </row>
    <row r="17" spans="1:20" ht="15">
      <c r="A17" s="228" t="str">
        <f>'PROY. GASTOS'!A18</f>
        <v>TELEFONO CONVENCIONAL Y CELULAR</v>
      </c>
      <c r="B17" s="228">
        <f>'PROY. GASTOS'!B18</f>
        <v>65</v>
      </c>
      <c r="C17" s="228">
        <f>'PROY. GASTOS'!C18</f>
        <v>65</v>
      </c>
      <c r="D17" s="228">
        <f>'PROY. GASTOS'!D18</f>
        <v>65</v>
      </c>
      <c r="E17" s="228">
        <f>'PROY. GASTOS'!E18</f>
        <v>65</v>
      </c>
      <c r="F17" s="228">
        <f>'PROY. GASTOS'!F18</f>
        <v>65</v>
      </c>
      <c r="G17" s="228">
        <f>'PROY. GASTOS'!G18</f>
        <v>65</v>
      </c>
      <c r="H17" s="228">
        <f>'PROY. GASTOS'!H18</f>
        <v>65</v>
      </c>
      <c r="I17" s="228">
        <f>'PROY. GASTOS'!I18</f>
        <v>65</v>
      </c>
      <c r="J17" s="228">
        <f>'PROY. GASTOS'!J18</f>
        <v>65</v>
      </c>
      <c r="K17" s="228">
        <f>'PROY. GASTOS'!K18</f>
        <v>65</v>
      </c>
      <c r="L17" s="228">
        <f>'PROY. GASTOS'!L18</f>
        <v>65</v>
      </c>
      <c r="M17" s="228">
        <f>'PROY. GASTOS'!M18</f>
        <v>65</v>
      </c>
      <c r="N17" s="228">
        <f t="shared" si="0"/>
        <v>780</v>
      </c>
      <c r="O17" s="229"/>
      <c r="P17" s="230"/>
      <c r="Q17" s="228">
        <f>'PROY. GASTOS'!N42</f>
        <v>811.2000000000002</v>
      </c>
      <c r="R17" s="228">
        <f>'PROY. GASTOS'!N66</f>
        <v>843.648</v>
      </c>
      <c r="S17" s="228">
        <f>'PROY. GASTOS'!N90</f>
        <v>877.3939200000003</v>
      </c>
      <c r="T17" s="228">
        <f>'PROY. GASTOS'!N114</f>
        <v>912.4896768000004</v>
      </c>
    </row>
    <row r="18" spans="1:20" ht="15">
      <c r="A18" s="228" t="str">
        <f>'PROY. GASTOS'!A21</f>
        <v>IMPUESTOS</v>
      </c>
      <c r="B18" s="228">
        <f>'PROY. GASTOS'!B21</f>
        <v>100</v>
      </c>
      <c r="C18" s="228">
        <f>'PROY. GASTOS'!C21</f>
        <v>0</v>
      </c>
      <c r="D18" s="228">
        <f>'PROY. GASTOS'!D21</f>
        <v>0</v>
      </c>
      <c r="E18" s="228">
        <f>'PROY. GASTOS'!E21</f>
        <v>0</v>
      </c>
      <c r="F18" s="228">
        <f>'PROY. GASTOS'!F21</f>
        <v>0</v>
      </c>
      <c r="G18" s="228">
        <f>'PROY. GASTOS'!G21</f>
        <v>0</v>
      </c>
      <c r="H18" s="228">
        <f>'PROY. GASTOS'!H21</f>
        <v>0</v>
      </c>
      <c r="I18" s="228">
        <f>'PROY. GASTOS'!I21</f>
        <v>0</v>
      </c>
      <c r="J18" s="228">
        <f>'PROY. GASTOS'!J21</f>
        <v>0</v>
      </c>
      <c r="K18" s="228">
        <f>'PROY. GASTOS'!K21</f>
        <v>0</v>
      </c>
      <c r="L18" s="228">
        <f>'PROY. GASTOS'!L21</f>
        <v>0</v>
      </c>
      <c r="M18" s="228">
        <f>'PROY. GASTOS'!M21</f>
        <v>0</v>
      </c>
      <c r="N18" s="228">
        <f t="shared" si="0"/>
        <v>100</v>
      </c>
      <c r="O18" s="229"/>
      <c r="P18" s="230"/>
      <c r="Q18" s="228">
        <f>'PROY. GASTOS'!N45</f>
        <v>104</v>
      </c>
      <c r="R18" s="228">
        <f>'PROY. GASTOS'!N69</f>
        <v>108.16</v>
      </c>
      <c r="S18" s="228">
        <f>'PROY. GASTOS'!N93</f>
        <v>112.4864</v>
      </c>
      <c r="T18" s="228">
        <f>'PROY. GASTOS'!N117</f>
        <v>116.98585600000001</v>
      </c>
    </row>
    <row r="19" spans="1:20" ht="15">
      <c r="A19" s="228" t="str">
        <f>'PROY. GASTOS'!A22</f>
        <v>SUMINISTROS DE OFICINA</v>
      </c>
      <c r="B19" s="228">
        <f>'PROY. GASTOS'!B22</f>
        <v>30</v>
      </c>
      <c r="C19" s="228">
        <f>'PROY. GASTOS'!C22</f>
        <v>30</v>
      </c>
      <c r="D19" s="228">
        <f>'PROY. GASTOS'!D22</f>
        <v>30</v>
      </c>
      <c r="E19" s="228">
        <f>'PROY. GASTOS'!E22</f>
        <v>30</v>
      </c>
      <c r="F19" s="228">
        <f>'PROY. GASTOS'!F22</f>
        <v>30</v>
      </c>
      <c r="G19" s="228">
        <f>'PROY. GASTOS'!G22</f>
        <v>30</v>
      </c>
      <c r="H19" s="228">
        <f>'PROY. GASTOS'!H22</f>
        <v>30</v>
      </c>
      <c r="I19" s="228">
        <f>'PROY. GASTOS'!I22</f>
        <v>30</v>
      </c>
      <c r="J19" s="228">
        <f>'PROY. GASTOS'!J22</f>
        <v>30</v>
      </c>
      <c r="K19" s="228">
        <f>'PROY. GASTOS'!K22</f>
        <v>30</v>
      </c>
      <c r="L19" s="228">
        <f>'PROY. GASTOS'!L22</f>
        <v>30</v>
      </c>
      <c r="M19" s="228">
        <f>'PROY. GASTOS'!M22</f>
        <v>30</v>
      </c>
      <c r="N19" s="228">
        <f t="shared" si="0"/>
        <v>360</v>
      </c>
      <c r="O19" s="229"/>
      <c r="P19" s="230"/>
      <c r="Q19" s="228">
        <f>'PROY. GASTOS'!N46</f>
        <v>374.3999999999999</v>
      </c>
      <c r="R19" s="228">
        <f>'PROY. GASTOS'!N70</f>
        <v>389.376</v>
      </c>
      <c r="S19" s="228">
        <f>'PROY. GASTOS'!N94</f>
        <v>404.95104000000015</v>
      </c>
      <c r="T19" s="228">
        <f>'PROY. GASTOS'!N118</f>
        <v>421.1490816000001</v>
      </c>
    </row>
    <row r="20" spans="1:20" ht="15">
      <c r="A20" s="228" t="str">
        <f>'PROY. GASTOS'!A23</f>
        <v>DEPRECIACION DE ACTIVOS FIJOS</v>
      </c>
      <c r="B20" s="228">
        <f>'PROY. GASTOS'!B23</f>
        <v>190.5277777777778</v>
      </c>
      <c r="C20" s="228">
        <f>'PROY. GASTOS'!C23</f>
        <v>190.5277777777778</v>
      </c>
      <c r="D20" s="228">
        <f>'PROY. GASTOS'!D23</f>
        <v>190.5277777777778</v>
      </c>
      <c r="E20" s="228">
        <f>'PROY. GASTOS'!E23</f>
        <v>190.5277777777778</v>
      </c>
      <c r="F20" s="228">
        <f>'PROY. GASTOS'!F23</f>
        <v>190.5277777777778</v>
      </c>
      <c r="G20" s="228">
        <f>'PROY. GASTOS'!G23</f>
        <v>190.5277777777778</v>
      </c>
      <c r="H20" s="228">
        <f>'PROY. GASTOS'!H23</f>
        <v>190.5277777777778</v>
      </c>
      <c r="I20" s="228">
        <f>'PROY. GASTOS'!I23</f>
        <v>190.5277777777778</v>
      </c>
      <c r="J20" s="228">
        <f>'PROY. GASTOS'!J23</f>
        <v>190.5277777777778</v>
      </c>
      <c r="K20" s="228">
        <f>'PROY. GASTOS'!K23</f>
        <v>190.5277777777778</v>
      </c>
      <c r="L20" s="228">
        <f>'PROY. GASTOS'!L23</f>
        <v>190.5277777777778</v>
      </c>
      <c r="M20" s="228">
        <f>'PROY. GASTOS'!M23</f>
        <v>190.5277777777778</v>
      </c>
      <c r="N20" s="228">
        <f t="shared" si="0"/>
        <v>2286.3333333333335</v>
      </c>
      <c r="O20" s="229"/>
      <c r="P20" s="230"/>
      <c r="Q20" s="228">
        <f>'PROY. GASTOS'!N47</f>
        <v>2286.3333333333335</v>
      </c>
      <c r="R20" s="228">
        <f>'PROY. GASTOS'!N71</f>
        <v>2286.3333333333335</v>
      </c>
      <c r="S20" s="228">
        <f>'PROY. GASTOS'!N95</f>
        <v>653</v>
      </c>
      <c r="T20" s="228">
        <f>'PROY. GASTOS'!N119</f>
        <v>653</v>
      </c>
    </row>
    <row r="21" spans="1:20" ht="15">
      <c r="A21" s="228" t="str">
        <f>'PROY. GASTOS'!A24</f>
        <v>AMORTIZACION DE GASTOS CONSTITUCION</v>
      </c>
      <c r="B21" s="228">
        <f>'PROY. GASTOS'!B24</f>
        <v>58.7</v>
      </c>
      <c r="C21" s="228">
        <f>'PROY. GASTOS'!C24</f>
        <v>58.7</v>
      </c>
      <c r="D21" s="228">
        <f>'PROY. GASTOS'!D24</f>
        <v>58.7</v>
      </c>
      <c r="E21" s="228">
        <f>'PROY. GASTOS'!E24</f>
        <v>58.7</v>
      </c>
      <c r="F21" s="228">
        <f>'PROY. GASTOS'!F24</f>
        <v>58.7</v>
      </c>
      <c r="G21" s="228">
        <f>'PROY. GASTOS'!G24</f>
        <v>58.7</v>
      </c>
      <c r="H21" s="228">
        <f>'PROY. GASTOS'!H24</f>
        <v>58.7</v>
      </c>
      <c r="I21" s="228">
        <f>'PROY. GASTOS'!I24</f>
        <v>58.7</v>
      </c>
      <c r="J21" s="228">
        <f>'PROY. GASTOS'!J24</f>
        <v>58.7</v>
      </c>
      <c r="K21" s="228">
        <f>'PROY. GASTOS'!K24</f>
        <v>58.7</v>
      </c>
      <c r="L21" s="228">
        <f>'PROY. GASTOS'!L24</f>
        <v>58.7</v>
      </c>
      <c r="M21" s="228">
        <f>'PROY. GASTOS'!M24</f>
        <v>58.7</v>
      </c>
      <c r="N21" s="228">
        <f t="shared" si="0"/>
        <v>704.4000000000001</v>
      </c>
      <c r="O21" s="229"/>
      <c r="P21" s="230"/>
      <c r="Q21" s="228">
        <f>'PROY. GASTOS'!N48</f>
        <v>704.4000000000001</v>
      </c>
      <c r="R21" s="228">
        <f>'PROY. GASTOS'!N72</f>
        <v>704.4000000000001</v>
      </c>
      <c r="S21" s="228">
        <f>'PROY. GASTOS'!N96</f>
        <v>704.4000000000001</v>
      </c>
      <c r="T21" s="228">
        <f>'PROY. GASTOS'!N120</f>
        <v>704.4000000000001</v>
      </c>
    </row>
    <row r="22" spans="1:20" ht="15">
      <c r="A22" s="231" t="s">
        <v>150</v>
      </c>
      <c r="B22" s="231">
        <f>SUM(B7:B21)</f>
        <v>3943.2944444444443</v>
      </c>
      <c r="C22" s="231">
        <f aca="true" t="shared" si="1" ref="C22:N22">SUM(C7:C21)</f>
        <v>3841.9129566461156</v>
      </c>
      <c r="D22" s="231">
        <f t="shared" si="1"/>
        <v>3840.527151698417</v>
      </c>
      <c r="E22" s="231">
        <f t="shared" si="1"/>
        <v>3839.137016110257</v>
      </c>
      <c r="F22" s="231">
        <f t="shared" si="1"/>
        <v>3837.742536348384</v>
      </c>
      <c r="G22" s="231">
        <f t="shared" si="1"/>
        <v>3836.343698837255</v>
      </c>
      <c r="H22" s="231">
        <f t="shared" si="1"/>
        <v>3834.9404899589035</v>
      </c>
      <c r="I22" s="231">
        <f t="shared" si="1"/>
        <v>3833.5328960528077</v>
      </c>
      <c r="J22" s="231">
        <f t="shared" si="1"/>
        <v>3832.120903415755</v>
      </c>
      <c r="K22" s="231">
        <f t="shared" si="1"/>
        <v>3830.7044983017117</v>
      </c>
      <c r="L22" s="231">
        <f t="shared" si="1"/>
        <v>3829.2836669216867</v>
      </c>
      <c r="M22" s="231">
        <f t="shared" si="1"/>
        <v>3827.8583954435994</v>
      </c>
      <c r="N22" s="231">
        <f t="shared" si="1"/>
        <v>46127.39865417934</v>
      </c>
      <c r="O22" s="229"/>
      <c r="P22" s="230"/>
      <c r="Q22" s="231">
        <f>SUM(Q7:Q21)</f>
        <v>52073.60630365232</v>
      </c>
      <c r="R22" s="231">
        <f>SUM(R7:R21)</f>
        <v>53911.34181333335</v>
      </c>
      <c r="S22" s="231">
        <f>SUM(S7:S21)</f>
        <v>54308.29281920001</v>
      </c>
      <c r="T22" s="231">
        <f>SUM(T7:T21)</f>
        <v>60950.35519863467</v>
      </c>
    </row>
    <row r="23" spans="1:20" ht="15">
      <c r="A23" s="228"/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9"/>
      <c r="P23" s="230"/>
      <c r="Q23" s="228"/>
      <c r="R23" s="228"/>
      <c r="S23" s="228"/>
      <c r="T23" s="228"/>
    </row>
    <row r="24" spans="1:20" ht="15">
      <c r="A24" s="232" t="s">
        <v>151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9"/>
      <c r="P24" s="230"/>
      <c r="Q24" s="228"/>
      <c r="R24" s="228"/>
      <c r="S24" s="228"/>
      <c r="T24" s="228"/>
    </row>
    <row r="25" spans="1:20" ht="15">
      <c r="A25" s="228" t="str">
        <f>'PROY. GASTOS'!A11</f>
        <v>SERVICIOS PRESTADOS LEGALES</v>
      </c>
      <c r="B25" s="233">
        <f>'PROY. GASTOS'!B11</f>
        <v>24</v>
      </c>
      <c r="C25" s="233">
        <f>'PROY. GASTOS'!C11</f>
        <v>24</v>
      </c>
      <c r="D25" s="233">
        <f>'PROY. GASTOS'!D11</f>
        <v>24</v>
      </c>
      <c r="E25" s="233">
        <f>'PROY. GASTOS'!E11</f>
        <v>24</v>
      </c>
      <c r="F25" s="233">
        <f>'PROY. GASTOS'!F11</f>
        <v>24</v>
      </c>
      <c r="G25" s="233">
        <f>'PROY. GASTOS'!G11</f>
        <v>24</v>
      </c>
      <c r="H25" s="233">
        <f>'PROY. GASTOS'!H11</f>
        <v>24</v>
      </c>
      <c r="I25" s="233">
        <f>'PROY. GASTOS'!I11</f>
        <v>24</v>
      </c>
      <c r="J25" s="233">
        <f>'PROY. GASTOS'!J11</f>
        <v>24</v>
      </c>
      <c r="K25" s="233">
        <f>'PROY. GASTOS'!K11</f>
        <v>24</v>
      </c>
      <c r="L25" s="233">
        <f>'PROY. GASTOS'!L11</f>
        <v>24</v>
      </c>
      <c r="M25" s="233">
        <f>'PROY. GASTOS'!M11</f>
        <v>24</v>
      </c>
      <c r="N25" s="228">
        <f>SUM(B25:M25)</f>
        <v>288</v>
      </c>
      <c r="O25" s="229"/>
      <c r="P25" s="230"/>
      <c r="Q25" s="228">
        <f>'PROY. GASTOS'!N35</f>
        <v>449.28</v>
      </c>
      <c r="R25" s="228">
        <f>'PROY. GASTOS'!N59</f>
        <v>467.2511999999999</v>
      </c>
      <c r="S25" s="228">
        <f>'PROY. GASTOS'!N83</f>
        <v>485.94124800000014</v>
      </c>
      <c r="T25" s="228">
        <f>'PROY. GASTOS'!N107</f>
        <v>505.37889792000016</v>
      </c>
    </row>
    <row r="26" spans="1:20" ht="15">
      <c r="A26" s="228" t="str">
        <f>'PROY. GASTOS'!A12</f>
        <v>SERVICIOS PRESTADOS ADUANEROS</v>
      </c>
      <c r="B26" s="233">
        <f>'PROY. GASTOS'!B12</f>
        <v>315</v>
      </c>
      <c r="C26" s="233">
        <f>'PROY. GASTOS'!C12</f>
        <v>315</v>
      </c>
      <c r="D26" s="233">
        <f>'PROY. GASTOS'!D12</f>
        <v>315</v>
      </c>
      <c r="E26" s="233">
        <f>'PROY. GASTOS'!E12</f>
        <v>315</v>
      </c>
      <c r="F26" s="233">
        <f>'PROY. GASTOS'!F12</f>
        <v>315</v>
      </c>
      <c r="G26" s="233">
        <f>'PROY. GASTOS'!G12</f>
        <v>315</v>
      </c>
      <c r="H26" s="233">
        <f>'PROY. GASTOS'!H12</f>
        <v>315</v>
      </c>
      <c r="I26" s="233">
        <f>'PROY. GASTOS'!I12</f>
        <v>315</v>
      </c>
      <c r="J26" s="233">
        <f>'PROY. GASTOS'!J12</f>
        <v>315</v>
      </c>
      <c r="K26" s="233">
        <f>'PROY. GASTOS'!K12</f>
        <v>315</v>
      </c>
      <c r="L26" s="233">
        <f>'PROY. GASTOS'!L12</f>
        <v>315</v>
      </c>
      <c r="M26" s="233">
        <f>'PROY. GASTOS'!M12</f>
        <v>315</v>
      </c>
      <c r="N26" s="228">
        <f>SUM(B26:M26)</f>
        <v>3780</v>
      </c>
      <c r="O26" s="229"/>
      <c r="P26" s="230"/>
      <c r="Q26" s="228">
        <f>'PROY. GASTOS'!N36</f>
        <v>3931.1999999999994</v>
      </c>
      <c r="R26" s="228">
        <f>'PROY. GASTOS'!N60</f>
        <v>4088.448000000001</v>
      </c>
      <c r="S26" s="228">
        <f>'PROY. GASTOS'!N84</f>
        <v>4251.98592</v>
      </c>
      <c r="T26" s="228">
        <f>'PROY. GASTOS'!N108</f>
        <v>4422.065356800001</v>
      </c>
    </row>
    <row r="27" spans="1:20" ht="15">
      <c r="A27" s="228" t="str">
        <f>'PROY. GASTOS'!A13</f>
        <v>SERVICIOS PRESTADOS CONTABLES</v>
      </c>
      <c r="B27" s="233">
        <f>'PROY. GASTOS'!B13</f>
        <v>328</v>
      </c>
      <c r="C27" s="233">
        <f>'PROY. GASTOS'!C13</f>
        <v>328</v>
      </c>
      <c r="D27" s="233">
        <f>'PROY. GASTOS'!D13</f>
        <v>328</v>
      </c>
      <c r="E27" s="233">
        <f>'PROY. GASTOS'!E13</f>
        <v>328</v>
      </c>
      <c r="F27" s="233">
        <f>'PROY. GASTOS'!F13</f>
        <v>328</v>
      </c>
      <c r="G27" s="233">
        <f>'PROY. GASTOS'!G13</f>
        <v>328</v>
      </c>
      <c r="H27" s="233">
        <f>'PROY. GASTOS'!H13</f>
        <v>328</v>
      </c>
      <c r="I27" s="233">
        <f>'PROY. GASTOS'!I13</f>
        <v>328</v>
      </c>
      <c r="J27" s="233">
        <f>'PROY. GASTOS'!J13</f>
        <v>328</v>
      </c>
      <c r="K27" s="233">
        <f>'PROY. GASTOS'!K13</f>
        <v>328</v>
      </c>
      <c r="L27" s="233">
        <f>'PROY. GASTOS'!L13</f>
        <v>328</v>
      </c>
      <c r="M27" s="233">
        <f>'PROY. GASTOS'!M13</f>
        <v>328</v>
      </c>
      <c r="N27" s="228">
        <f>SUM(B27:M27)</f>
        <v>3936</v>
      </c>
      <c r="O27" s="229"/>
      <c r="P27" s="230"/>
      <c r="Q27" s="228">
        <f>'PROY. GASTOS'!N37</f>
        <v>8186.88</v>
      </c>
      <c r="R27" s="228">
        <f>'PROY. GASTOS'!N61</f>
        <v>8514.3552</v>
      </c>
      <c r="S27" s="228">
        <f>'PROY. GASTOS'!N85</f>
        <v>8854.929408</v>
      </c>
      <c r="T27" s="228">
        <f>'PROY. GASTOS'!N109</f>
        <v>9209.126584320002</v>
      </c>
    </row>
    <row r="28" spans="1:20" ht="15">
      <c r="A28" s="234" t="s">
        <v>152</v>
      </c>
      <c r="B28" s="231">
        <f>SUM(B25:B27)</f>
        <v>667</v>
      </c>
      <c r="C28" s="231">
        <f aca="true" t="shared" si="2" ref="C28:N28">SUM(C25:C27)</f>
        <v>667</v>
      </c>
      <c r="D28" s="231">
        <f t="shared" si="2"/>
        <v>667</v>
      </c>
      <c r="E28" s="231">
        <f t="shared" si="2"/>
        <v>667</v>
      </c>
      <c r="F28" s="231">
        <f t="shared" si="2"/>
        <v>667</v>
      </c>
      <c r="G28" s="231">
        <f t="shared" si="2"/>
        <v>667</v>
      </c>
      <c r="H28" s="231">
        <f t="shared" si="2"/>
        <v>667</v>
      </c>
      <c r="I28" s="231">
        <f t="shared" si="2"/>
        <v>667</v>
      </c>
      <c r="J28" s="231">
        <f t="shared" si="2"/>
        <v>667</v>
      </c>
      <c r="K28" s="231">
        <f t="shared" si="2"/>
        <v>667</v>
      </c>
      <c r="L28" s="231">
        <f t="shared" si="2"/>
        <v>667</v>
      </c>
      <c r="M28" s="231">
        <f t="shared" si="2"/>
        <v>667</v>
      </c>
      <c r="N28" s="231">
        <f t="shared" si="2"/>
        <v>8004</v>
      </c>
      <c r="O28" s="229"/>
      <c r="P28" s="230"/>
      <c r="Q28" s="231">
        <f>SUM(Q25:Q27)</f>
        <v>12567.36</v>
      </c>
      <c r="R28" s="231">
        <f>SUM(R25:R27)</f>
        <v>13070.0544</v>
      </c>
      <c r="S28" s="231">
        <f>SUM(S25:S27)</f>
        <v>13592.856576</v>
      </c>
      <c r="T28" s="231">
        <f>SUM(T25:T27)</f>
        <v>14136.570839040003</v>
      </c>
    </row>
    <row r="29" spans="1:20" ht="15">
      <c r="A29" s="235"/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9"/>
      <c r="P29" s="230"/>
      <c r="Q29" s="228"/>
      <c r="R29" s="228"/>
      <c r="S29" s="228"/>
      <c r="T29" s="228"/>
    </row>
    <row r="30" spans="1:20" ht="15">
      <c r="A30" s="72" t="s">
        <v>153</v>
      </c>
      <c r="B30" s="14">
        <f>B22+B28</f>
        <v>4610.294444444444</v>
      </c>
      <c r="C30" s="14">
        <f aca="true" t="shared" si="3" ref="C30:N30">C22+C28</f>
        <v>4508.912956646116</v>
      </c>
      <c r="D30" s="14">
        <f t="shared" si="3"/>
        <v>4507.527151698418</v>
      </c>
      <c r="E30" s="14">
        <f t="shared" si="3"/>
        <v>4506.137016110257</v>
      </c>
      <c r="F30" s="14">
        <f t="shared" si="3"/>
        <v>4504.7425363483835</v>
      </c>
      <c r="G30" s="14">
        <f t="shared" si="3"/>
        <v>4503.343698837255</v>
      </c>
      <c r="H30" s="14">
        <f t="shared" si="3"/>
        <v>4501.9404899589035</v>
      </c>
      <c r="I30" s="14">
        <f t="shared" si="3"/>
        <v>4500.532896052808</v>
      </c>
      <c r="J30" s="14">
        <f t="shared" si="3"/>
        <v>4499.120903415755</v>
      </c>
      <c r="K30" s="14">
        <f t="shared" si="3"/>
        <v>4497.704498301711</v>
      </c>
      <c r="L30" s="14">
        <f t="shared" si="3"/>
        <v>4496.283666921687</v>
      </c>
      <c r="M30" s="14">
        <f t="shared" si="3"/>
        <v>4494.8583954436</v>
      </c>
      <c r="N30" s="14">
        <f t="shared" si="3"/>
        <v>54131.39865417934</v>
      </c>
      <c r="O30" s="261"/>
      <c r="P30" s="262"/>
      <c r="Q30" s="14">
        <f>Q22+Q28</f>
        <v>64640.96630365232</v>
      </c>
      <c r="R30" s="14">
        <f>R22+R28</f>
        <v>66981.39621333336</v>
      </c>
      <c r="S30" s="14">
        <f>S22+S28</f>
        <v>67901.14939520002</v>
      </c>
      <c r="T30" s="14">
        <f>T22+T28</f>
        <v>75086.92603767468</v>
      </c>
    </row>
    <row r="31" spans="1:20" ht="15">
      <c r="A31" s="255"/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61"/>
      <c r="P31" s="262"/>
      <c r="Q31" s="256"/>
      <c r="R31" s="256"/>
      <c r="S31" s="256"/>
      <c r="T31" s="256"/>
    </row>
    <row r="32" spans="1:20" ht="15">
      <c r="A32" s="257" t="s">
        <v>156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61"/>
      <c r="P32" s="262"/>
      <c r="Q32" s="256"/>
      <c r="R32" s="256"/>
      <c r="S32" s="256"/>
      <c r="T32" s="256"/>
    </row>
    <row r="33" spans="1:20" ht="15">
      <c r="A33" s="258" t="str">
        <f>'PROY. INGRESOS'!A5</f>
        <v>TRAMITES SOCIETARIOS:</v>
      </c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61" t="s">
        <v>157</v>
      </c>
      <c r="P33" s="262" t="s">
        <v>160</v>
      </c>
      <c r="Q33" s="256"/>
      <c r="R33" s="256"/>
      <c r="S33" s="256"/>
      <c r="T33" s="256"/>
    </row>
    <row r="34" spans="1:20" ht="15">
      <c r="A34" s="256" t="str">
        <f>'PROY. INGRESOS'!A6</f>
        <v>CONSTITUCION DE COMPAÑIAS</v>
      </c>
      <c r="B34" s="256">
        <f>$B$30*O34</f>
        <v>92.20588888888888</v>
      </c>
      <c r="C34" s="256">
        <f>$C$30*O34</f>
        <v>90.17825913292232</v>
      </c>
      <c r="D34" s="256">
        <f>$D$30*O34</f>
        <v>90.15054303396835</v>
      </c>
      <c r="E34" s="256">
        <f>$E$30*O34</f>
        <v>90.12274032220513</v>
      </c>
      <c r="F34" s="256">
        <f>$F$30*O34</f>
        <v>90.09485072696768</v>
      </c>
      <c r="G34" s="256">
        <f>$G$30*O34</f>
        <v>90.0668739767451</v>
      </c>
      <c r="H34" s="256">
        <f>$H$30*O34</f>
        <v>90.03880979917807</v>
      </c>
      <c r="I34" s="256">
        <f>$I$30*O34</f>
        <v>90.01065792105615</v>
      </c>
      <c r="J34" s="256">
        <f>$J$30*O34</f>
        <v>89.9824180683151</v>
      </c>
      <c r="K34" s="256">
        <f>$K$30*O34</f>
        <v>89.95408996603423</v>
      </c>
      <c r="L34" s="256">
        <f>$L$30*O34</f>
        <v>89.92567333843374</v>
      </c>
      <c r="M34" s="256">
        <f>$M$30*O34</f>
        <v>89.89716790887199</v>
      </c>
      <c r="N34" s="256">
        <f>SUM(B34:M34)</f>
        <v>1082.6279730835865</v>
      </c>
      <c r="O34" s="177">
        <v>0.02</v>
      </c>
      <c r="P34" s="177">
        <f>'PROY. INGRESOS'!C6</f>
        <v>1</v>
      </c>
      <c r="Q34" s="256">
        <f>N34*1.04</f>
        <v>1125.93309200693</v>
      </c>
      <c r="R34" s="256">
        <f>Q34*1.04</f>
        <v>1170.9704156872074</v>
      </c>
      <c r="S34" s="256">
        <f>R34*1.04</f>
        <v>1217.8092323146957</v>
      </c>
      <c r="T34" s="256">
        <f>S34*1.04</f>
        <v>1266.5216016072836</v>
      </c>
    </row>
    <row r="35" spans="1:20" ht="15">
      <c r="A35" s="256" t="str">
        <f>'PROY. INGRESOS'!A7</f>
        <v>LIQUIDACION DE COMPAÑIAS</v>
      </c>
      <c r="B35" s="256">
        <f>$B$30*O35</f>
        <v>0</v>
      </c>
      <c r="C35" s="256">
        <f>$C$30*O35</f>
        <v>0</v>
      </c>
      <c r="D35" s="256">
        <f>$D$30*O35</f>
        <v>0</v>
      </c>
      <c r="E35" s="256">
        <f>$E$30*O35</f>
        <v>0</v>
      </c>
      <c r="F35" s="256">
        <f>$F$30*O35</f>
        <v>0</v>
      </c>
      <c r="G35" s="256">
        <f>$G$30*O35</f>
        <v>0</v>
      </c>
      <c r="H35" s="256">
        <f>$H$30*O35</f>
        <v>0</v>
      </c>
      <c r="I35" s="256">
        <f>$I$30*O35</f>
        <v>0</v>
      </c>
      <c r="J35" s="256">
        <f>$J$30*O35</f>
        <v>0</v>
      </c>
      <c r="K35" s="256">
        <f>$K$30*O35</f>
        <v>0</v>
      </c>
      <c r="L35" s="256">
        <f>$L$30*O35</f>
        <v>0</v>
      </c>
      <c r="M35" s="256">
        <f>$M$30*O35</f>
        <v>0</v>
      </c>
      <c r="N35" s="256">
        <f>SUM(B35:M35)</f>
        <v>0</v>
      </c>
      <c r="O35" s="177">
        <v>0</v>
      </c>
      <c r="P35" s="177">
        <f>'PROY. INGRESOS'!C7</f>
        <v>0</v>
      </c>
      <c r="Q35" s="256">
        <f>N35*1.04</f>
        <v>0</v>
      </c>
      <c r="R35" s="256">
        <f aca="true" t="shared" si="4" ref="R35:T36">Q35*1.04</f>
        <v>0</v>
      </c>
      <c r="S35" s="256">
        <f t="shared" si="4"/>
        <v>0</v>
      </c>
      <c r="T35" s="256">
        <f t="shared" si="4"/>
        <v>0</v>
      </c>
    </row>
    <row r="36" spans="1:20" ht="15">
      <c r="A36" s="256" t="str">
        <f>'PROY. INGRESOS'!A8</f>
        <v>REFORMAS ESTATUTARIAS</v>
      </c>
      <c r="B36" s="256">
        <f>$B$30*O36</f>
        <v>92.20588888888888</v>
      </c>
      <c r="C36" s="256">
        <f>$C$30*O36</f>
        <v>90.17825913292232</v>
      </c>
      <c r="D36" s="256">
        <f>$D$30*O36</f>
        <v>90.15054303396835</v>
      </c>
      <c r="E36" s="256">
        <f>$E$30*O36</f>
        <v>90.12274032220513</v>
      </c>
      <c r="F36" s="256">
        <f>$F$30*O36</f>
        <v>90.09485072696768</v>
      </c>
      <c r="G36" s="256">
        <f>$G$30*O36</f>
        <v>90.0668739767451</v>
      </c>
      <c r="H36" s="256">
        <f>$H$30*O36</f>
        <v>90.03880979917807</v>
      </c>
      <c r="I36" s="256">
        <f>$I$30*O36</f>
        <v>90.01065792105615</v>
      </c>
      <c r="J36" s="256">
        <f>$J$30*O36</f>
        <v>89.9824180683151</v>
      </c>
      <c r="K36" s="256">
        <f>$K$30*O36</f>
        <v>89.95408996603423</v>
      </c>
      <c r="L36" s="256">
        <f>$L$30*O36</f>
        <v>89.92567333843374</v>
      </c>
      <c r="M36" s="256">
        <f>$M$30*O36</f>
        <v>89.89716790887199</v>
      </c>
      <c r="N36" s="256">
        <f>SUM(B36:M36)</f>
        <v>1082.6279730835865</v>
      </c>
      <c r="O36" s="177">
        <v>0.02</v>
      </c>
      <c r="P36" s="177">
        <f>'PROY. INGRESOS'!C8</f>
        <v>1</v>
      </c>
      <c r="Q36" s="256">
        <f>N36*1.04</f>
        <v>1125.93309200693</v>
      </c>
      <c r="R36" s="256">
        <f t="shared" si="4"/>
        <v>1170.9704156872074</v>
      </c>
      <c r="S36" s="256">
        <f t="shared" si="4"/>
        <v>1217.8092323146957</v>
      </c>
      <c r="T36" s="256">
        <f t="shared" si="4"/>
        <v>1266.5216016072836</v>
      </c>
    </row>
    <row r="37" spans="1:20" ht="15">
      <c r="A37" s="256"/>
      <c r="B37" s="259">
        <f>SUM(B34:B36)</f>
        <v>184.41177777777776</v>
      </c>
      <c r="C37" s="259">
        <f aca="true" t="shared" si="5" ref="C37:N37">SUM(C34:C36)</f>
        <v>180.35651826584464</v>
      </c>
      <c r="D37" s="259">
        <f t="shared" si="5"/>
        <v>180.3010860679367</v>
      </c>
      <c r="E37" s="259">
        <f t="shared" si="5"/>
        <v>180.24548064441026</v>
      </c>
      <c r="F37" s="259">
        <f t="shared" si="5"/>
        <v>180.18970145393536</v>
      </c>
      <c r="G37" s="259">
        <f t="shared" si="5"/>
        <v>180.1337479534902</v>
      </c>
      <c r="H37" s="259">
        <f t="shared" si="5"/>
        <v>180.07761959835614</v>
      </c>
      <c r="I37" s="259">
        <f t="shared" si="5"/>
        <v>180.0213158421123</v>
      </c>
      <c r="J37" s="259">
        <f t="shared" si="5"/>
        <v>179.9648361366302</v>
      </c>
      <c r="K37" s="259">
        <f t="shared" si="5"/>
        <v>179.90817993206846</v>
      </c>
      <c r="L37" s="259">
        <f t="shared" si="5"/>
        <v>179.85134667686748</v>
      </c>
      <c r="M37" s="259">
        <f t="shared" si="5"/>
        <v>179.79433581774398</v>
      </c>
      <c r="N37" s="259">
        <f t="shared" si="5"/>
        <v>2165.255946167173</v>
      </c>
      <c r="O37" s="177"/>
      <c r="P37" s="177"/>
      <c r="Q37" s="259">
        <f>SUM(Q34:Q36)</f>
        <v>2251.86618401386</v>
      </c>
      <c r="R37" s="259">
        <f>SUM(R34:R36)</f>
        <v>2341.9408313744148</v>
      </c>
      <c r="S37" s="259">
        <f>SUM(S34:S36)</f>
        <v>2435.6184646293914</v>
      </c>
      <c r="T37" s="259">
        <f>SUM(T34:T36)</f>
        <v>2533.0432032145673</v>
      </c>
    </row>
    <row r="38" spans="1:20" ht="15">
      <c r="A38" s="256"/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61"/>
      <c r="P38" s="177"/>
      <c r="Q38" s="256"/>
      <c r="R38" s="256"/>
      <c r="S38" s="256"/>
      <c r="T38" s="256"/>
    </row>
    <row r="39" spans="1:20" ht="15">
      <c r="A39" s="258" t="str">
        <f>'PROY. INGRESOS'!A10</f>
        <v>TRAMITES ADUANEROS: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61"/>
      <c r="P39" s="177"/>
      <c r="Q39" s="256"/>
      <c r="R39" s="256"/>
      <c r="S39" s="256"/>
      <c r="T39" s="256"/>
    </row>
    <row r="40" spans="1:20" ht="15">
      <c r="A40" s="260" t="str">
        <f>'PROY. INGRESOS'!A11</f>
        <v>IMPORTACION (INTEGRAL)</v>
      </c>
      <c r="B40" s="256">
        <f>$B$30*O40</f>
        <v>553.2353333333332</v>
      </c>
      <c r="C40" s="256">
        <f>$C$30*O40</f>
        <v>541.0695547975339</v>
      </c>
      <c r="D40" s="256">
        <f>$D$30*O40</f>
        <v>540.9032582038101</v>
      </c>
      <c r="E40" s="256">
        <f>$E$30*O40</f>
        <v>540.7364419332308</v>
      </c>
      <c r="F40" s="256">
        <f>$F$30*O40</f>
        <v>540.569104361806</v>
      </c>
      <c r="G40" s="256">
        <f>$G$30*O40</f>
        <v>540.4012438604706</v>
      </c>
      <c r="H40" s="256">
        <f>$H$30*O40</f>
        <v>540.2328587950684</v>
      </c>
      <c r="I40" s="256">
        <f>$I$30*O40</f>
        <v>540.063947526337</v>
      </c>
      <c r="J40" s="256">
        <f>$J$30*O40</f>
        <v>539.8945084098905</v>
      </c>
      <c r="K40" s="256">
        <f>$K$30*O40</f>
        <v>539.7245397962054</v>
      </c>
      <c r="L40" s="256">
        <f>$L$30*O40</f>
        <v>539.5540400306024</v>
      </c>
      <c r="M40" s="256">
        <f>$M$30*O40</f>
        <v>539.3830074532319</v>
      </c>
      <c r="N40" s="256">
        <f>SUM(B40:M40)</f>
        <v>6495.767838501519</v>
      </c>
      <c r="O40" s="177">
        <v>0.12</v>
      </c>
      <c r="P40" s="177">
        <f>'PROY. INGRESOS'!C11</f>
        <v>6</v>
      </c>
      <c r="Q40" s="256">
        <f>N40*1.04</f>
        <v>6755.59855204158</v>
      </c>
      <c r="R40" s="256">
        <f aca="true" t="shared" si="6" ref="R40:T41">Q40*1.04</f>
        <v>7025.822494123243</v>
      </c>
      <c r="S40" s="256">
        <f t="shared" si="6"/>
        <v>7306.855393888173</v>
      </c>
      <c r="T40" s="256">
        <f t="shared" si="6"/>
        <v>7599.129609643701</v>
      </c>
    </row>
    <row r="41" spans="1:20" ht="15">
      <c r="A41" s="260" t="str">
        <f>'PROY. INGRESOS'!A12</f>
        <v>EXPORTACION (INTEGRAL)</v>
      </c>
      <c r="B41" s="256">
        <f>$B$30*O41</f>
        <v>70.92760683760683</v>
      </c>
      <c r="C41" s="256">
        <f>$C$30*O41</f>
        <v>69.36789164070949</v>
      </c>
      <c r="D41" s="256">
        <f>$D$30*O41</f>
        <v>69.34657156459104</v>
      </c>
      <c r="E41" s="256">
        <f>$E$30*O41</f>
        <v>69.32518486323472</v>
      </c>
      <c r="F41" s="256">
        <f>$F$30*O41</f>
        <v>69.30373132843667</v>
      </c>
      <c r="G41" s="256">
        <f>$G$30*O41</f>
        <v>69.28221075134239</v>
      </c>
      <c r="H41" s="256">
        <f>$H$30*O41</f>
        <v>69.26062292244467</v>
      </c>
      <c r="I41" s="256">
        <f>$I$30*O41</f>
        <v>69.23896763158166</v>
      </c>
      <c r="J41" s="256">
        <f>$J$30*O41</f>
        <v>69.2172446679347</v>
      </c>
      <c r="K41" s="256">
        <f>$K$30*O41</f>
        <v>69.19545382002633</v>
      </c>
      <c r="L41" s="256">
        <f>$L$30*O41</f>
        <v>69.17359487571827</v>
      </c>
      <c r="M41" s="256">
        <f>$M$30*O41</f>
        <v>69.15166762220923</v>
      </c>
      <c r="N41" s="256">
        <f>SUM(B41:M41)</f>
        <v>832.7907485258361</v>
      </c>
      <c r="O41" s="177">
        <f>'PROY. INGRESOS'!V12</f>
        <v>0.015384615384615385</v>
      </c>
      <c r="P41" s="177">
        <f>'PROY. INGRESOS'!C12</f>
        <v>1</v>
      </c>
      <c r="Q41" s="256">
        <f>N41*1.04</f>
        <v>866.1023784668696</v>
      </c>
      <c r="R41" s="256">
        <f t="shared" si="6"/>
        <v>900.7464736055445</v>
      </c>
      <c r="S41" s="256">
        <f t="shared" si="6"/>
        <v>936.7763325497663</v>
      </c>
      <c r="T41" s="256">
        <f t="shared" si="6"/>
        <v>974.2473858517569</v>
      </c>
    </row>
    <row r="42" spans="1:20" ht="15">
      <c r="A42" s="260"/>
      <c r="B42" s="259">
        <f>SUM(B40:B41)</f>
        <v>624.16294017094</v>
      </c>
      <c r="C42" s="259">
        <f aca="true" t="shared" si="7" ref="C42:N42">SUM(C40:C41)</f>
        <v>610.4374464382433</v>
      </c>
      <c r="D42" s="259">
        <f t="shared" si="7"/>
        <v>610.2498297684011</v>
      </c>
      <c r="E42" s="259">
        <f t="shared" si="7"/>
        <v>610.0616267964656</v>
      </c>
      <c r="F42" s="259">
        <f t="shared" si="7"/>
        <v>609.8728356902427</v>
      </c>
      <c r="G42" s="259">
        <f t="shared" si="7"/>
        <v>609.683454611813</v>
      </c>
      <c r="H42" s="259">
        <f t="shared" si="7"/>
        <v>609.4934817175131</v>
      </c>
      <c r="I42" s="259">
        <f t="shared" si="7"/>
        <v>609.3029151579186</v>
      </c>
      <c r="J42" s="259">
        <f t="shared" si="7"/>
        <v>609.1117530778251</v>
      </c>
      <c r="K42" s="259">
        <f t="shared" si="7"/>
        <v>608.9199936162317</v>
      </c>
      <c r="L42" s="259">
        <f t="shared" si="7"/>
        <v>608.7276349063206</v>
      </c>
      <c r="M42" s="259">
        <f t="shared" si="7"/>
        <v>608.5346750754411</v>
      </c>
      <c r="N42" s="259">
        <f t="shared" si="7"/>
        <v>7328.558587027355</v>
      </c>
      <c r="O42" s="177"/>
      <c r="P42" s="177"/>
      <c r="Q42" s="259">
        <f>SUM(Q40:Q41)</f>
        <v>7621.700930508449</v>
      </c>
      <c r="R42" s="259">
        <f>SUM(R40:R41)</f>
        <v>7926.568967728787</v>
      </c>
      <c r="S42" s="259">
        <f>SUM(S40:S41)</f>
        <v>8243.63172643794</v>
      </c>
      <c r="T42" s="259">
        <f>SUM(T40:T41)</f>
        <v>8573.376995495459</v>
      </c>
    </row>
    <row r="43" spans="1:20" ht="15">
      <c r="A43" s="255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61"/>
      <c r="P43" s="177"/>
      <c r="Q43" s="256"/>
      <c r="R43" s="256"/>
      <c r="S43" s="256"/>
      <c r="T43" s="256"/>
    </row>
    <row r="44" spans="1:20" ht="15">
      <c r="A44" s="258" t="str">
        <f>'PROY. INGRESOS'!A14</f>
        <v>SERVICIO CONTABLE: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61"/>
      <c r="P44" s="177"/>
      <c r="Q44" s="256"/>
      <c r="R44" s="256"/>
      <c r="S44" s="256"/>
      <c r="T44" s="256"/>
    </row>
    <row r="45" spans="1:20" ht="15">
      <c r="A45" s="256" t="str">
        <f>'PROY. INGRESOS'!A15</f>
        <v>REVISION DE CONTABILIDAD </v>
      </c>
      <c r="B45" s="256">
        <f>$B$30*O45</f>
        <v>461.0294444444444</v>
      </c>
      <c r="C45" s="256">
        <f aca="true" t="shared" si="8" ref="C45:C51">$C$30*O45</f>
        <v>450.8912956646116</v>
      </c>
      <c r="D45" s="256">
        <f aca="true" t="shared" si="9" ref="D45:D51">$D$30*O45</f>
        <v>450.7527151698418</v>
      </c>
      <c r="E45" s="256">
        <f aca="true" t="shared" si="10" ref="E45:E51">$E$30*O45</f>
        <v>450.6137016110257</v>
      </c>
      <c r="F45" s="256">
        <f aca="true" t="shared" si="11" ref="F45:F51">$F$30*O45</f>
        <v>450.47425363483836</v>
      </c>
      <c r="G45" s="256">
        <f aca="true" t="shared" si="12" ref="G45:G51">$G$30*O45</f>
        <v>450.3343698837255</v>
      </c>
      <c r="H45" s="256">
        <f aca="true" t="shared" si="13" ref="H45:H51">$H$30*O45</f>
        <v>450.1940489958904</v>
      </c>
      <c r="I45" s="256">
        <f>$I$30*O45</f>
        <v>450.0532896052808</v>
      </c>
      <c r="J45" s="256">
        <f aca="true" t="shared" si="14" ref="J45:J51">$J$30*O45</f>
        <v>449.9120903415755</v>
      </c>
      <c r="K45" s="256">
        <f aca="true" t="shared" si="15" ref="K45:K51">$K$30*O45</f>
        <v>449.7704498301712</v>
      </c>
      <c r="L45" s="256">
        <f aca="true" t="shared" si="16" ref="L45:L51">$L$30*O45</f>
        <v>449.6283666921687</v>
      </c>
      <c r="M45" s="256">
        <f aca="true" t="shared" si="17" ref="M45:M51">$M$30*O45</f>
        <v>449.48583954436003</v>
      </c>
      <c r="N45" s="256">
        <f aca="true" t="shared" si="18" ref="N45:N51">SUM(B45:M45)</f>
        <v>5413.139865417935</v>
      </c>
      <c r="O45" s="177">
        <f>'PROY. INGRESOS'!V15</f>
        <v>0.1</v>
      </c>
      <c r="P45" s="177">
        <f>'PROY. INGRESOS'!C15</f>
        <v>8</v>
      </c>
      <c r="Q45" s="256">
        <f>N45*1.04</f>
        <v>5629.665460034652</v>
      </c>
      <c r="R45" s="256">
        <f>Q45*1.04</f>
        <v>5854.852078436038</v>
      </c>
      <c r="S45" s="256">
        <f>R45*1.04</f>
        <v>6089.046161573479</v>
      </c>
      <c r="T45" s="256">
        <f>S45*1.04</f>
        <v>6332.608008036419</v>
      </c>
    </row>
    <row r="46" spans="1:20" ht="15">
      <c r="A46" s="256" t="str">
        <f>'PROY. INGRESOS'!A16</f>
        <v>REALIZACION DE CONTABILIDAD</v>
      </c>
      <c r="B46" s="256">
        <f aca="true" t="shared" si="19" ref="B46:B51">$B$30*O46</f>
        <v>461.0294444444444</v>
      </c>
      <c r="C46" s="256">
        <f t="shared" si="8"/>
        <v>450.8912956646116</v>
      </c>
      <c r="D46" s="256">
        <f t="shared" si="9"/>
        <v>450.7527151698418</v>
      </c>
      <c r="E46" s="256">
        <f t="shared" si="10"/>
        <v>450.6137016110257</v>
      </c>
      <c r="F46" s="256">
        <f t="shared" si="11"/>
        <v>450.47425363483836</v>
      </c>
      <c r="G46" s="256">
        <f t="shared" si="12"/>
        <v>450.3343698837255</v>
      </c>
      <c r="H46" s="256">
        <f t="shared" si="13"/>
        <v>450.1940489958904</v>
      </c>
      <c r="I46" s="256">
        <f aca="true" t="shared" si="20" ref="I46:I51">$I$30*O46</f>
        <v>450.0532896052808</v>
      </c>
      <c r="J46" s="256">
        <f t="shared" si="14"/>
        <v>449.9120903415755</v>
      </c>
      <c r="K46" s="256">
        <f t="shared" si="15"/>
        <v>449.7704498301712</v>
      </c>
      <c r="L46" s="256">
        <f t="shared" si="16"/>
        <v>449.6283666921687</v>
      </c>
      <c r="M46" s="256">
        <f t="shared" si="17"/>
        <v>449.48583954436003</v>
      </c>
      <c r="N46" s="256">
        <f t="shared" si="18"/>
        <v>5413.139865417935</v>
      </c>
      <c r="O46" s="177">
        <f>'PROY. INGRESOS'!V16</f>
        <v>0.1</v>
      </c>
      <c r="P46" s="177">
        <f>'PROY. INGRESOS'!C16</f>
        <v>8</v>
      </c>
      <c r="Q46" s="256">
        <f aca="true" t="shared" si="21" ref="Q46:Q51">N46*1.04</f>
        <v>5629.665460034652</v>
      </c>
      <c r="R46" s="256">
        <f aca="true" t="shared" si="22" ref="R46:T51">Q46*1.04</f>
        <v>5854.852078436038</v>
      </c>
      <c r="S46" s="256">
        <f t="shared" si="22"/>
        <v>6089.046161573479</v>
      </c>
      <c r="T46" s="256">
        <f t="shared" si="22"/>
        <v>6332.608008036419</v>
      </c>
    </row>
    <row r="47" spans="1:20" ht="15">
      <c r="A47" s="256" t="str">
        <f>'PROY. INGRESOS'!A17</f>
        <v>PRESENTACION DE ESTADOS FINANCIEROS</v>
      </c>
      <c r="B47" s="256">
        <f t="shared" si="19"/>
        <v>461.0294444444444</v>
      </c>
      <c r="C47" s="256">
        <f t="shared" si="8"/>
        <v>450.8912956646116</v>
      </c>
      <c r="D47" s="256">
        <f t="shared" si="9"/>
        <v>450.7527151698418</v>
      </c>
      <c r="E47" s="256">
        <f t="shared" si="10"/>
        <v>450.6137016110257</v>
      </c>
      <c r="F47" s="256">
        <f t="shared" si="11"/>
        <v>450.47425363483836</v>
      </c>
      <c r="G47" s="256">
        <f t="shared" si="12"/>
        <v>450.3343698837255</v>
      </c>
      <c r="H47" s="256">
        <f t="shared" si="13"/>
        <v>450.1940489958904</v>
      </c>
      <c r="I47" s="256">
        <f t="shared" si="20"/>
        <v>450.0532896052808</v>
      </c>
      <c r="J47" s="256">
        <f t="shared" si="14"/>
        <v>449.9120903415755</v>
      </c>
      <c r="K47" s="256">
        <f t="shared" si="15"/>
        <v>449.7704498301712</v>
      </c>
      <c r="L47" s="256">
        <f t="shared" si="16"/>
        <v>449.6283666921687</v>
      </c>
      <c r="M47" s="256">
        <f t="shared" si="17"/>
        <v>449.48583954436003</v>
      </c>
      <c r="N47" s="256">
        <f t="shared" si="18"/>
        <v>5413.139865417935</v>
      </c>
      <c r="O47" s="177">
        <f>'PROY. INGRESOS'!V17</f>
        <v>0.1</v>
      </c>
      <c r="P47" s="177">
        <f>'PROY. INGRESOS'!C17</f>
        <v>8</v>
      </c>
      <c r="Q47" s="256">
        <f t="shared" si="21"/>
        <v>5629.665460034652</v>
      </c>
      <c r="R47" s="256">
        <f t="shared" si="22"/>
        <v>5854.852078436038</v>
      </c>
      <c r="S47" s="256">
        <f t="shared" si="22"/>
        <v>6089.046161573479</v>
      </c>
      <c r="T47" s="256">
        <f t="shared" si="22"/>
        <v>6332.608008036419</v>
      </c>
    </row>
    <row r="48" spans="1:20" ht="15">
      <c r="A48" s="256" t="str">
        <f>'PROY. INGRESOS'!A18</f>
        <v>REV. Y REAL. DECLARACION DE IVA</v>
      </c>
      <c r="B48" s="256">
        <f t="shared" si="19"/>
        <v>461.0294444444444</v>
      </c>
      <c r="C48" s="256">
        <f t="shared" si="8"/>
        <v>450.8912956646116</v>
      </c>
      <c r="D48" s="256">
        <f t="shared" si="9"/>
        <v>450.7527151698418</v>
      </c>
      <c r="E48" s="256">
        <f t="shared" si="10"/>
        <v>450.6137016110257</v>
      </c>
      <c r="F48" s="256">
        <f t="shared" si="11"/>
        <v>450.47425363483836</v>
      </c>
      <c r="G48" s="256">
        <f t="shared" si="12"/>
        <v>450.3343698837255</v>
      </c>
      <c r="H48" s="256">
        <f t="shared" si="13"/>
        <v>450.1940489958904</v>
      </c>
      <c r="I48" s="256">
        <f t="shared" si="20"/>
        <v>450.0532896052808</v>
      </c>
      <c r="J48" s="256">
        <f t="shared" si="14"/>
        <v>449.9120903415755</v>
      </c>
      <c r="K48" s="256">
        <f t="shared" si="15"/>
        <v>449.7704498301712</v>
      </c>
      <c r="L48" s="256">
        <f t="shared" si="16"/>
        <v>449.6283666921687</v>
      </c>
      <c r="M48" s="256">
        <f t="shared" si="17"/>
        <v>449.48583954436003</v>
      </c>
      <c r="N48" s="256">
        <f t="shared" si="18"/>
        <v>5413.139865417935</v>
      </c>
      <c r="O48" s="177">
        <f>'PROY. INGRESOS'!V18</f>
        <v>0.1</v>
      </c>
      <c r="P48" s="177">
        <f>'PROY. INGRESOS'!C18</f>
        <v>8</v>
      </c>
      <c r="Q48" s="256">
        <f t="shared" si="21"/>
        <v>5629.665460034652</v>
      </c>
      <c r="R48" s="256">
        <f t="shared" si="22"/>
        <v>5854.852078436038</v>
      </c>
      <c r="S48" s="256">
        <f t="shared" si="22"/>
        <v>6089.046161573479</v>
      </c>
      <c r="T48" s="256">
        <f t="shared" si="22"/>
        <v>6332.608008036419</v>
      </c>
    </row>
    <row r="49" spans="1:20" ht="15">
      <c r="A49" s="256" t="str">
        <f>'PROY. INGRESOS'!A19</f>
        <v>REV. Y REAL. DECLARACION DE RET. I. RENTA</v>
      </c>
      <c r="B49" s="256">
        <f t="shared" si="19"/>
        <v>461.0294444444444</v>
      </c>
      <c r="C49" s="256">
        <f t="shared" si="8"/>
        <v>450.8912956646116</v>
      </c>
      <c r="D49" s="256">
        <f t="shared" si="9"/>
        <v>450.7527151698418</v>
      </c>
      <c r="E49" s="256">
        <f t="shared" si="10"/>
        <v>450.6137016110257</v>
      </c>
      <c r="F49" s="256">
        <f t="shared" si="11"/>
        <v>450.47425363483836</v>
      </c>
      <c r="G49" s="256">
        <f t="shared" si="12"/>
        <v>450.3343698837255</v>
      </c>
      <c r="H49" s="256">
        <f t="shared" si="13"/>
        <v>450.1940489958904</v>
      </c>
      <c r="I49" s="256">
        <f t="shared" si="20"/>
        <v>450.0532896052808</v>
      </c>
      <c r="J49" s="256">
        <f t="shared" si="14"/>
        <v>449.9120903415755</v>
      </c>
      <c r="K49" s="256">
        <f t="shared" si="15"/>
        <v>449.7704498301712</v>
      </c>
      <c r="L49" s="256">
        <f t="shared" si="16"/>
        <v>449.6283666921687</v>
      </c>
      <c r="M49" s="256">
        <f t="shared" si="17"/>
        <v>449.48583954436003</v>
      </c>
      <c r="N49" s="256">
        <f t="shared" si="18"/>
        <v>5413.139865417935</v>
      </c>
      <c r="O49" s="177">
        <f>'PROY. INGRESOS'!V19</f>
        <v>0.1</v>
      </c>
      <c r="P49" s="177">
        <f>'PROY. INGRESOS'!C19</f>
        <v>8</v>
      </c>
      <c r="Q49" s="256">
        <f t="shared" si="21"/>
        <v>5629.665460034652</v>
      </c>
      <c r="R49" s="256">
        <f t="shared" si="22"/>
        <v>5854.852078436038</v>
      </c>
      <c r="S49" s="256">
        <f t="shared" si="22"/>
        <v>6089.046161573479</v>
      </c>
      <c r="T49" s="256">
        <f t="shared" si="22"/>
        <v>6332.608008036419</v>
      </c>
    </row>
    <row r="50" spans="1:20" ht="15">
      <c r="A50" s="256" t="str">
        <f>'PROY. INGRESOS'!A20</f>
        <v>REV. Y REAL. DECLARACION DE IMPTO RENTA</v>
      </c>
      <c r="B50" s="256">
        <f t="shared" si="19"/>
        <v>461.0294444444444</v>
      </c>
      <c r="C50" s="256">
        <f t="shared" si="8"/>
        <v>450.8912956646116</v>
      </c>
      <c r="D50" s="256">
        <f t="shared" si="9"/>
        <v>450.7527151698418</v>
      </c>
      <c r="E50" s="256">
        <f t="shared" si="10"/>
        <v>450.6137016110257</v>
      </c>
      <c r="F50" s="256">
        <f t="shared" si="11"/>
        <v>450.47425363483836</v>
      </c>
      <c r="G50" s="256">
        <f t="shared" si="12"/>
        <v>450.3343698837255</v>
      </c>
      <c r="H50" s="256">
        <f t="shared" si="13"/>
        <v>450.1940489958904</v>
      </c>
      <c r="I50" s="256">
        <f t="shared" si="20"/>
        <v>450.0532896052808</v>
      </c>
      <c r="J50" s="256">
        <f t="shared" si="14"/>
        <v>449.9120903415755</v>
      </c>
      <c r="K50" s="256">
        <f t="shared" si="15"/>
        <v>449.7704498301712</v>
      </c>
      <c r="L50" s="256">
        <f t="shared" si="16"/>
        <v>449.6283666921687</v>
      </c>
      <c r="M50" s="256">
        <f t="shared" si="17"/>
        <v>449.48583954436003</v>
      </c>
      <c r="N50" s="256">
        <f t="shared" si="18"/>
        <v>5413.139865417935</v>
      </c>
      <c r="O50" s="177">
        <f>'PROY. INGRESOS'!V20</f>
        <v>0.1</v>
      </c>
      <c r="P50" s="177">
        <f>'PROY. INGRESOS'!C20</f>
        <v>8</v>
      </c>
      <c r="Q50" s="256">
        <f t="shared" si="21"/>
        <v>5629.665460034652</v>
      </c>
      <c r="R50" s="256">
        <f t="shared" si="22"/>
        <v>5854.852078436038</v>
      </c>
      <c r="S50" s="256">
        <f t="shared" si="22"/>
        <v>6089.046161573479</v>
      </c>
      <c r="T50" s="256">
        <f t="shared" si="22"/>
        <v>6332.608008036419</v>
      </c>
    </row>
    <row r="51" spans="1:20" ht="15">
      <c r="A51" s="256" t="str">
        <f>'PROY. INGRESOS'!A21</f>
        <v>ANEXOS TRIBUTARIOS</v>
      </c>
      <c r="B51" s="256">
        <f t="shared" si="19"/>
        <v>461.0294444444444</v>
      </c>
      <c r="C51" s="256">
        <f t="shared" si="8"/>
        <v>450.8912956646116</v>
      </c>
      <c r="D51" s="256">
        <f t="shared" si="9"/>
        <v>450.7527151698418</v>
      </c>
      <c r="E51" s="256">
        <f t="shared" si="10"/>
        <v>450.6137016110257</v>
      </c>
      <c r="F51" s="256">
        <f t="shared" si="11"/>
        <v>450.47425363483836</v>
      </c>
      <c r="G51" s="256">
        <f t="shared" si="12"/>
        <v>450.3343698837255</v>
      </c>
      <c r="H51" s="256">
        <f t="shared" si="13"/>
        <v>450.1940489958904</v>
      </c>
      <c r="I51" s="256">
        <f t="shared" si="20"/>
        <v>450.0532896052808</v>
      </c>
      <c r="J51" s="256">
        <f t="shared" si="14"/>
        <v>449.9120903415755</v>
      </c>
      <c r="K51" s="256">
        <f t="shared" si="15"/>
        <v>449.7704498301712</v>
      </c>
      <c r="L51" s="256">
        <f t="shared" si="16"/>
        <v>449.6283666921687</v>
      </c>
      <c r="M51" s="256">
        <f t="shared" si="17"/>
        <v>449.48583954436003</v>
      </c>
      <c r="N51" s="256">
        <f t="shared" si="18"/>
        <v>5413.139865417935</v>
      </c>
      <c r="O51" s="177">
        <f>'PROY. INGRESOS'!V21</f>
        <v>0.1</v>
      </c>
      <c r="P51" s="177">
        <f>'PROY. INGRESOS'!C21</f>
        <v>8</v>
      </c>
      <c r="Q51" s="256">
        <f t="shared" si="21"/>
        <v>5629.665460034652</v>
      </c>
      <c r="R51" s="256">
        <f t="shared" si="22"/>
        <v>5854.852078436038</v>
      </c>
      <c r="S51" s="256">
        <f t="shared" si="22"/>
        <v>6089.046161573479</v>
      </c>
      <c r="T51" s="256">
        <f t="shared" si="22"/>
        <v>6332.608008036419</v>
      </c>
    </row>
    <row r="52" spans="1:20" ht="15">
      <c r="A52" s="256"/>
      <c r="B52" s="259">
        <f>SUM(B45:B51)</f>
        <v>3227.2061111111107</v>
      </c>
      <c r="C52" s="259">
        <f aca="true" t="shared" si="23" ref="C52:N52">SUM(C45:C51)</f>
        <v>3156.2390696522816</v>
      </c>
      <c r="D52" s="259">
        <f t="shared" si="23"/>
        <v>3155.2690061888925</v>
      </c>
      <c r="E52" s="259">
        <f t="shared" si="23"/>
        <v>3154.2959112771796</v>
      </c>
      <c r="F52" s="259">
        <f t="shared" si="23"/>
        <v>3153.319775443869</v>
      </c>
      <c r="G52" s="259">
        <f t="shared" si="23"/>
        <v>3152.340589186079</v>
      </c>
      <c r="H52" s="259">
        <f t="shared" si="23"/>
        <v>3151.3583429712335</v>
      </c>
      <c r="I52" s="259">
        <f t="shared" si="23"/>
        <v>3150.3730272369658</v>
      </c>
      <c r="J52" s="259">
        <f t="shared" si="23"/>
        <v>3149.3846323910284</v>
      </c>
      <c r="K52" s="259">
        <f t="shared" si="23"/>
        <v>3148.3931488111975</v>
      </c>
      <c r="L52" s="259">
        <f t="shared" si="23"/>
        <v>3147.3985668451805</v>
      </c>
      <c r="M52" s="259">
        <f t="shared" si="23"/>
        <v>3146.4008768105195</v>
      </c>
      <c r="N52" s="259">
        <f t="shared" si="23"/>
        <v>37891.97905792554</v>
      </c>
      <c r="O52" s="177"/>
      <c r="P52" s="262"/>
      <c r="Q52" s="259">
        <f>SUM(Q45:Q51)</f>
        <v>39407.65822024256</v>
      </c>
      <c r="R52" s="259">
        <f>SUM(R45:R51)</f>
        <v>40983.96454905227</v>
      </c>
      <c r="S52" s="259">
        <f>SUM(S45:S51)</f>
        <v>42623.32313101436</v>
      </c>
      <c r="T52" s="259">
        <f>SUM(T45:T51)</f>
        <v>44328.25605625493</v>
      </c>
    </row>
    <row r="53" spans="1:20" ht="15">
      <c r="A53" s="256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6"/>
      <c r="O53" s="177"/>
      <c r="P53" s="262"/>
      <c r="Q53" s="256"/>
      <c r="R53" s="256"/>
      <c r="S53" s="256"/>
      <c r="T53" s="256"/>
    </row>
    <row r="54" spans="1:20" ht="15">
      <c r="A54" s="14" t="s">
        <v>158</v>
      </c>
      <c r="B54" s="14">
        <f>B37+B42+B52</f>
        <v>4035.7808290598286</v>
      </c>
      <c r="C54" s="14">
        <f aca="true" t="shared" si="24" ref="C54:N54">C37+C42+C52</f>
        <v>3947.0330343563696</v>
      </c>
      <c r="D54" s="14">
        <f t="shared" si="24"/>
        <v>3945.8199220252304</v>
      </c>
      <c r="E54" s="14">
        <f t="shared" si="24"/>
        <v>3944.6030187180554</v>
      </c>
      <c r="F54" s="14">
        <f t="shared" si="24"/>
        <v>3943.382312588047</v>
      </c>
      <c r="G54" s="14">
        <f t="shared" si="24"/>
        <v>3942.1577917513823</v>
      </c>
      <c r="H54" s="14">
        <f t="shared" si="24"/>
        <v>3940.929444287103</v>
      </c>
      <c r="I54" s="14">
        <f t="shared" si="24"/>
        <v>3939.6972582369967</v>
      </c>
      <c r="J54" s="14">
        <f t="shared" si="24"/>
        <v>3938.461221605484</v>
      </c>
      <c r="K54" s="14">
        <f t="shared" si="24"/>
        <v>3937.2213223594977</v>
      </c>
      <c r="L54" s="14">
        <f t="shared" si="24"/>
        <v>3935.9775484283687</v>
      </c>
      <c r="M54" s="14">
        <f t="shared" si="24"/>
        <v>3934.7298877037047</v>
      </c>
      <c r="N54" s="14">
        <f t="shared" si="24"/>
        <v>47385.79359112007</v>
      </c>
      <c r="Q54" s="14">
        <f>Q37+Q42+Q52</f>
        <v>49281.22533476487</v>
      </c>
      <c r="R54" s="14">
        <f>R37+R42+R52</f>
        <v>51252.47434815547</v>
      </c>
      <c r="S54" s="14">
        <f>S37+S42+S52</f>
        <v>53302.57332208169</v>
      </c>
      <c r="T54" s="14">
        <f>T37+T42+T52</f>
        <v>55434.67625496496</v>
      </c>
    </row>
    <row r="55" spans="1:20" ht="1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Q55" s="74"/>
      <c r="R55" s="74"/>
      <c r="S55" s="74"/>
      <c r="T55" s="74"/>
    </row>
    <row r="56" spans="1:20" ht="15">
      <c r="A56" s="77" t="s">
        <v>159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Q56" s="74"/>
      <c r="R56" s="74"/>
      <c r="S56" s="74"/>
      <c r="T56" s="74"/>
    </row>
    <row r="57" spans="1:20" ht="15">
      <c r="A57" s="79" t="str">
        <f>A33</f>
        <v>TRAMITES SOCIETARIOS: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4" t="s">
        <v>161</v>
      </c>
      <c r="P57" s="80" t="s">
        <v>162</v>
      </c>
      <c r="Q57" s="74"/>
      <c r="R57" s="74"/>
      <c r="S57" s="74"/>
      <c r="T57" s="74"/>
    </row>
    <row r="58" spans="1:20" ht="15">
      <c r="A58" s="76" t="str">
        <f aca="true" t="shared" si="25" ref="A58:A75">A34</f>
        <v>CONSTITUCION DE COMPAÑIAS</v>
      </c>
      <c r="B58" s="74">
        <f>O58*P58</f>
        <v>140</v>
      </c>
      <c r="C58" s="74">
        <f>B58</f>
        <v>140</v>
      </c>
      <c r="D58" s="74">
        <f aca="true" t="shared" si="26" ref="D58:L58">C58</f>
        <v>140</v>
      </c>
      <c r="E58" s="74">
        <f t="shared" si="26"/>
        <v>140</v>
      </c>
      <c r="F58" s="74">
        <f t="shared" si="26"/>
        <v>140</v>
      </c>
      <c r="G58" s="74">
        <f t="shared" si="26"/>
        <v>140</v>
      </c>
      <c r="H58" s="74">
        <f t="shared" si="26"/>
        <v>140</v>
      </c>
      <c r="I58" s="74">
        <f t="shared" si="26"/>
        <v>140</v>
      </c>
      <c r="J58" s="74">
        <f t="shared" si="26"/>
        <v>140</v>
      </c>
      <c r="K58" s="74">
        <f t="shared" si="26"/>
        <v>140</v>
      </c>
      <c r="L58" s="74">
        <f t="shared" si="26"/>
        <v>140</v>
      </c>
      <c r="M58" s="74">
        <f>L58</f>
        <v>140</v>
      </c>
      <c r="N58" s="74">
        <f>SUM(B58:M58)</f>
        <v>1680</v>
      </c>
      <c r="O58" s="81">
        <v>140</v>
      </c>
      <c r="P58" s="81">
        <f>'PROY. INGRESOS'!C6</f>
        <v>1</v>
      </c>
      <c r="Q58" s="74">
        <f>O58*P58*12*1.04</f>
        <v>1747.2</v>
      </c>
      <c r="R58" s="74">
        <f>Q58*1.04</f>
        <v>1817.0880000000002</v>
      </c>
      <c r="S58" s="74">
        <f>R58*1.04</f>
        <v>1889.7715200000002</v>
      </c>
      <c r="T58" s="74">
        <f>S58*1.04</f>
        <v>1965.3623808000002</v>
      </c>
    </row>
    <row r="59" spans="1:20" ht="15">
      <c r="A59" s="76" t="str">
        <f t="shared" si="25"/>
        <v>LIQUIDACION DE COMPAÑIAS</v>
      </c>
      <c r="B59" s="74">
        <f>O59*P59</f>
        <v>0</v>
      </c>
      <c r="C59" s="74">
        <f aca="true" t="shared" si="27" ref="C59:M60">B59</f>
        <v>0</v>
      </c>
      <c r="D59" s="74">
        <f t="shared" si="27"/>
        <v>0</v>
      </c>
      <c r="E59" s="74">
        <f t="shared" si="27"/>
        <v>0</v>
      </c>
      <c r="F59" s="74">
        <f t="shared" si="27"/>
        <v>0</v>
      </c>
      <c r="G59" s="74">
        <f t="shared" si="27"/>
        <v>0</v>
      </c>
      <c r="H59" s="74">
        <f t="shared" si="27"/>
        <v>0</v>
      </c>
      <c r="I59" s="74">
        <f t="shared" si="27"/>
        <v>0</v>
      </c>
      <c r="J59" s="74">
        <f t="shared" si="27"/>
        <v>0</v>
      </c>
      <c r="K59" s="74">
        <f t="shared" si="27"/>
        <v>0</v>
      </c>
      <c r="L59" s="74">
        <f t="shared" si="27"/>
        <v>0</v>
      </c>
      <c r="M59" s="74">
        <f t="shared" si="27"/>
        <v>0</v>
      </c>
      <c r="N59" s="74">
        <f>SUM(B59:M59)</f>
        <v>0</v>
      </c>
      <c r="O59" s="81">
        <v>90</v>
      </c>
      <c r="P59" s="81">
        <f>'PROY. INGRESOS'!C7</f>
        <v>0</v>
      </c>
      <c r="Q59" s="74">
        <f>O59*P59*12*1.04</f>
        <v>0</v>
      </c>
      <c r="R59" s="74">
        <f aca="true" t="shared" si="28" ref="R59:T60">Q59*1.04</f>
        <v>0</v>
      </c>
      <c r="S59" s="74">
        <f t="shared" si="28"/>
        <v>0</v>
      </c>
      <c r="T59" s="74">
        <f t="shared" si="28"/>
        <v>0</v>
      </c>
    </row>
    <row r="60" spans="1:20" ht="15">
      <c r="A60" s="76" t="str">
        <f t="shared" si="25"/>
        <v>REFORMAS ESTATUTARIAS</v>
      </c>
      <c r="B60" s="74">
        <f>O60*P60</f>
        <v>100</v>
      </c>
      <c r="C60" s="74">
        <f t="shared" si="27"/>
        <v>100</v>
      </c>
      <c r="D60" s="74">
        <f t="shared" si="27"/>
        <v>100</v>
      </c>
      <c r="E60" s="74">
        <f t="shared" si="27"/>
        <v>100</v>
      </c>
      <c r="F60" s="74">
        <f t="shared" si="27"/>
        <v>100</v>
      </c>
      <c r="G60" s="74">
        <f t="shared" si="27"/>
        <v>100</v>
      </c>
      <c r="H60" s="74">
        <f t="shared" si="27"/>
        <v>100</v>
      </c>
      <c r="I60" s="74">
        <f t="shared" si="27"/>
        <v>100</v>
      </c>
      <c r="J60" s="74">
        <f t="shared" si="27"/>
        <v>100</v>
      </c>
      <c r="K60" s="74">
        <f t="shared" si="27"/>
        <v>100</v>
      </c>
      <c r="L60" s="74">
        <f t="shared" si="27"/>
        <v>100</v>
      </c>
      <c r="M60" s="74">
        <f t="shared" si="27"/>
        <v>100</v>
      </c>
      <c r="N60" s="74">
        <f>SUM(B60:M60)</f>
        <v>1200</v>
      </c>
      <c r="O60" s="81">
        <v>100</v>
      </c>
      <c r="P60" s="81">
        <f>'PROY. INGRESOS'!C8</f>
        <v>1</v>
      </c>
      <c r="Q60" s="74">
        <f>O60*P60*12*1.04</f>
        <v>1248</v>
      </c>
      <c r="R60" s="74">
        <f t="shared" si="28"/>
        <v>1297.92</v>
      </c>
      <c r="S60" s="74">
        <f t="shared" si="28"/>
        <v>1349.8368</v>
      </c>
      <c r="T60" s="74">
        <f t="shared" si="28"/>
        <v>1403.8302720000002</v>
      </c>
    </row>
    <row r="61" spans="1:20" ht="15">
      <c r="A61" s="76"/>
      <c r="B61" s="75">
        <f>SUM(B58:B60)</f>
        <v>240</v>
      </c>
      <c r="C61" s="75">
        <f aca="true" t="shared" si="29" ref="C61:P61">SUM(C58:C60)</f>
        <v>240</v>
      </c>
      <c r="D61" s="75">
        <f t="shared" si="29"/>
        <v>240</v>
      </c>
      <c r="E61" s="75">
        <f t="shared" si="29"/>
        <v>240</v>
      </c>
      <c r="F61" s="75">
        <f t="shared" si="29"/>
        <v>240</v>
      </c>
      <c r="G61" s="75">
        <f t="shared" si="29"/>
        <v>240</v>
      </c>
      <c r="H61" s="75">
        <f t="shared" si="29"/>
        <v>240</v>
      </c>
      <c r="I61" s="75">
        <f t="shared" si="29"/>
        <v>240</v>
      </c>
      <c r="J61" s="75">
        <f t="shared" si="29"/>
        <v>240</v>
      </c>
      <c r="K61" s="75">
        <f t="shared" si="29"/>
        <v>240</v>
      </c>
      <c r="L61" s="75">
        <f t="shared" si="29"/>
        <v>240</v>
      </c>
      <c r="M61" s="75">
        <f t="shared" si="29"/>
        <v>240</v>
      </c>
      <c r="N61" s="75">
        <f t="shared" si="29"/>
        <v>2880</v>
      </c>
      <c r="O61" s="75">
        <f t="shared" si="29"/>
        <v>330</v>
      </c>
      <c r="P61" s="75">
        <f t="shared" si="29"/>
        <v>2</v>
      </c>
      <c r="Q61" s="75">
        <f>SUM(Q58:Q60)</f>
        <v>2995.2</v>
      </c>
      <c r="R61" s="75">
        <f>SUM(R58:R60)</f>
        <v>3115.0080000000003</v>
      </c>
      <c r="S61" s="75">
        <f>SUM(S58:S60)</f>
        <v>3239.6083200000003</v>
      </c>
      <c r="T61" s="75">
        <f>SUM(T58:T60)</f>
        <v>3369.1926528000004</v>
      </c>
    </row>
    <row r="62" spans="1:20" ht="15">
      <c r="A62" s="76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82"/>
      <c r="P62" s="82"/>
      <c r="Q62" s="74"/>
      <c r="R62" s="74"/>
      <c r="S62" s="74"/>
      <c r="T62" s="74"/>
    </row>
    <row r="63" spans="1:20" ht="15">
      <c r="A63" s="79" t="str">
        <f t="shared" si="25"/>
        <v>TRAMITES ADUANEROS: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82"/>
      <c r="P63" s="82"/>
      <c r="Q63" s="74"/>
      <c r="R63" s="74"/>
      <c r="S63" s="74"/>
      <c r="T63" s="74"/>
    </row>
    <row r="64" spans="1:20" ht="15">
      <c r="A64" s="76" t="str">
        <f t="shared" si="25"/>
        <v>IMPORTACION (INTEGRAL)</v>
      </c>
      <c r="B64" s="74">
        <f>O64*P64</f>
        <v>1800</v>
      </c>
      <c r="C64" s="74">
        <f>B64</f>
        <v>1800</v>
      </c>
      <c r="D64" s="74">
        <f aca="true" t="shared" si="30" ref="D64:M64">C64</f>
        <v>1800</v>
      </c>
      <c r="E64" s="74">
        <f t="shared" si="30"/>
        <v>1800</v>
      </c>
      <c r="F64" s="74">
        <f t="shared" si="30"/>
        <v>1800</v>
      </c>
      <c r="G64" s="74">
        <f t="shared" si="30"/>
        <v>1800</v>
      </c>
      <c r="H64" s="74">
        <f t="shared" si="30"/>
        <v>1800</v>
      </c>
      <c r="I64" s="74">
        <f t="shared" si="30"/>
        <v>1800</v>
      </c>
      <c r="J64" s="74">
        <f t="shared" si="30"/>
        <v>1800</v>
      </c>
      <c r="K64" s="74">
        <f t="shared" si="30"/>
        <v>1800</v>
      </c>
      <c r="L64" s="74">
        <f t="shared" si="30"/>
        <v>1800</v>
      </c>
      <c r="M64" s="74">
        <f t="shared" si="30"/>
        <v>1800</v>
      </c>
      <c r="N64" s="74">
        <f>SUM(B64:M64)</f>
        <v>21600</v>
      </c>
      <c r="O64" s="81">
        <v>300</v>
      </c>
      <c r="P64" s="81">
        <f>'PROY. INGRESOS'!C11</f>
        <v>6</v>
      </c>
      <c r="Q64" s="74">
        <f>O64*P64*12*1.04</f>
        <v>22464</v>
      </c>
      <c r="R64" s="74">
        <f aca="true" t="shared" si="31" ref="R64:T65">Q64*1.04</f>
        <v>23362.56</v>
      </c>
      <c r="S64" s="74">
        <f t="shared" si="31"/>
        <v>24297.062400000003</v>
      </c>
      <c r="T64" s="74">
        <f t="shared" si="31"/>
        <v>25268.944896000005</v>
      </c>
    </row>
    <row r="65" spans="1:20" ht="15">
      <c r="A65" s="76" t="str">
        <f t="shared" si="25"/>
        <v>EXPORTACION (INTEGRAL)</v>
      </c>
      <c r="B65" s="74">
        <f>O65*P65</f>
        <v>300</v>
      </c>
      <c r="C65" s="74">
        <f>B65</f>
        <v>300</v>
      </c>
      <c r="D65" s="74">
        <f aca="true" t="shared" si="32" ref="D65:M65">C65</f>
        <v>300</v>
      </c>
      <c r="E65" s="74">
        <f t="shared" si="32"/>
        <v>300</v>
      </c>
      <c r="F65" s="74">
        <f t="shared" si="32"/>
        <v>300</v>
      </c>
      <c r="G65" s="74">
        <f t="shared" si="32"/>
        <v>300</v>
      </c>
      <c r="H65" s="74">
        <f t="shared" si="32"/>
        <v>300</v>
      </c>
      <c r="I65" s="74">
        <f t="shared" si="32"/>
        <v>300</v>
      </c>
      <c r="J65" s="74">
        <f t="shared" si="32"/>
        <v>300</v>
      </c>
      <c r="K65" s="74">
        <f t="shared" si="32"/>
        <v>300</v>
      </c>
      <c r="L65" s="74">
        <f t="shared" si="32"/>
        <v>300</v>
      </c>
      <c r="M65" s="74">
        <f t="shared" si="32"/>
        <v>300</v>
      </c>
      <c r="N65" s="74">
        <f>SUM(B65:M65)</f>
        <v>3600</v>
      </c>
      <c r="O65" s="81">
        <v>300</v>
      </c>
      <c r="P65" s="81">
        <f>'PROY. INGRESOS'!C12</f>
        <v>1</v>
      </c>
      <c r="Q65" s="74">
        <f>O65*P65*12*1.04</f>
        <v>3744</v>
      </c>
      <c r="R65" s="74">
        <f t="shared" si="31"/>
        <v>3893.76</v>
      </c>
      <c r="S65" s="74">
        <f t="shared" si="31"/>
        <v>4049.5104000000006</v>
      </c>
      <c r="T65" s="74">
        <f t="shared" si="31"/>
        <v>4211.490816</v>
      </c>
    </row>
    <row r="66" spans="1:20" ht="15">
      <c r="A66" s="76"/>
      <c r="B66" s="75">
        <f>SUM(B64:B65)</f>
        <v>2100</v>
      </c>
      <c r="C66" s="75">
        <f aca="true" t="shared" si="33" ref="C66:P66">SUM(C64:C65)</f>
        <v>2100</v>
      </c>
      <c r="D66" s="75">
        <f t="shared" si="33"/>
        <v>2100</v>
      </c>
      <c r="E66" s="75">
        <f t="shared" si="33"/>
        <v>2100</v>
      </c>
      <c r="F66" s="75">
        <f t="shared" si="33"/>
        <v>2100</v>
      </c>
      <c r="G66" s="75">
        <f t="shared" si="33"/>
        <v>2100</v>
      </c>
      <c r="H66" s="75">
        <f t="shared" si="33"/>
        <v>2100</v>
      </c>
      <c r="I66" s="75">
        <f t="shared" si="33"/>
        <v>2100</v>
      </c>
      <c r="J66" s="75">
        <f t="shared" si="33"/>
        <v>2100</v>
      </c>
      <c r="K66" s="75">
        <f t="shared" si="33"/>
        <v>2100</v>
      </c>
      <c r="L66" s="75">
        <f t="shared" si="33"/>
        <v>2100</v>
      </c>
      <c r="M66" s="75">
        <f t="shared" si="33"/>
        <v>2100</v>
      </c>
      <c r="N66" s="75">
        <f t="shared" si="33"/>
        <v>25200</v>
      </c>
      <c r="O66" s="75">
        <f t="shared" si="33"/>
        <v>600</v>
      </c>
      <c r="P66" s="75">
        <f t="shared" si="33"/>
        <v>7</v>
      </c>
      <c r="Q66" s="75">
        <f>SUM(Q64:Q65)</f>
        <v>26208</v>
      </c>
      <c r="R66" s="75">
        <f>SUM(R64:R65)</f>
        <v>27256.32</v>
      </c>
      <c r="S66" s="75">
        <f>SUM(S64:S65)</f>
        <v>28346.5728</v>
      </c>
      <c r="T66" s="75">
        <f>SUM(T64:T65)</f>
        <v>29480.435712000006</v>
      </c>
    </row>
    <row r="67" spans="1:20" ht="15">
      <c r="A67" s="76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82"/>
      <c r="P67" s="82"/>
      <c r="Q67" s="74"/>
      <c r="R67" s="74"/>
      <c r="S67" s="74"/>
      <c r="T67" s="74"/>
    </row>
    <row r="68" spans="1:20" ht="15">
      <c r="A68" s="79" t="str">
        <f t="shared" si="25"/>
        <v>SERVICIO CONTABLE: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82"/>
      <c r="P68" s="82"/>
      <c r="Q68" s="74"/>
      <c r="R68" s="74"/>
      <c r="S68" s="74"/>
      <c r="T68" s="74"/>
    </row>
    <row r="69" spans="1:20" ht="15">
      <c r="A69" s="76" t="str">
        <f t="shared" si="25"/>
        <v>REVISION DE CONTABILIDAD </v>
      </c>
      <c r="B69" s="74">
        <f aca="true" t="shared" si="34" ref="B69:B75">O69*P69</f>
        <v>520</v>
      </c>
      <c r="C69" s="74">
        <f>B69</f>
        <v>520</v>
      </c>
      <c r="D69" s="74">
        <f aca="true" t="shared" si="35" ref="D69:M69">C69</f>
        <v>520</v>
      </c>
      <c r="E69" s="74">
        <f t="shared" si="35"/>
        <v>520</v>
      </c>
      <c r="F69" s="74">
        <f t="shared" si="35"/>
        <v>520</v>
      </c>
      <c r="G69" s="74">
        <f t="shared" si="35"/>
        <v>520</v>
      </c>
      <c r="H69" s="74">
        <f t="shared" si="35"/>
        <v>520</v>
      </c>
      <c r="I69" s="74">
        <f t="shared" si="35"/>
        <v>520</v>
      </c>
      <c r="J69" s="74">
        <f t="shared" si="35"/>
        <v>520</v>
      </c>
      <c r="K69" s="74">
        <f t="shared" si="35"/>
        <v>520</v>
      </c>
      <c r="L69" s="74">
        <f t="shared" si="35"/>
        <v>520</v>
      </c>
      <c r="M69" s="74">
        <f t="shared" si="35"/>
        <v>520</v>
      </c>
      <c r="N69" s="74">
        <f aca="true" t="shared" si="36" ref="N69:N75">SUM(B69:M69)</f>
        <v>6240</v>
      </c>
      <c r="O69" s="81">
        <v>65</v>
      </c>
      <c r="P69" s="81">
        <f>'PROY. INGRESOS'!C15</f>
        <v>8</v>
      </c>
      <c r="Q69" s="74">
        <f>O69*P69*12*1.04</f>
        <v>6489.6</v>
      </c>
      <c r="R69" s="74">
        <f aca="true" t="shared" si="37" ref="R69:T75">Q69*1.04</f>
        <v>6749.184</v>
      </c>
      <c r="S69" s="74">
        <f t="shared" si="37"/>
        <v>7019.151360000001</v>
      </c>
      <c r="T69" s="74">
        <f t="shared" si="37"/>
        <v>7299.917414400001</v>
      </c>
    </row>
    <row r="70" spans="1:20" ht="15">
      <c r="A70" s="76" t="str">
        <f t="shared" si="25"/>
        <v>REALIZACION DE CONTABILIDAD</v>
      </c>
      <c r="B70" s="74">
        <f t="shared" si="34"/>
        <v>520</v>
      </c>
      <c r="C70" s="74">
        <f aca="true" t="shared" si="38" ref="C70:M75">B70</f>
        <v>520</v>
      </c>
      <c r="D70" s="74">
        <f t="shared" si="38"/>
        <v>520</v>
      </c>
      <c r="E70" s="74">
        <f t="shared" si="38"/>
        <v>520</v>
      </c>
      <c r="F70" s="74">
        <f t="shared" si="38"/>
        <v>520</v>
      </c>
      <c r="G70" s="74">
        <f t="shared" si="38"/>
        <v>520</v>
      </c>
      <c r="H70" s="74">
        <f t="shared" si="38"/>
        <v>520</v>
      </c>
      <c r="I70" s="74">
        <f t="shared" si="38"/>
        <v>520</v>
      </c>
      <c r="J70" s="74">
        <f t="shared" si="38"/>
        <v>520</v>
      </c>
      <c r="K70" s="74">
        <f t="shared" si="38"/>
        <v>520</v>
      </c>
      <c r="L70" s="74">
        <f t="shared" si="38"/>
        <v>520</v>
      </c>
      <c r="M70" s="74">
        <f t="shared" si="38"/>
        <v>520</v>
      </c>
      <c r="N70" s="74">
        <f t="shared" si="36"/>
        <v>6240</v>
      </c>
      <c r="O70" s="81">
        <v>65</v>
      </c>
      <c r="P70" s="81">
        <f>'PROY. INGRESOS'!C16</f>
        <v>8</v>
      </c>
      <c r="Q70" s="74">
        <f aca="true" t="shared" si="39" ref="Q70:Q75">O70*P70*12*1.04</f>
        <v>6489.6</v>
      </c>
      <c r="R70" s="74">
        <f t="shared" si="37"/>
        <v>6749.184</v>
      </c>
      <c r="S70" s="74">
        <f t="shared" si="37"/>
        <v>7019.151360000001</v>
      </c>
      <c r="T70" s="74">
        <f t="shared" si="37"/>
        <v>7299.917414400001</v>
      </c>
    </row>
    <row r="71" spans="1:20" ht="15">
      <c r="A71" s="76" t="str">
        <f t="shared" si="25"/>
        <v>PRESENTACION DE ESTADOS FINANCIEROS</v>
      </c>
      <c r="B71" s="74">
        <f t="shared" si="34"/>
        <v>520</v>
      </c>
      <c r="C71" s="74">
        <f t="shared" si="38"/>
        <v>520</v>
      </c>
      <c r="D71" s="74">
        <f t="shared" si="38"/>
        <v>520</v>
      </c>
      <c r="E71" s="74">
        <f t="shared" si="38"/>
        <v>520</v>
      </c>
      <c r="F71" s="74">
        <f t="shared" si="38"/>
        <v>520</v>
      </c>
      <c r="G71" s="74">
        <f t="shared" si="38"/>
        <v>520</v>
      </c>
      <c r="H71" s="74">
        <f t="shared" si="38"/>
        <v>520</v>
      </c>
      <c r="I71" s="74">
        <f t="shared" si="38"/>
        <v>520</v>
      </c>
      <c r="J71" s="74">
        <f t="shared" si="38"/>
        <v>520</v>
      </c>
      <c r="K71" s="74">
        <f t="shared" si="38"/>
        <v>520</v>
      </c>
      <c r="L71" s="74">
        <f t="shared" si="38"/>
        <v>520</v>
      </c>
      <c r="M71" s="74">
        <f t="shared" si="38"/>
        <v>520</v>
      </c>
      <c r="N71" s="74">
        <f t="shared" si="36"/>
        <v>6240</v>
      </c>
      <c r="O71" s="81">
        <v>65</v>
      </c>
      <c r="P71" s="81">
        <f>'PROY. INGRESOS'!C17</f>
        <v>8</v>
      </c>
      <c r="Q71" s="74">
        <f>O71*P71*12*1.04</f>
        <v>6489.6</v>
      </c>
      <c r="R71" s="74">
        <f t="shared" si="37"/>
        <v>6749.184</v>
      </c>
      <c r="S71" s="74">
        <f t="shared" si="37"/>
        <v>7019.151360000001</v>
      </c>
      <c r="T71" s="74">
        <f t="shared" si="37"/>
        <v>7299.917414400001</v>
      </c>
    </row>
    <row r="72" spans="1:20" ht="15">
      <c r="A72" s="76" t="str">
        <f t="shared" si="25"/>
        <v>REV. Y REAL. DECLARACION DE IVA</v>
      </c>
      <c r="B72" s="74">
        <f t="shared" si="34"/>
        <v>480</v>
      </c>
      <c r="C72" s="74">
        <f t="shared" si="38"/>
        <v>480</v>
      </c>
      <c r="D72" s="74">
        <f t="shared" si="38"/>
        <v>480</v>
      </c>
      <c r="E72" s="74">
        <f t="shared" si="38"/>
        <v>480</v>
      </c>
      <c r="F72" s="74">
        <f t="shared" si="38"/>
        <v>480</v>
      </c>
      <c r="G72" s="74">
        <f t="shared" si="38"/>
        <v>480</v>
      </c>
      <c r="H72" s="74">
        <f t="shared" si="38"/>
        <v>480</v>
      </c>
      <c r="I72" s="74">
        <f t="shared" si="38"/>
        <v>480</v>
      </c>
      <c r="J72" s="74">
        <f t="shared" si="38"/>
        <v>480</v>
      </c>
      <c r="K72" s="74">
        <f t="shared" si="38"/>
        <v>480</v>
      </c>
      <c r="L72" s="74">
        <f t="shared" si="38"/>
        <v>480</v>
      </c>
      <c r="M72" s="74">
        <f t="shared" si="38"/>
        <v>480</v>
      </c>
      <c r="N72" s="74">
        <f t="shared" si="36"/>
        <v>5760</v>
      </c>
      <c r="O72" s="81">
        <v>60</v>
      </c>
      <c r="P72" s="81">
        <f>'PROY. INGRESOS'!C18</f>
        <v>8</v>
      </c>
      <c r="Q72" s="74">
        <f t="shared" si="39"/>
        <v>5990.400000000001</v>
      </c>
      <c r="R72" s="74">
        <f t="shared" si="37"/>
        <v>6230.0160000000005</v>
      </c>
      <c r="S72" s="74">
        <f t="shared" si="37"/>
        <v>6479.216640000001</v>
      </c>
      <c r="T72" s="74">
        <f t="shared" si="37"/>
        <v>6738.385305600001</v>
      </c>
    </row>
    <row r="73" spans="1:20" ht="15">
      <c r="A73" s="76" t="str">
        <f t="shared" si="25"/>
        <v>REV. Y REAL. DECLARACION DE RET. I. RENTA</v>
      </c>
      <c r="B73" s="74">
        <f t="shared" si="34"/>
        <v>480</v>
      </c>
      <c r="C73" s="74">
        <f t="shared" si="38"/>
        <v>480</v>
      </c>
      <c r="D73" s="74">
        <f t="shared" si="38"/>
        <v>480</v>
      </c>
      <c r="E73" s="74">
        <f t="shared" si="38"/>
        <v>480</v>
      </c>
      <c r="F73" s="74">
        <f t="shared" si="38"/>
        <v>480</v>
      </c>
      <c r="G73" s="74">
        <f t="shared" si="38"/>
        <v>480</v>
      </c>
      <c r="H73" s="74">
        <f t="shared" si="38"/>
        <v>480</v>
      </c>
      <c r="I73" s="74">
        <f t="shared" si="38"/>
        <v>480</v>
      </c>
      <c r="J73" s="74">
        <f t="shared" si="38"/>
        <v>480</v>
      </c>
      <c r="K73" s="74">
        <f t="shared" si="38"/>
        <v>480</v>
      </c>
      <c r="L73" s="74">
        <f t="shared" si="38"/>
        <v>480</v>
      </c>
      <c r="M73" s="74">
        <f t="shared" si="38"/>
        <v>480</v>
      </c>
      <c r="N73" s="74">
        <f t="shared" si="36"/>
        <v>5760</v>
      </c>
      <c r="O73" s="81">
        <v>60</v>
      </c>
      <c r="P73" s="81">
        <f>'PROY. INGRESOS'!C19</f>
        <v>8</v>
      </c>
      <c r="Q73" s="74">
        <f t="shared" si="39"/>
        <v>5990.400000000001</v>
      </c>
      <c r="R73" s="74">
        <f t="shared" si="37"/>
        <v>6230.0160000000005</v>
      </c>
      <c r="S73" s="74">
        <f t="shared" si="37"/>
        <v>6479.216640000001</v>
      </c>
      <c r="T73" s="74">
        <f t="shared" si="37"/>
        <v>6738.385305600001</v>
      </c>
    </row>
    <row r="74" spans="1:20" ht="15">
      <c r="A74" s="76" t="str">
        <f t="shared" si="25"/>
        <v>REV. Y REAL. DECLARACION DE IMPTO RENTA</v>
      </c>
      <c r="B74" s="74">
        <f t="shared" si="34"/>
        <v>480</v>
      </c>
      <c r="C74" s="74">
        <f t="shared" si="38"/>
        <v>480</v>
      </c>
      <c r="D74" s="74">
        <f t="shared" si="38"/>
        <v>480</v>
      </c>
      <c r="E74" s="74">
        <f t="shared" si="38"/>
        <v>480</v>
      </c>
      <c r="F74" s="74">
        <f t="shared" si="38"/>
        <v>480</v>
      </c>
      <c r="G74" s="74">
        <f t="shared" si="38"/>
        <v>480</v>
      </c>
      <c r="H74" s="74">
        <f t="shared" si="38"/>
        <v>480</v>
      </c>
      <c r="I74" s="74">
        <f t="shared" si="38"/>
        <v>480</v>
      </c>
      <c r="J74" s="74">
        <f t="shared" si="38"/>
        <v>480</v>
      </c>
      <c r="K74" s="74">
        <f t="shared" si="38"/>
        <v>480</v>
      </c>
      <c r="L74" s="74">
        <f t="shared" si="38"/>
        <v>480</v>
      </c>
      <c r="M74" s="74">
        <f t="shared" si="38"/>
        <v>480</v>
      </c>
      <c r="N74" s="74">
        <f t="shared" si="36"/>
        <v>5760</v>
      </c>
      <c r="O74" s="81">
        <v>60</v>
      </c>
      <c r="P74" s="81">
        <f>'PROY. INGRESOS'!C20</f>
        <v>8</v>
      </c>
      <c r="Q74" s="74">
        <f t="shared" si="39"/>
        <v>5990.400000000001</v>
      </c>
      <c r="R74" s="74">
        <f t="shared" si="37"/>
        <v>6230.0160000000005</v>
      </c>
      <c r="S74" s="74">
        <f t="shared" si="37"/>
        <v>6479.216640000001</v>
      </c>
      <c r="T74" s="74">
        <f t="shared" si="37"/>
        <v>6738.385305600001</v>
      </c>
    </row>
    <row r="75" spans="1:20" ht="15">
      <c r="A75" s="76" t="str">
        <f t="shared" si="25"/>
        <v>ANEXOS TRIBUTARIOS</v>
      </c>
      <c r="B75" s="74">
        <f t="shared" si="34"/>
        <v>480</v>
      </c>
      <c r="C75" s="74">
        <f t="shared" si="38"/>
        <v>480</v>
      </c>
      <c r="D75" s="74">
        <f t="shared" si="38"/>
        <v>480</v>
      </c>
      <c r="E75" s="74">
        <f t="shared" si="38"/>
        <v>480</v>
      </c>
      <c r="F75" s="74">
        <f t="shared" si="38"/>
        <v>480</v>
      </c>
      <c r="G75" s="74">
        <f t="shared" si="38"/>
        <v>480</v>
      </c>
      <c r="H75" s="74">
        <f t="shared" si="38"/>
        <v>480</v>
      </c>
      <c r="I75" s="74">
        <f t="shared" si="38"/>
        <v>480</v>
      </c>
      <c r="J75" s="74">
        <f t="shared" si="38"/>
        <v>480</v>
      </c>
      <c r="K75" s="74">
        <f t="shared" si="38"/>
        <v>480</v>
      </c>
      <c r="L75" s="74">
        <f t="shared" si="38"/>
        <v>480</v>
      </c>
      <c r="M75" s="74">
        <f t="shared" si="38"/>
        <v>480</v>
      </c>
      <c r="N75" s="74">
        <f t="shared" si="36"/>
        <v>5760</v>
      </c>
      <c r="O75" s="81">
        <v>60</v>
      </c>
      <c r="P75" s="81">
        <f>'PROY. INGRESOS'!C21</f>
        <v>8</v>
      </c>
      <c r="Q75" s="74">
        <f t="shared" si="39"/>
        <v>5990.400000000001</v>
      </c>
      <c r="R75" s="74">
        <f t="shared" si="37"/>
        <v>6230.0160000000005</v>
      </c>
      <c r="S75" s="74">
        <f t="shared" si="37"/>
        <v>6479.216640000001</v>
      </c>
      <c r="T75" s="74">
        <f t="shared" si="37"/>
        <v>6738.385305600001</v>
      </c>
    </row>
    <row r="76" spans="1:20" ht="15">
      <c r="A76" s="73"/>
      <c r="B76" s="75">
        <f>SUM(B69:B75)</f>
        <v>3480</v>
      </c>
      <c r="C76" s="75">
        <f aca="true" t="shared" si="40" ref="C76:P76">SUM(C69:C75)</f>
        <v>3480</v>
      </c>
      <c r="D76" s="75">
        <f t="shared" si="40"/>
        <v>3480</v>
      </c>
      <c r="E76" s="75">
        <f t="shared" si="40"/>
        <v>3480</v>
      </c>
      <c r="F76" s="75">
        <f t="shared" si="40"/>
        <v>3480</v>
      </c>
      <c r="G76" s="75">
        <f t="shared" si="40"/>
        <v>3480</v>
      </c>
      <c r="H76" s="75">
        <f t="shared" si="40"/>
        <v>3480</v>
      </c>
      <c r="I76" s="75">
        <f t="shared" si="40"/>
        <v>3480</v>
      </c>
      <c r="J76" s="75">
        <f t="shared" si="40"/>
        <v>3480</v>
      </c>
      <c r="K76" s="75">
        <f t="shared" si="40"/>
        <v>3480</v>
      </c>
      <c r="L76" s="75">
        <f t="shared" si="40"/>
        <v>3480</v>
      </c>
      <c r="M76" s="75">
        <f t="shared" si="40"/>
        <v>3480</v>
      </c>
      <c r="N76" s="75">
        <f t="shared" si="40"/>
        <v>41760</v>
      </c>
      <c r="O76" s="75">
        <f t="shared" si="40"/>
        <v>435</v>
      </c>
      <c r="P76" s="75">
        <f t="shared" si="40"/>
        <v>56</v>
      </c>
      <c r="Q76" s="75">
        <f>SUM(Q69:Q75)</f>
        <v>43430.40000000001</v>
      </c>
      <c r="R76" s="75">
        <f>SUM(R69:R75)</f>
        <v>45167.616</v>
      </c>
      <c r="S76" s="75">
        <f>SUM(S69:S75)</f>
        <v>46974.32064</v>
      </c>
      <c r="T76" s="75">
        <f>SUM(T69:T75)</f>
        <v>48853.29346560001</v>
      </c>
    </row>
    <row r="77" spans="1:20" ht="15">
      <c r="A77" s="73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Q77" s="74"/>
      <c r="R77" s="74"/>
      <c r="S77" s="74"/>
      <c r="T77" s="74"/>
    </row>
    <row r="78" spans="1:20" ht="15">
      <c r="A78" s="72" t="s">
        <v>163</v>
      </c>
      <c r="B78" s="14">
        <f>B61+B66+B76</f>
        <v>5820</v>
      </c>
      <c r="C78" s="14">
        <f aca="true" t="shared" si="41" ref="C78:M78">C61+C66+C76</f>
        <v>5820</v>
      </c>
      <c r="D78" s="14">
        <f t="shared" si="41"/>
        <v>5820</v>
      </c>
      <c r="E78" s="14">
        <f t="shared" si="41"/>
        <v>5820</v>
      </c>
      <c r="F78" s="14">
        <f t="shared" si="41"/>
        <v>5820</v>
      </c>
      <c r="G78" s="14">
        <f t="shared" si="41"/>
        <v>5820</v>
      </c>
      <c r="H78" s="14">
        <f t="shared" si="41"/>
        <v>5820</v>
      </c>
      <c r="I78" s="14">
        <f>I61+I66+I76</f>
        <v>5820</v>
      </c>
      <c r="J78" s="14">
        <f t="shared" si="41"/>
        <v>5820</v>
      </c>
      <c r="K78" s="14">
        <f t="shared" si="41"/>
        <v>5820</v>
      </c>
      <c r="L78" s="14">
        <f t="shared" si="41"/>
        <v>5820</v>
      </c>
      <c r="M78" s="14">
        <f t="shared" si="41"/>
        <v>5820</v>
      </c>
      <c r="N78" s="14">
        <f>N61+N66+N76</f>
        <v>69840</v>
      </c>
      <c r="Q78" s="14">
        <f>Q61+Q66+Q76</f>
        <v>72633.6</v>
      </c>
      <c r="R78" s="14">
        <f>R61+R66+R76</f>
        <v>75538.944</v>
      </c>
      <c r="S78" s="14">
        <f>S61+S66+S76</f>
        <v>78560.50176</v>
      </c>
      <c r="T78" s="14">
        <f>T61+T66+T76</f>
        <v>81702.92183040001</v>
      </c>
    </row>
    <row r="79" spans="1:20" ht="1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Q79" s="74"/>
      <c r="R79" s="74"/>
      <c r="S79" s="74"/>
      <c r="T79" s="74"/>
    </row>
    <row r="80" spans="1:20" ht="15">
      <c r="A80" s="168" t="s">
        <v>164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5"/>
      <c r="P80" s="166"/>
      <c r="Q80" s="164"/>
      <c r="R80" s="164"/>
      <c r="S80" s="164"/>
      <c r="T80" s="164"/>
    </row>
    <row r="81" spans="1:20" ht="15">
      <c r="A81" s="169" t="str">
        <f>A57</f>
        <v>TRAMITES SOCIETARIOS:</v>
      </c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5"/>
      <c r="P81" s="166"/>
      <c r="Q81" s="164"/>
      <c r="R81" s="164"/>
      <c r="S81" s="164"/>
      <c r="T81" s="164"/>
    </row>
    <row r="82" spans="1:20" ht="15">
      <c r="A82" s="170" t="str">
        <f aca="true" t="shared" si="42" ref="A82:A99">A58</f>
        <v>CONSTITUCION DE COMPAÑIAS</v>
      </c>
      <c r="B82" s="164">
        <f>B58-B34</f>
        <v>47.79411111111112</v>
      </c>
      <c r="C82" s="164">
        <f aca="true" t="shared" si="43" ref="C82:M82">C58-C34</f>
        <v>49.82174086707768</v>
      </c>
      <c r="D82" s="164">
        <f t="shared" si="43"/>
        <v>49.84945696603165</v>
      </c>
      <c r="E82" s="164">
        <f t="shared" si="43"/>
        <v>49.87725967779487</v>
      </c>
      <c r="F82" s="164">
        <f t="shared" si="43"/>
        <v>49.90514927303232</v>
      </c>
      <c r="G82" s="164">
        <f t="shared" si="43"/>
        <v>49.9331260232549</v>
      </c>
      <c r="H82" s="164">
        <f t="shared" si="43"/>
        <v>49.96119020082193</v>
      </c>
      <c r="I82" s="164">
        <f t="shared" si="43"/>
        <v>49.98934207894385</v>
      </c>
      <c r="J82" s="164">
        <f t="shared" si="43"/>
        <v>50.0175819316849</v>
      </c>
      <c r="K82" s="164">
        <f>K58-K34</f>
        <v>50.04591003396577</v>
      </c>
      <c r="L82" s="164">
        <f t="shared" si="43"/>
        <v>50.07432666156626</v>
      </c>
      <c r="M82" s="164">
        <f t="shared" si="43"/>
        <v>50.10283209112801</v>
      </c>
      <c r="N82" s="164">
        <f>SUM(B82:M82)</f>
        <v>597.3720269164132</v>
      </c>
      <c r="O82" s="165"/>
      <c r="P82" s="166"/>
      <c r="Q82" s="164">
        <f>Q58-Q34</f>
        <v>621.2669079930699</v>
      </c>
      <c r="R82" s="164">
        <f>R58-R34</f>
        <v>646.1175843127928</v>
      </c>
      <c r="S82" s="164">
        <f>S58-S34</f>
        <v>671.9622876853045</v>
      </c>
      <c r="T82" s="164">
        <f>T58-T34</f>
        <v>698.8407791927166</v>
      </c>
    </row>
    <row r="83" spans="1:20" ht="15">
      <c r="A83" s="170" t="str">
        <f t="shared" si="42"/>
        <v>LIQUIDACION DE COMPAÑIAS</v>
      </c>
      <c r="B83" s="164">
        <f aca="true" t="shared" si="44" ref="B83:M84">B59-B35</f>
        <v>0</v>
      </c>
      <c r="C83" s="164">
        <f t="shared" si="44"/>
        <v>0</v>
      </c>
      <c r="D83" s="164">
        <f t="shared" si="44"/>
        <v>0</v>
      </c>
      <c r="E83" s="164">
        <f t="shared" si="44"/>
        <v>0</v>
      </c>
      <c r="F83" s="164">
        <f t="shared" si="44"/>
        <v>0</v>
      </c>
      <c r="G83" s="164">
        <f t="shared" si="44"/>
        <v>0</v>
      </c>
      <c r="H83" s="164">
        <f t="shared" si="44"/>
        <v>0</v>
      </c>
      <c r="I83" s="164">
        <f t="shared" si="44"/>
        <v>0</v>
      </c>
      <c r="J83" s="164">
        <f t="shared" si="44"/>
        <v>0</v>
      </c>
      <c r="K83" s="164">
        <f t="shared" si="44"/>
        <v>0</v>
      </c>
      <c r="L83" s="164">
        <f t="shared" si="44"/>
        <v>0</v>
      </c>
      <c r="M83" s="164">
        <f t="shared" si="44"/>
        <v>0</v>
      </c>
      <c r="N83" s="164">
        <f>SUM(B83:M83)</f>
        <v>0</v>
      </c>
      <c r="O83" s="165"/>
      <c r="P83" s="166"/>
      <c r="Q83" s="164">
        <f aca="true" t="shared" si="45" ref="Q83:S84">Q59-Q35</f>
        <v>0</v>
      </c>
      <c r="R83" s="164">
        <f t="shared" si="45"/>
        <v>0</v>
      </c>
      <c r="S83" s="164">
        <f t="shared" si="45"/>
        <v>0</v>
      </c>
      <c r="T83" s="164">
        <f>T59-T35</f>
        <v>0</v>
      </c>
    </row>
    <row r="84" spans="1:20" ht="15">
      <c r="A84" s="170" t="str">
        <f t="shared" si="42"/>
        <v>REFORMAS ESTATUTARIAS</v>
      </c>
      <c r="B84" s="164">
        <f t="shared" si="44"/>
        <v>7.794111111111121</v>
      </c>
      <c r="C84" s="164">
        <f t="shared" si="44"/>
        <v>9.82174086707768</v>
      </c>
      <c r="D84" s="164">
        <f t="shared" si="44"/>
        <v>9.849456966031653</v>
      </c>
      <c r="E84" s="164">
        <f t="shared" si="44"/>
        <v>9.877259677794868</v>
      </c>
      <c r="F84" s="164">
        <f t="shared" si="44"/>
        <v>9.905149273032322</v>
      </c>
      <c r="G84" s="164">
        <f t="shared" si="44"/>
        <v>9.9331260232549</v>
      </c>
      <c r="H84" s="164">
        <f t="shared" si="44"/>
        <v>9.961190200821932</v>
      </c>
      <c r="I84" s="164">
        <f t="shared" si="44"/>
        <v>9.98934207894385</v>
      </c>
      <c r="J84" s="164">
        <f t="shared" si="44"/>
        <v>10.017581931684902</v>
      </c>
      <c r="K84" s="164">
        <f t="shared" si="44"/>
        <v>10.045910033965768</v>
      </c>
      <c r="L84" s="164">
        <f t="shared" si="44"/>
        <v>10.07432666156626</v>
      </c>
      <c r="M84" s="164">
        <f t="shared" si="44"/>
        <v>10.102832091128008</v>
      </c>
      <c r="N84" s="164">
        <f>SUM(B84:M84)</f>
        <v>117.37202691641326</v>
      </c>
      <c r="O84" s="165"/>
      <c r="P84" s="166"/>
      <c r="Q84" s="164">
        <f t="shared" si="45"/>
        <v>122.06690799306989</v>
      </c>
      <c r="R84" s="164">
        <f t="shared" si="45"/>
        <v>126.9495843127927</v>
      </c>
      <c r="S84" s="164">
        <f t="shared" si="45"/>
        <v>132.02756768530435</v>
      </c>
      <c r="T84" s="164">
        <f>T60-T36</f>
        <v>137.30867039271652</v>
      </c>
    </row>
    <row r="85" spans="1:20" ht="15">
      <c r="A85" s="170"/>
      <c r="B85" s="167">
        <f aca="true" t="shared" si="46" ref="B85:N85">SUM(B82:B84)</f>
        <v>55.58822222222224</v>
      </c>
      <c r="C85" s="167">
        <f t="shared" si="46"/>
        <v>59.64348173415536</v>
      </c>
      <c r="D85" s="167">
        <f t="shared" si="46"/>
        <v>59.698913932063306</v>
      </c>
      <c r="E85" s="167">
        <f t="shared" si="46"/>
        <v>59.754519355589736</v>
      </c>
      <c r="F85" s="167">
        <f t="shared" si="46"/>
        <v>59.810298546064644</v>
      </c>
      <c r="G85" s="167">
        <f t="shared" si="46"/>
        <v>59.8662520465098</v>
      </c>
      <c r="H85" s="167">
        <f t="shared" si="46"/>
        <v>59.92238040164386</v>
      </c>
      <c r="I85" s="167">
        <f t="shared" si="46"/>
        <v>59.9786841578877</v>
      </c>
      <c r="J85" s="167">
        <f t="shared" si="46"/>
        <v>60.0351638633698</v>
      </c>
      <c r="K85" s="167">
        <f t="shared" si="46"/>
        <v>60.091820067931536</v>
      </c>
      <c r="L85" s="167">
        <f t="shared" si="46"/>
        <v>60.14865332313252</v>
      </c>
      <c r="M85" s="167">
        <f t="shared" si="46"/>
        <v>60.205664182256015</v>
      </c>
      <c r="N85" s="167">
        <f t="shared" si="46"/>
        <v>714.7440538328265</v>
      </c>
      <c r="O85" s="165"/>
      <c r="P85" s="166"/>
      <c r="Q85" s="167">
        <f>SUM(Q82:Q84)</f>
        <v>743.3338159861398</v>
      </c>
      <c r="R85" s="167">
        <f>SUM(R82:R84)</f>
        <v>773.0671686255855</v>
      </c>
      <c r="S85" s="167">
        <f>SUM(S82:S84)</f>
        <v>803.9898553706089</v>
      </c>
      <c r="T85" s="167">
        <f>SUM(T82:T84)</f>
        <v>836.1494495854331</v>
      </c>
    </row>
    <row r="86" spans="1:20" ht="15">
      <c r="A86" s="170"/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5"/>
      <c r="P86" s="166"/>
      <c r="Q86" s="164"/>
      <c r="R86" s="164"/>
      <c r="S86" s="164"/>
      <c r="T86" s="164"/>
    </row>
    <row r="87" spans="1:20" ht="15">
      <c r="A87" s="169" t="str">
        <f t="shared" si="42"/>
        <v>TRAMITES ADUANEROS:</v>
      </c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5"/>
      <c r="P87" s="166"/>
      <c r="Q87" s="164"/>
      <c r="R87" s="164"/>
      <c r="S87" s="164"/>
      <c r="T87" s="164"/>
    </row>
    <row r="88" spans="1:20" ht="15">
      <c r="A88" s="170" t="str">
        <f t="shared" si="42"/>
        <v>IMPORTACION (INTEGRAL)</v>
      </c>
      <c r="B88" s="164">
        <f>B64-B40</f>
        <v>1246.764666666667</v>
      </c>
      <c r="C88" s="164">
        <f aca="true" t="shared" si="47" ref="C88:M88">C64-C40</f>
        <v>1258.9304452024662</v>
      </c>
      <c r="D88" s="164">
        <f t="shared" si="47"/>
        <v>1259.09674179619</v>
      </c>
      <c r="E88" s="164">
        <f t="shared" si="47"/>
        <v>1259.2635580667693</v>
      </c>
      <c r="F88" s="164">
        <f t="shared" si="47"/>
        <v>1259.430895638194</v>
      </c>
      <c r="G88" s="164">
        <f t="shared" si="47"/>
        <v>1259.5987561395295</v>
      </c>
      <c r="H88" s="164">
        <f t="shared" si="47"/>
        <v>1259.7671412049317</v>
      </c>
      <c r="I88" s="164">
        <f t="shared" si="47"/>
        <v>1259.936052473663</v>
      </c>
      <c r="J88" s="164">
        <f t="shared" si="47"/>
        <v>1260.1054915901095</v>
      </c>
      <c r="K88" s="164">
        <f t="shared" si="47"/>
        <v>1260.2754602037946</v>
      </c>
      <c r="L88" s="164">
        <f t="shared" si="47"/>
        <v>1260.4459599693976</v>
      </c>
      <c r="M88" s="164">
        <f t="shared" si="47"/>
        <v>1260.616992546768</v>
      </c>
      <c r="N88" s="164">
        <f>SUM(B88:M88)</f>
        <v>15104.232161498481</v>
      </c>
      <c r="O88" s="165"/>
      <c r="P88" s="166"/>
      <c r="Q88" s="164">
        <f aca="true" t="shared" si="48" ref="Q88:T89">Q64-Q40</f>
        <v>15708.40144795842</v>
      </c>
      <c r="R88" s="164">
        <f t="shared" si="48"/>
        <v>16336.737505876757</v>
      </c>
      <c r="S88" s="164">
        <f t="shared" si="48"/>
        <v>16990.20700611183</v>
      </c>
      <c r="T88" s="164">
        <f t="shared" si="48"/>
        <v>17669.815286356305</v>
      </c>
    </row>
    <row r="89" spans="1:20" ht="15">
      <c r="A89" s="170" t="str">
        <f t="shared" si="42"/>
        <v>EXPORTACION (INTEGRAL)</v>
      </c>
      <c r="B89" s="164">
        <f aca="true" t="shared" si="49" ref="B89:M89">B65-B41</f>
        <v>229.07239316239315</v>
      </c>
      <c r="C89" s="164">
        <f t="shared" si="49"/>
        <v>230.6321083592905</v>
      </c>
      <c r="D89" s="164">
        <f t="shared" si="49"/>
        <v>230.65342843540896</v>
      </c>
      <c r="E89" s="164">
        <f t="shared" si="49"/>
        <v>230.6748151367653</v>
      </c>
      <c r="F89" s="164">
        <f t="shared" si="49"/>
        <v>230.69626867156333</v>
      </c>
      <c r="G89" s="164">
        <f t="shared" si="49"/>
        <v>230.7177892486576</v>
      </c>
      <c r="H89" s="164">
        <f t="shared" si="49"/>
        <v>230.73937707755533</v>
      </c>
      <c r="I89" s="164">
        <f t="shared" si="49"/>
        <v>230.76103236841834</v>
      </c>
      <c r="J89" s="164">
        <f t="shared" si="49"/>
        <v>230.7827553320653</v>
      </c>
      <c r="K89" s="164">
        <f t="shared" si="49"/>
        <v>230.80454617997367</v>
      </c>
      <c r="L89" s="164">
        <f t="shared" si="49"/>
        <v>230.82640512428173</v>
      </c>
      <c r="M89" s="164">
        <f t="shared" si="49"/>
        <v>230.84833237779077</v>
      </c>
      <c r="N89" s="164">
        <f>SUM(B89:M89)</f>
        <v>2767.2092514741644</v>
      </c>
      <c r="O89" s="165"/>
      <c r="P89" s="166"/>
      <c r="Q89" s="164">
        <f t="shared" si="48"/>
        <v>2877.8976215331304</v>
      </c>
      <c r="R89" s="164">
        <f t="shared" si="48"/>
        <v>2993.0135263944558</v>
      </c>
      <c r="S89" s="164">
        <f t="shared" si="48"/>
        <v>3112.7340674502343</v>
      </c>
      <c r="T89" s="164">
        <f t="shared" si="48"/>
        <v>3237.2434301482435</v>
      </c>
    </row>
    <row r="90" spans="1:20" ht="15">
      <c r="A90" s="170"/>
      <c r="B90" s="167">
        <f aca="true" t="shared" si="50" ref="B90:N90">SUM(B88:B89)</f>
        <v>1475.83705982906</v>
      </c>
      <c r="C90" s="167">
        <f t="shared" si="50"/>
        <v>1489.5625535617567</v>
      </c>
      <c r="D90" s="167">
        <f t="shared" si="50"/>
        <v>1489.750170231599</v>
      </c>
      <c r="E90" s="167">
        <f t="shared" si="50"/>
        <v>1489.9383732035346</v>
      </c>
      <c r="F90" s="167">
        <f t="shared" si="50"/>
        <v>1490.1271643097573</v>
      </c>
      <c r="G90" s="167">
        <f t="shared" si="50"/>
        <v>1490.316545388187</v>
      </c>
      <c r="H90" s="167">
        <f t="shared" si="50"/>
        <v>1490.506518282487</v>
      </c>
      <c r="I90" s="167">
        <f t="shared" si="50"/>
        <v>1490.6970848420815</v>
      </c>
      <c r="J90" s="167">
        <f t="shared" si="50"/>
        <v>1490.8882469221749</v>
      </c>
      <c r="K90" s="167">
        <f t="shared" si="50"/>
        <v>1491.0800063837683</v>
      </c>
      <c r="L90" s="167">
        <f t="shared" si="50"/>
        <v>1491.2723650936794</v>
      </c>
      <c r="M90" s="167">
        <f t="shared" si="50"/>
        <v>1491.4653249245587</v>
      </c>
      <c r="N90" s="167">
        <f t="shared" si="50"/>
        <v>17871.441412972647</v>
      </c>
      <c r="O90" s="165"/>
      <c r="P90" s="166"/>
      <c r="Q90" s="167">
        <f>SUM(Q88:Q89)</f>
        <v>18586.29906949155</v>
      </c>
      <c r="R90" s="167">
        <f>SUM(R88:R89)</f>
        <v>19329.75103227121</v>
      </c>
      <c r="S90" s="167">
        <f>SUM(S88:S89)</f>
        <v>20102.941073562062</v>
      </c>
      <c r="T90" s="167">
        <f>SUM(T88:T89)</f>
        <v>20907.058716504547</v>
      </c>
    </row>
    <row r="91" spans="1:20" ht="15">
      <c r="A91" s="170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5"/>
      <c r="P91" s="166"/>
      <c r="Q91" s="164"/>
      <c r="R91" s="164"/>
      <c r="S91" s="164"/>
      <c r="T91" s="164"/>
    </row>
    <row r="92" spans="1:20" ht="15">
      <c r="A92" s="169" t="str">
        <f t="shared" si="42"/>
        <v>SERVICIO CONTABLE: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5"/>
      <c r="P92" s="166"/>
      <c r="Q92" s="164"/>
      <c r="R92" s="164"/>
      <c r="S92" s="164"/>
      <c r="T92" s="164"/>
    </row>
    <row r="93" spans="1:20" ht="15">
      <c r="A93" s="170" t="str">
        <f t="shared" si="42"/>
        <v>REVISION DE CONTABILIDAD </v>
      </c>
      <c r="B93" s="164">
        <f>B69-B45</f>
        <v>58.97055555555562</v>
      </c>
      <c r="C93" s="164">
        <f aca="true" t="shared" si="51" ref="C93:M93">C69-C45</f>
        <v>69.10870433538838</v>
      </c>
      <c r="D93" s="164">
        <f t="shared" si="51"/>
        <v>69.24728483015821</v>
      </c>
      <c r="E93" s="164">
        <f t="shared" si="51"/>
        <v>69.3862983889743</v>
      </c>
      <c r="F93" s="164">
        <f t="shared" si="51"/>
        <v>69.52574636516164</v>
      </c>
      <c r="G93" s="164">
        <f t="shared" si="51"/>
        <v>69.66563011627449</v>
      </c>
      <c r="H93" s="164">
        <f t="shared" si="51"/>
        <v>69.8059510041096</v>
      </c>
      <c r="I93" s="164">
        <f>I69-I45</f>
        <v>69.94671039471922</v>
      </c>
      <c r="J93" s="164">
        <f t="shared" si="51"/>
        <v>70.08790965842451</v>
      </c>
      <c r="K93" s="164">
        <f t="shared" si="51"/>
        <v>70.22955016982883</v>
      </c>
      <c r="L93" s="164">
        <f t="shared" si="51"/>
        <v>70.3716333078313</v>
      </c>
      <c r="M93" s="164">
        <f t="shared" si="51"/>
        <v>70.51416045563997</v>
      </c>
      <c r="N93" s="164">
        <f aca="true" t="shared" si="52" ref="N93:N99">SUM(B93:M93)</f>
        <v>826.860134582066</v>
      </c>
      <c r="O93" s="165"/>
      <c r="P93" s="166"/>
      <c r="Q93" s="164">
        <f>Q69-Q45</f>
        <v>859.9345399653484</v>
      </c>
      <c r="R93" s="164">
        <f aca="true" t="shared" si="53" ref="Q93:T99">R69-R45</f>
        <v>894.3319215639622</v>
      </c>
      <c r="S93" s="164">
        <f t="shared" si="53"/>
        <v>930.1051984265214</v>
      </c>
      <c r="T93" s="164">
        <f t="shared" si="53"/>
        <v>967.3094063635817</v>
      </c>
    </row>
    <row r="94" spans="1:20" ht="15">
      <c r="A94" s="170" t="str">
        <f t="shared" si="42"/>
        <v>REALIZACION DE CONTABILIDAD</v>
      </c>
      <c r="B94" s="164">
        <f>B70-B46</f>
        <v>58.97055555555562</v>
      </c>
      <c r="C94" s="164">
        <f aca="true" t="shared" si="54" ref="B94:M99">C70-C46</f>
        <v>69.10870433538838</v>
      </c>
      <c r="D94" s="164">
        <f t="shared" si="54"/>
        <v>69.24728483015821</v>
      </c>
      <c r="E94" s="164">
        <f t="shared" si="54"/>
        <v>69.3862983889743</v>
      </c>
      <c r="F94" s="164">
        <f t="shared" si="54"/>
        <v>69.52574636516164</v>
      </c>
      <c r="G94" s="164">
        <f t="shared" si="54"/>
        <v>69.66563011627449</v>
      </c>
      <c r="H94" s="164">
        <f t="shared" si="54"/>
        <v>69.8059510041096</v>
      </c>
      <c r="I94" s="164">
        <f t="shared" si="54"/>
        <v>69.94671039471922</v>
      </c>
      <c r="J94" s="164">
        <f t="shared" si="54"/>
        <v>70.08790965842451</v>
      </c>
      <c r="K94" s="164">
        <f t="shared" si="54"/>
        <v>70.22955016982883</v>
      </c>
      <c r="L94" s="164">
        <f t="shared" si="54"/>
        <v>70.3716333078313</v>
      </c>
      <c r="M94" s="164">
        <f t="shared" si="54"/>
        <v>70.51416045563997</v>
      </c>
      <c r="N94" s="164">
        <f t="shared" si="52"/>
        <v>826.860134582066</v>
      </c>
      <c r="O94" s="165"/>
      <c r="P94" s="166"/>
      <c r="Q94" s="164">
        <f t="shared" si="53"/>
        <v>859.9345399653484</v>
      </c>
      <c r="R94" s="164">
        <f t="shared" si="53"/>
        <v>894.3319215639622</v>
      </c>
      <c r="S94" s="164">
        <f t="shared" si="53"/>
        <v>930.1051984265214</v>
      </c>
      <c r="T94" s="164">
        <f t="shared" si="53"/>
        <v>967.3094063635817</v>
      </c>
    </row>
    <row r="95" spans="1:20" ht="15">
      <c r="A95" s="170" t="str">
        <f t="shared" si="42"/>
        <v>PRESENTACION DE ESTADOS FINANCIEROS</v>
      </c>
      <c r="B95" s="164">
        <f t="shared" si="54"/>
        <v>58.97055555555562</v>
      </c>
      <c r="C95" s="164">
        <f t="shared" si="54"/>
        <v>69.10870433538838</v>
      </c>
      <c r="D95" s="164">
        <f t="shared" si="54"/>
        <v>69.24728483015821</v>
      </c>
      <c r="E95" s="164">
        <f t="shared" si="54"/>
        <v>69.3862983889743</v>
      </c>
      <c r="F95" s="164">
        <f t="shared" si="54"/>
        <v>69.52574636516164</v>
      </c>
      <c r="G95" s="164">
        <f t="shared" si="54"/>
        <v>69.66563011627449</v>
      </c>
      <c r="H95" s="164">
        <f t="shared" si="54"/>
        <v>69.8059510041096</v>
      </c>
      <c r="I95" s="164">
        <f t="shared" si="54"/>
        <v>69.94671039471922</v>
      </c>
      <c r="J95" s="164">
        <f t="shared" si="54"/>
        <v>70.08790965842451</v>
      </c>
      <c r="K95" s="164">
        <f t="shared" si="54"/>
        <v>70.22955016982883</v>
      </c>
      <c r="L95" s="164">
        <f t="shared" si="54"/>
        <v>70.3716333078313</v>
      </c>
      <c r="M95" s="164">
        <f t="shared" si="54"/>
        <v>70.51416045563997</v>
      </c>
      <c r="N95" s="164">
        <f t="shared" si="52"/>
        <v>826.860134582066</v>
      </c>
      <c r="O95" s="165"/>
      <c r="P95" s="166"/>
      <c r="Q95" s="164">
        <f t="shared" si="53"/>
        <v>859.9345399653484</v>
      </c>
      <c r="R95" s="164">
        <f t="shared" si="53"/>
        <v>894.3319215639622</v>
      </c>
      <c r="S95" s="164">
        <f t="shared" si="53"/>
        <v>930.1051984265214</v>
      </c>
      <c r="T95" s="164">
        <f t="shared" si="53"/>
        <v>967.3094063635817</v>
      </c>
    </row>
    <row r="96" spans="1:20" ht="15">
      <c r="A96" s="170" t="str">
        <f t="shared" si="42"/>
        <v>REV. Y REAL. DECLARACION DE IVA</v>
      </c>
      <c r="B96" s="164">
        <f t="shared" si="54"/>
        <v>18.97055555555562</v>
      </c>
      <c r="C96" s="164">
        <f t="shared" si="54"/>
        <v>29.10870433538838</v>
      </c>
      <c r="D96" s="164">
        <f t="shared" si="54"/>
        <v>29.247284830158208</v>
      </c>
      <c r="E96" s="164">
        <f t="shared" si="54"/>
        <v>29.386298388974296</v>
      </c>
      <c r="F96" s="164">
        <f t="shared" si="54"/>
        <v>29.525746365161638</v>
      </c>
      <c r="G96" s="164">
        <f t="shared" si="54"/>
        <v>29.665630116274485</v>
      </c>
      <c r="H96" s="164">
        <f t="shared" si="54"/>
        <v>29.805951004109602</v>
      </c>
      <c r="I96" s="164">
        <f t="shared" si="54"/>
        <v>29.94671039471922</v>
      </c>
      <c r="J96" s="164">
        <f t="shared" si="54"/>
        <v>30.087909658424508</v>
      </c>
      <c r="K96" s="164">
        <f t="shared" si="54"/>
        <v>30.229550169828826</v>
      </c>
      <c r="L96" s="164">
        <f t="shared" si="54"/>
        <v>30.371633307831303</v>
      </c>
      <c r="M96" s="164">
        <f t="shared" si="54"/>
        <v>30.514160455639967</v>
      </c>
      <c r="N96" s="164">
        <f t="shared" si="52"/>
        <v>346.86013458206605</v>
      </c>
      <c r="O96" s="165"/>
      <c r="P96" s="166"/>
      <c r="Q96" s="164">
        <f t="shared" si="53"/>
        <v>360.73453996534863</v>
      </c>
      <c r="R96" s="164">
        <f t="shared" si="53"/>
        <v>375.1639215639625</v>
      </c>
      <c r="S96" s="164">
        <f t="shared" si="53"/>
        <v>390.1704784265212</v>
      </c>
      <c r="T96" s="164">
        <f t="shared" si="53"/>
        <v>405.77729756358167</v>
      </c>
    </row>
    <row r="97" spans="1:20" ht="15">
      <c r="A97" s="170" t="str">
        <f t="shared" si="42"/>
        <v>REV. Y REAL. DECLARACION DE RET. I. RENTA</v>
      </c>
      <c r="B97" s="164">
        <f t="shared" si="54"/>
        <v>18.97055555555562</v>
      </c>
      <c r="C97" s="164">
        <f t="shared" si="54"/>
        <v>29.10870433538838</v>
      </c>
      <c r="D97" s="164">
        <f t="shared" si="54"/>
        <v>29.247284830158208</v>
      </c>
      <c r="E97" s="164">
        <f t="shared" si="54"/>
        <v>29.386298388974296</v>
      </c>
      <c r="F97" s="164">
        <f t="shared" si="54"/>
        <v>29.525746365161638</v>
      </c>
      <c r="G97" s="164">
        <f t="shared" si="54"/>
        <v>29.665630116274485</v>
      </c>
      <c r="H97" s="164">
        <f t="shared" si="54"/>
        <v>29.805951004109602</v>
      </c>
      <c r="I97" s="164">
        <f t="shared" si="54"/>
        <v>29.94671039471922</v>
      </c>
      <c r="J97" s="164">
        <f t="shared" si="54"/>
        <v>30.087909658424508</v>
      </c>
      <c r="K97" s="164">
        <f t="shared" si="54"/>
        <v>30.229550169828826</v>
      </c>
      <c r="L97" s="164">
        <f t="shared" si="54"/>
        <v>30.371633307831303</v>
      </c>
      <c r="M97" s="164">
        <f t="shared" si="54"/>
        <v>30.514160455639967</v>
      </c>
      <c r="N97" s="164">
        <f t="shared" si="52"/>
        <v>346.86013458206605</v>
      </c>
      <c r="O97" s="165"/>
      <c r="P97" s="166"/>
      <c r="Q97" s="164">
        <f t="shared" si="53"/>
        <v>360.73453996534863</v>
      </c>
      <c r="R97" s="164">
        <f t="shared" si="53"/>
        <v>375.1639215639625</v>
      </c>
      <c r="S97" s="164">
        <f t="shared" si="53"/>
        <v>390.1704784265212</v>
      </c>
      <c r="T97" s="164">
        <f t="shared" si="53"/>
        <v>405.77729756358167</v>
      </c>
    </row>
    <row r="98" spans="1:20" ht="15">
      <c r="A98" s="170" t="str">
        <f t="shared" si="42"/>
        <v>REV. Y REAL. DECLARACION DE IMPTO RENTA</v>
      </c>
      <c r="B98" s="164">
        <f t="shared" si="54"/>
        <v>18.97055555555562</v>
      </c>
      <c r="C98" s="164">
        <f t="shared" si="54"/>
        <v>29.10870433538838</v>
      </c>
      <c r="D98" s="164">
        <f t="shared" si="54"/>
        <v>29.247284830158208</v>
      </c>
      <c r="E98" s="164">
        <f t="shared" si="54"/>
        <v>29.386298388974296</v>
      </c>
      <c r="F98" s="164">
        <f t="shared" si="54"/>
        <v>29.525746365161638</v>
      </c>
      <c r="G98" s="164">
        <f t="shared" si="54"/>
        <v>29.665630116274485</v>
      </c>
      <c r="H98" s="164">
        <f t="shared" si="54"/>
        <v>29.805951004109602</v>
      </c>
      <c r="I98" s="164">
        <f t="shared" si="54"/>
        <v>29.94671039471922</v>
      </c>
      <c r="J98" s="164">
        <f t="shared" si="54"/>
        <v>30.087909658424508</v>
      </c>
      <c r="K98" s="164">
        <f t="shared" si="54"/>
        <v>30.229550169828826</v>
      </c>
      <c r="L98" s="164">
        <f t="shared" si="54"/>
        <v>30.371633307831303</v>
      </c>
      <c r="M98" s="164">
        <f t="shared" si="54"/>
        <v>30.514160455639967</v>
      </c>
      <c r="N98" s="164">
        <f t="shared" si="52"/>
        <v>346.86013458206605</v>
      </c>
      <c r="O98" s="165"/>
      <c r="P98" s="166"/>
      <c r="Q98" s="164">
        <f t="shared" si="53"/>
        <v>360.73453996534863</v>
      </c>
      <c r="R98" s="164">
        <f t="shared" si="53"/>
        <v>375.1639215639625</v>
      </c>
      <c r="S98" s="164">
        <f t="shared" si="53"/>
        <v>390.1704784265212</v>
      </c>
      <c r="T98" s="164">
        <f t="shared" si="53"/>
        <v>405.77729756358167</v>
      </c>
    </row>
    <row r="99" spans="1:20" ht="15">
      <c r="A99" s="170" t="str">
        <f t="shared" si="42"/>
        <v>ANEXOS TRIBUTARIOS</v>
      </c>
      <c r="B99" s="164">
        <f t="shared" si="54"/>
        <v>18.97055555555562</v>
      </c>
      <c r="C99" s="164">
        <f t="shared" si="54"/>
        <v>29.10870433538838</v>
      </c>
      <c r="D99" s="164">
        <f t="shared" si="54"/>
        <v>29.247284830158208</v>
      </c>
      <c r="E99" s="164">
        <f t="shared" si="54"/>
        <v>29.386298388974296</v>
      </c>
      <c r="F99" s="164">
        <f t="shared" si="54"/>
        <v>29.525746365161638</v>
      </c>
      <c r="G99" s="164">
        <f t="shared" si="54"/>
        <v>29.665630116274485</v>
      </c>
      <c r="H99" s="164">
        <f t="shared" si="54"/>
        <v>29.805951004109602</v>
      </c>
      <c r="I99" s="164">
        <f t="shared" si="54"/>
        <v>29.94671039471922</v>
      </c>
      <c r="J99" s="164">
        <f t="shared" si="54"/>
        <v>30.087909658424508</v>
      </c>
      <c r="K99" s="164">
        <f t="shared" si="54"/>
        <v>30.229550169828826</v>
      </c>
      <c r="L99" s="164">
        <f t="shared" si="54"/>
        <v>30.371633307831303</v>
      </c>
      <c r="M99" s="164">
        <f t="shared" si="54"/>
        <v>30.514160455639967</v>
      </c>
      <c r="N99" s="164">
        <f t="shared" si="52"/>
        <v>346.86013458206605</v>
      </c>
      <c r="O99" s="165"/>
      <c r="P99" s="166"/>
      <c r="Q99" s="164">
        <f t="shared" si="53"/>
        <v>360.73453996534863</v>
      </c>
      <c r="R99" s="164">
        <f t="shared" si="53"/>
        <v>375.1639215639625</v>
      </c>
      <c r="S99" s="164">
        <f t="shared" si="53"/>
        <v>390.1704784265212</v>
      </c>
      <c r="T99" s="164">
        <f t="shared" si="53"/>
        <v>405.77729756358167</v>
      </c>
    </row>
    <row r="100" spans="1:20" ht="15">
      <c r="A100" s="171"/>
      <c r="B100" s="167">
        <f aca="true" t="shared" si="55" ref="B100:N100">SUM(B93:B99)</f>
        <v>252.79388888888934</v>
      </c>
      <c r="C100" s="167">
        <f t="shared" si="55"/>
        <v>323.76093034771867</v>
      </c>
      <c r="D100" s="167">
        <f t="shared" si="55"/>
        <v>324.73099381110745</v>
      </c>
      <c r="E100" s="167">
        <f t="shared" si="55"/>
        <v>325.7040887228201</v>
      </c>
      <c r="F100" s="167">
        <f t="shared" si="55"/>
        <v>326.68022455613146</v>
      </c>
      <c r="G100" s="167">
        <f t="shared" si="55"/>
        <v>327.6594108139214</v>
      </c>
      <c r="H100" s="167">
        <f t="shared" si="55"/>
        <v>328.6416570287672</v>
      </c>
      <c r="I100" s="167">
        <f t="shared" si="55"/>
        <v>329.62697276303453</v>
      </c>
      <c r="J100" s="167">
        <f t="shared" si="55"/>
        <v>330.61536760897155</v>
      </c>
      <c r="K100" s="167">
        <f t="shared" si="55"/>
        <v>331.6068511888018</v>
      </c>
      <c r="L100" s="167">
        <f t="shared" si="55"/>
        <v>332.6014331548191</v>
      </c>
      <c r="M100" s="167">
        <f t="shared" si="55"/>
        <v>333.59912318947977</v>
      </c>
      <c r="N100" s="167">
        <f t="shared" si="55"/>
        <v>3868.0209420744627</v>
      </c>
      <c r="O100" s="165"/>
      <c r="P100" s="166"/>
      <c r="Q100" s="167">
        <f>SUM(Q93:Q99)</f>
        <v>4022.74177975744</v>
      </c>
      <c r="R100" s="167">
        <f>SUM(R93:R99)</f>
        <v>4183.6514509477365</v>
      </c>
      <c r="S100" s="167">
        <f>SUM(S93:S99)</f>
        <v>4350.997508985649</v>
      </c>
      <c r="T100" s="167">
        <f>SUM(T93:T99)</f>
        <v>4525.037409345072</v>
      </c>
    </row>
    <row r="101" spans="1:20" ht="15">
      <c r="A101" s="171"/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5"/>
      <c r="P101" s="166"/>
      <c r="Q101" s="164"/>
      <c r="R101" s="164"/>
      <c r="S101" s="164"/>
      <c r="T101" s="164"/>
    </row>
    <row r="102" spans="1:20" ht="15">
      <c r="A102" s="172" t="s">
        <v>165</v>
      </c>
      <c r="B102" s="173">
        <f>B85+B90+B100</f>
        <v>1784.2191709401716</v>
      </c>
      <c r="C102" s="173">
        <f aca="true" t="shared" si="56" ref="C102:N102">C85+C90+C100</f>
        <v>1872.9669656436306</v>
      </c>
      <c r="D102" s="173">
        <f t="shared" si="56"/>
        <v>1874.1800779747698</v>
      </c>
      <c r="E102" s="173">
        <f t="shared" si="56"/>
        <v>1875.3969812819446</v>
      </c>
      <c r="F102" s="173">
        <f t="shared" si="56"/>
        <v>1876.6176874119533</v>
      </c>
      <c r="G102" s="173">
        <f t="shared" si="56"/>
        <v>1877.8422082486181</v>
      </c>
      <c r="H102" s="173">
        <f t="shared" si="56"/>
        <v>1879.0705557128979</v>
      </c>
      <c r="I102" s="173">
        <f t="shared" si="56"/>
        <v>1880.3027417630037</v>
      </c>
      <c r="J102" s="173">
        <f t="shared" si="56"/>
        <v>1881.5387783945162</v>
      </c>
      <c r="K102" s="173">
        <f t="shared" si="56"/>
        <v>1882.7786776405017</v>
      </c>
      <c r="L102" s="173">
        <f t="shared" si="56"/>
        <v>1884.0224515716309</v>
      </c>
      <c r="M102" s="173">
        <f t="shared" si="56"/>
        <v>1885.2701122962944</v>
      </c>
      <c r="N102" s="173">
        <f t="shared" si="56"/>
        <v>22454.206408879934</v>
      </c>
      <c r="O102" s="165"/>
      <c r="P102" s="166"/>
      <c r="Q102" s="173">
        <f>Q85+Q90+Q100</f>
        <v>23352.374665235133</v>
      </c>
      <c r="R102" s="173">
        <f>R85+R90+R100</f>
        <v>24286.469651844534</v>
      </c>
      <c r="S102" s="173">
        <f>S85+S90+S100</f>
        <v>25257.92843791832</v>
      </c>
      <c r="T102" s="173">
        <f>T85+T90+T100</f>
        <v>26268.245575435052</v>
      </c>
    </row>
    <row r="103" spans="1:17" ht="15">
      <c r="A103" s="174"/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65"/>
      <c r="P103" s="166"/>
      <c r="Q103" s="175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23">
      <selection activeCell="C46" sqref="C46"/>
    </sheetView>
  </sheetViews>
  <sheetFormatPr defaultColWidth="11.421875" defaultRowHeight="15"/>
  <cols>
    <col min="1" max="1" width="39.7109375" style="2" customWidth="1"/>
    <col min="2" max="2" width="11.8515625" style="6" bestFit="1" customWidth="1"/>
    <col min="3" max="7" width="11.421875" style="6" customWidth="1"/>
    <col min="8" max="16384" width="11.421875" style="2" customWidth="1"/>
  </cols>
  <sheetData>
    <row r="1" ht="18.75">
      <c r="A1" s="40" t="s">
        <v>0</v>
      </c>
    </row>
    <row r="2" ht="18.75">
      <c r="A2" s="40" t="s">
        <v>234</v>
      </c>
    </row>
    <row r="3" ht="15" hidden="1"/>
    <row r="4" ht="15" hidden="1"/>
    <row r="5" spans="2:7" ht="15">
      <c r="B5" s="35" t="s">
        <v>216</v>
      </c>
      <c r="C5" s="35" t="s">
        <v>112</v>
      </c>
      <c r="D5" s="35" t="s">
        <v>113</v>
      </c>
      <c r="E5" s="35" t="s">
        <v>114</v>
      </c>
      <c r="F5" s="35" t="s">
        <v>115</v>
      </c>
      <c r="G5" s="35" t="s">
        <v>116</v>
      </c>
    </row>
    <row r="6" spans="1:7" ht="15">
      <c r="A6" s="70"/>
      <c r="B6" s="13"/>
      <c r="C6" s="13"/>
      <c r="D6" s="13"/>
      <c r="E6" s="13"/>
      <c r="F6" s="13"/>
      <c r="G6" s="13"/>
    </row>
    <row r="7" spans="1:7" ht="15">
      <c r="A7" s="70" t="s">
        <v>217</v>
      </c>
      <c r="B7" s="13">
        <v>12000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</row>
    <row r="8" spans="1:7" ht="15">
      <c r="A8" s="70" t="s">
        <v>218</v>
      </c>
      <c r="B8" s="13"/>
      <c r="C8" s="13">
        <f>PYG!N7</f>
        <v>2880</v>
      </c>
      <c r="D8" s="13">
        <f>PYG!O7</f>
        <v>2995.2</v>
      </c>
      <c r="E8" s="13">
        <f>PYG!P7</f>
        <v>3115.0080000000003</v>
      </c>
      <c r="F8" s="13">
        <f>PYG!Q7</f>
        <v>3239.6083200000003</v>
      </c>
      <c r="G8" s="13">
        <f>PYG!R7</f>
        <v>3369.1926528000004</v>
      </c>
    </row>
    <row r="9" spans="1:7" ht="15">
      <c r="A9" s="70" t="s">
        <v>219</v>
      </c>
      <c r="B9" s="13"/>
      <c r="C9" s="13">
        <f>PYG!N8</f>
        <v>25200</v>
      </c>
      <c r="D9" s="13">
        <f>PYG!O8</f>
        <v>26208</v>
      </c>
      <c r="E9" s="13">
        <f>PYG!P8</f>
        <v>27256.32</v>
      </c>
      <c r="F9" s="13">
        <f>PYG!Q8</f>
        <v>28346.5728</v>
      </c>
      <c r="G9" s="13">
        <f>PYG!R8</f>
        <v>29480.435712000006</v>
      </c>
    </row>
    <row r="10" spans="1:7" ht="15">
      <c r="A10" s="70" t="s">
        <v>220</v>
      </c>
      <c r="B10" s="13"/>
      <c r="C10" s="13">
        <f>PYG!N9</f>
        <v>41760</v>
      </c>
      <c r="D10" s="13">
        <f>PYG!O9</f>
        <v>43430.40000000001</v>
      </c>
      <c r="E10" s="13">
        <f>PYG!P9</f>
        <v>45167.616</v>
      </c>
      <c r="F10" s="13">
        <f>PYG!Q9</f>
        <v>46974.32064</v>
      </c>
      <c r="G10" s="13">
        <f>PYG!R9</f>
        <v>48853.29346560001</v>
      </c>
    </row>
    <row r="11" spans="1:7" ht="15">
      <c r="A11" s="84" t="s">
        <v>222</v>
      </c>
      <c r="B11" s="83"/>
      <c r="C11" s="83">
        <f>SUM(C8:C10)</f>
        <v>69840</v>
      </c>
      <c r="D11" s="83">
        <f>SUM(D8:D10)</f>
        <v>72633.6</v>
      </c>
      <c r="E11" s="83">
        <f>SUM(E8:E10)</f>
        <v>75538.944</v>
      </c>
      <c r="F11" s="83">
        <f>SUM(F8:F10)</f>
        <v>78560.50176</v>
      </c>
      <c r="G11" s="83">
        <f>SUM(G8:G10)</f>
        <v>81702.92183040001</v>
      </c>
    </row>
    <row r="12" spans="1:7" ht="15">
      <c r="A12" s="70"/>
      <c r="B12" s="13"/>
      <c r="C12" s="13"/>
      <c r="D12" s="13"/>
      <c r="E12" s="13"/>
      <c r="F12" s="13"/>
      <c r="G12" s="13"/>
    </row>
    <row r="13" spans="1:7" ht="15">
      <c r="A13" s="70" t="s">
        <v>221</v>
      </c>
      <c r="B13" s="13"/>
      <c r="C13" s="13">
        <f>PYG!N13</f>
        <v>46127.398654179335</v>
      </c>
      <c r="D13" s="13">
        <f>PYG!O13</f>
        <v>52073.60630365232</v>
      </c>
      <c r="E13" s="13">
        <f>PYG!P13</f>
        <v>53911.34181333335</v>
      </c>
      <c r="F13" s="13">
        <f>PYG!Q13</f>
        <v>54308.29281920001</v>
      </c>
      <c r="G13" s="13">
        <f>PYG!R13</f>
        <v>60950.35519863467</v>
      </c>
    </row>
    <row r="14" spans="1:7" ht="15">
      <c r="A14" s="70" t="s">
        <v>151</v>
      </c>
      <c r="B14" s="13"/>
      <c r="C14" s="13">
        <f>PYG!N14</f>
        <v>8004</v>
      </c>
      <c r="D14" s="13">
        <f>PYG!O14</f>
        <v>12567.36</v>
      </c>
      <c r="E14" s="13">
        <f>PYG!P14</f>
        <v>13070.0544</v>
      </c>
      <c r="F14" s="13">
        <f>PYG!Q14</f>
        <v>13592.856576</v>
      </c>
      <c r="G14" s="13">
        <f>PYG!R14</f>
        <v>14136.570839040003</v>
      </c>
    </row>
    <row r="15" spans="1:7" ht="15">
      <c r="A15" s="84" t="s">
        <v>223</v>
      </c>
      <c r="B15" s="83"/>
      <c r="C15" s="83">
        <f>SUM(C13:C14)</f>
        <v>54131.398654179335</v>
      </c>
      <c r="D15" s="83">
        <f>SUM(D13:D14)</f>
        <v>64640.96630365232</v>
      </c>
      <c r="E15" s="83">
        <f>SUM(E13:E14)</f>
        <v>66981.39621333336</v>
      </c>
      <c r="F15" s="83">
        <f>SUM(F13:F14)</f>
        <v>67901.14939520002</v>
      </c>
      <c r="G15" s="83">
        <f>SUM(G13:G14)</f>
        <v>75086.92603767468</v>
      </c>
    </row>
    <row r="16" spans="1:7" ht="15">
      <c r="A16" s="70"/>
      <c r="B16" s="13"/>
      <c r="C16" s="13"/>
      <c r="D16" s="13"/>
      <c r="E16" s="13"/>
      <c r="F16" s="13"/>
      <c r="G16" s="13"/>
    </row>
    <row r="17" spans="1:7" ht="15">
      <c r="A17" s="84" t="s">
        <v>232</v>
      </c>
      <c r="B17" s="83"/>
      <c r="C17" s="83">
        <f>C11-C15</f>
        <v>15708.601345820665</v>
      </c>
      <c r="D17" s="83">
        <f>D11-D15</f>
        <v>7992.633696347686</v>
      </c>
      <c r="E17" s="83">
        <f>E11-E15</f>
        <v>8557.547786666648</v>
      </c>
      <c r="F17" s="83">
        <f>F11-F15</f>
        <v>10659.352364799983</v>
      </c>
      <c r="G17" s="83">
        <f>G11-G15</f>
        <v>6615.995792725327</v>
      </c>
    </row>
    <row r="18" spans="1:7" ht="15">
      <c r="A18" s="70"/>
      <c r="B18" s="13"/>
      <c r="C18" s="13"/>
      <c r="D18" s="13"/>
      <c r="E18" s="13"/>
      <c r="F18" s="13"/>
      <c r="G18" s="13"/>
    </row>
    <row r="19" spans="1:7" ht="15">
      <c r="A19" s="70" t="s">
        <v>224</v>
      </c>
      <c r="B19" s="13"/>
      <c r="C19" s="13">
        <f>C17*0.15</f>
        <v>2356.2902018730997</v>
      </c>
      <c r="D19" s="13">
        <f>D17*0.15</f>
        <v>1198.8950544521529</v>
      </c>
      <c r="E19" s="13">
        <f>E17*0.15</f>
        <v>1283.6321679999971</v>
      </c>
      <c r="F19" s="13">
        <f>F17*0.15</f>
        <v>1598.9028547199973</v>
      </c>
      <c r="G19" s="13">
        <f>G17*0.15</f>
        <v>992.399368908799</v>
      </c>
    </row>
    <row r="20" spans="1:7" ht="15">
      <c r="A20" s="70"/>
      <c r="B20" s="13"/>
      <c r="C20" s="13"/>
      <c r="D20" s="13"/>
      <c r="E20" s="13"/>
      <c r="F20" s="13"/>
      <c r="G20" s="13"/>
    </row>
    <row r="21" spans="1:7" ht="15">
      <c r="A21" s="84" t="s">
        <v>225</v>
      </c>
      <c r="B21" s="83"/>
      <c r="C21" s="83">
        <f>C17-C19</f>
        <v>13352.311143947565</v>
      </c>
      <c r="D21" s="83">
        <f>D17-D19</f>
        <v>6793.738641895533</v>
      </c>
      <c r="E21" s="83">
        <f>E17-E19</f>
        <v>7273.9156186666505</v>
      </c>
      <c r="F21" s="83">
        <f>F17-F19</f>
        <v>9060.449510079985</v>
      </c>
      <c r="G21" s="83">
        <f>G17-G19</f>
        <v>5623.596423816528</v>
      </c>
    </row>
    <row r="22" spans="1:7" ht="15">
      <c r="A22" s="70" t="s">
        <v>233</v>
      </c>
      <c r="B22" s="13"/>
      <c r="C22" s="13">
        <f>C21*0.05</f>
        <v>667.6155571973783</v>
      </c>
      <c r="D22" s="13">
        <f>D21*0.05</f>
        <v>339.6869320947767</v>
      </c>
      <c r="E22" s="13">
        <f>E21*0.05</f>
        <v>363.69578093333257</v>
      </c>
      <c r="F22" s="13">
        <f>F21*0.05</f>
        <v>453.02247550399926</v>
      </c>
      <c r="G22" s="13">
        <f>G21*0.05</f>
        <v>281.17982119082643</v>
      </c>
    </row>
    <row r="23" spans="1:7" ht="15">
      <c r="A23" s="70" t="s">
        <v>226</v>
      </c>
      <c r="B23" s="13"/>
      <c r="C23" s="13">
        <f>C21*0.25</f>
        <v>3338.0777859868913</v>
      </c>
      <c r="D23" s="13">
        <f>D21*0.25</f>
        <v>1698.4346604738832</v>
      </c>
      <c r="E23" s="13">
        <f>E21*0.25</f>
        <v>1818.4789046666626</v>
      </c>
      <c r="F23" s="13">
        <f>F21*0.25</f>
        <v>2265.1123775199962</v>
      </c>
      <c r="G23" s="13">
        <f>G21*0.25</f>
        <v>1405.899105954132</v>
      </c>
    </row>
    <row r="24" spans="1:7" ht="15">
      <c r="A24" s="70"/>
      <c r="B24" s="13"/>
      <c r="C24" s="13"/>
      <c r="D24" s="13"/>
      <c r="E24" s="13"/>
      <c r="F24" s="13"/>
      <c r="G24" s="13"/>
    </row>
    <row r="25" spans="1:7" ht="15">
      <c r="A25" s="84" t="s">
        <v>227</v>
      </c>
      <c r="B25" s="83"/>
      <c r="C25" s="83">
        <f>C21-C22-C23</f>
        <v>9346.617800763295</v>
      </c>
      <c r="D25" s="83">
        <f>D21-D22-D23</f>
        <v>4755.617049326874</v>
      </c>
      <c r="E25" s="83">
        <f>E21-E22-E23</f>
        <v>5091.740933066655</v>
      </c>
      <c r="F25" s="83">
        <f>F21-F22-F23</f>
        <v>6342.314657055989</v>
      </c>
      <c r="G25" s="83">
        <f>G21-G22-G23</f>
        <v>3936.5174966715695</v>
      </c>
    </row>
    <row r="26" spans="1:7" ht="15">
      <c r="A26" s="70" t="s">
        <v>228</v>
      </c>
      <c r="B26" s="13"/>
      <c r="C26" s="13">
        <f>'ANALISIS COSTOS'!N20</f>
        <v>2286.3333333333335</v>
      </c>
      <c r="D26" s="13">
        <f>'ANALISIS COSTOS'!Q20</f>
        <v>2286.3333333333335</v>
      </c>
      <c r="E26" s="13">
        <f>'ANALISIS COSTOS'!R20</f>
        <v>2286.3333333333335</v>
      </c>
      <c r="F26" s="13">
        <f>'ANALISIS COSTOS'!S20</f>
        <v>653</v>
      </c>
      <c r="G26" s="13">
        <f>'ANALISIS COSTOS'!T20</f>
        <v>653</v>
      </c>
    </row>
    <row r="27" spans="1:7" ht="15">
      <c r="A27" s="70" t="s">
        <v>229</v>
      </c>
      <c r="B27" s="13"/>
      <c r="C27" s="13">
        <f>'ANALISIS COSTOS'!N21</f>
        <v>704.4000000000001</v>
      </c>
      <c r="D27" s="13">
        <f>'ANALISIS COSTOS'!Q21</f>
        <v>704.4000000000001</v>
      </c>
      <c r="E27" s="13">
        <f>'ANALISIS COSTOS'!R21</f>
        <v>704.4000000000001</v>
      </c>
      <c r="F27" s="13">
        <f>'ANALISIS COSTOS'!S21</f>
        <v>704.4000000000001</v>
      </c>
      <c r="G27" s="13">
        <f>'ANALISIS COSTOS'!T21</f>
        <v>704.4000000000001</v>
      </c>
    </row>
    <row r="28" spans="1:7" ht="15">
      <c r="A28" s="84" t="s">
        <v>230</v>
      </c>
      <c r="B28" s="83"/>
      <c r="C28" s="83">
        <f>C25+C26+C27</f>
        <v>12337.351134096629</v>
      </c>
      <c r="D28" s="83">
        <f>D25+D26+D27</f>
        <v>7746.350382660206</v>
      </c>
      <c r="E28" s="83">
        <f>E25+E26+E27</f>
        <v>8082.474266399988</v>
      </c>
      <c r="F28" s="83">
        <f>F25+F26+F27</f>
        <v>7699.714657055989</v>
      </c>
      <c r="G28" s="83">
        <f>G25+G26+G27</f>
        <v>5293.917496671569</v>
      </c>
    </row>
    <row r="29" spans="1:7" ht="15">
      <c r="A29" s="70"/>
      <c r="B29" s="13"/>
      <c r="C29" s="13"/>
      <c r="D29" s="13"/>
      <c r="E29" s="13"/>
      <c r="F29" s="13"/>
      <c r="G29" s="13"/>
    </row>
    <row r="30" spans="1:7" ht="15">
      <c r="A30" s="71" t="s">
        <v>231</v>
      </c>
      <c r="B30" s="44">
        <f>-B7</f>
        <v>-12000</v>
      </c>
      <c r="C30" s="44">
        <f>C28</f>
        <v>12337.351134096629</v>
      </c>
      <c r="D30" s="44">
        <f>D28</f>
        <v>7746.350382660206</v>
      </c>
      <c r="E30" s="44">
        <f>E28</f>
        <v>8082.474266399988</v>
      </c>
      <c r="F30" s="44">
        <f>F28</f>
        <v>7699.714657055989</v>
      </c>
      <c r="G30" s="44">
        <f>G28</f>
        <v>5293.917496671569</v>
      </c>
    </row>
    <row r="31" spans="1:7" ht="15">
      <c r="A31" s="70"/>
      <c r="B31" s="13">
        <f>B30</f>
        <v>-12000</v>
      </c>
      <c r="C31" s="13">
        <f>B31+C30</f>
        <v>337.3511340966288</v>
      </c>
      <c r="D31" s="13">
        <f>C31+D30</f>
        <v>8083.701516756835</v>
      </c>
      <c r="E31" s="13">
        <f>D31+E30</f>
        <v>16166.175783156823</v>
      </c>
      <c r="F31" s="13">
        <f>E31+F30</f>
        <v>23865.89044021281</v>
      </c>
      <c r="G31" s="13">
        <f>F31+G30</f>
        <v>29159.80793688438</v>
      </c>
    </row>
    <row r="35" spans="1:2" ht="15">
      <c r="A35" s="132" t="s">
        <v>235</v>
      </c>
      <c r="B35" s="133"/>
    </row>
    <row r="36" spans="1:2" ht="15">
      <c r="A36" s="70" t="s">
        <v>236</v>
      </c>
      <c r="B36" s="134">
        <f>-B30</f>
        <v>12000</v>
      </c>
    </row>
    <row r="37" spans="1:2" ht="15">
      <c r="A37" s="70" t="s">
        <v>237</v>
      </c>
      <c r="B37" s="134">
        <v>0.2</v>
      </c>
    </row>
    <row r="38" spans="1:2" ht="15">
      <c r="A38" s="70" t="s">
        <v>238</v>
      </c>
      <c r="B38" s="134">
        <f>B30+(C30/(1+B37/100)^1)+(D30/(1+B37/100)^2)+(E30/(1+B37/100)^3)+(F30/(1+B37/100)^4)+(G30/(1+B37/100)^5)</f>
        <v>28942.074309415984</v>
      </c>
    </row>
    <row r="39" spans="1:2" ht="15">
      <c r="A39" s="70" t="s">
        <v>239</v>
      </c>
      <c r="B39" s="135">
        <f>IRR(B30:G30)</f>
        <v>0.7691217463259995</v>
      </c>
    </row>
    <row r="40" spans="1:3" ht="15">
      <c r="A40" s="70" t="s">
        <v>240</v>
      </c>
      <c r="B40" s="134">
        <f>(1+(-C31/D30))</f>
        <v>0.9564503130594543</v>
      </c>
      <c r="C40" s="5" t="s">
        <v>241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29.8515625" style="2" customWidth="1"/>
    <col min="2" max="14" width="11.421875" style="6" customWidth="1"/>
    <col min="15" max="16384" width="11.421875" style="2" customWidth="1"/>
  </cols>
  <sheetData>
    <row r="1" ht="18.75">
      <c r="A1" s="40" t="s">
        <v>0</v>
      </c>
    </row>
    <row r="2" ht="18.75">
      <c r="A2" s="40" t="s">
        <v>166</v>
      </c>
    </row>
    <row r="5" spans="1:18" ht="15.75">
      <c r="A5" s="130" t="s">
        <v>112</v>
      </c>
      <c r="B5" s="35" t="s">
        <v>20</v>
      </c>
      <c r="C5" s="35" t="s">
        <v>21</v>
      </c>
      <c r="D5" s="35" t="s">
        <v>22</v>
      </c>
      <c r="E5" s="35" t="s">
        <v>23</v>
      </c>
      <c r="F5" s="35" t="s">
        <v>24</v>
      </c>
      <c r="G5" s="35" t="s">
        <v>25</v>
      </c>
      <c r="H5" s="35" t="s">
        <v>26</v>
      </c>
      <c r="I5" s="35" t="s">
        <v>27</v>
      </c>
      <c r="J5" s="35" t="s">
        <v>28</v>
      </c>
      <c r="K5" s="35" t="s">
        <v>29</v>
      </c>
      <c r="L5" s="35" t="s">
        <v>30</v>
      </c>
      <c r="M5" s="35" t="s">
        <v>31</v>
      </c>
      <c r="N5" s="35" t="s">
        <v>40</v>
      </c>
      <c r="O5" s="129" t="s">
        <v>113</v>
      </c>
      <c r="P5" s="131" t="s">
        <v>114</v>
      </c>
      <c r="Q5" s="126" t="s">
        <v>115</v>
      </c>
      <c r="R5" s="126" t="s">
        <v>116</v>
      </c>
    </row>
    <row r="6" spans="1:18" ht="15">
      <c r="A6" s="85" t="s">
        <v>167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41"/>
      <c r="O6" s="73"/>
      <c r="P6" s="73"/>
      <c r="Q6" s="73"/>
      <c r="R6" s="73"/>
    </row>
    <row r="7" spans="1:18" ht="15">
      <c r="A7" s="13" t="str">
        <f>'ANALISIS COSTOS'!A57</f>
        <v>TRAMITES SOCIETARIOS:</v>
      </c>
      <c r="B7" s="13">
        <f>'ANALISIS COSTOS'!B61</f>
        <v>240</v>
      </c>
      <c r="C7" s="13">
        <f>'ANALISIS COSTOS'!C61</f>
        <v>240</v>
      </c>
      <c r="D7" s="13">
        <f>'ANALISIS COSTOS'!D61</f>
        <v>240</v>
      </c>
      <c r="E7" s="13">
        <f>'ANALISIS COSTOS'!E61</f>
        <v>240</v>
      </c>
      <c r="F7" s="13">
        <f>'ANALISIS COSTOS'!F61</f>
        <v>240</v>
      </c>
      <c r="G7" s="13">
        <f>'ANALISIS COSTOS'!G61</f>
        <v>240</v>
      </c>
      <c r="H7" s="13">
        <f>'ANALISIS COSTOS'!H61</f>
        <v>240</v>
      </c>
      <c r="I7" s="13">
        <f>'ANALISIS COSTOS'!I61</f>
        <v>240</v>
      </c>
      <c r="J7" s="13">
        <f>'ANALISIS COSTOS'!J61</f>
        <v>240</v>
      </c>
      <c r="K7" s="13">
        <f>'ANALISIS COSTOS'!K61</f>
        <v>240</v>
      </c>
      <c r="L7" s="13">
        <f>'ANALISIS COSTOS'!L61</f>
        <v>240</v>
      </c>
      <c r="M7" s="13">
        <f>'ANALISIS COSTOS'!M61</f>
        <v>240</v>
      </c>
      <c r="N7" s="41">
        <f>SUM(B7:M7)</f>
        <v>2880</v>
      </c>
      <c r="O7" s="74">
        <f>'ANALISIS COSTOS'!Q61</f>
        <v>2995.2</v>
      </c>
      <c r="P7" s="74">
        <f>'ANALISIS COSTOS'!R61</f>
        <v>3115.0080000000003</v>
      </c>
      <c r="Q7" s="74">
        <f>'ANALISIS COSTOS'!S61</f>
        <v>3239.6083200000003</v>
      </c>
      <c r="R7" s="74">
        <f>'ANALISIS COSTOS'!T61</f>
        <v>3369.1926528000004</v>
      </c>
    </row>
    <row r="8" spans="1:18" ht="15">
      <c r="A8" s="13" t="str">
        <f>'ANALISIS COSTOS'!A63</f>
        <v>TRAMITES ADUANEROS:</v>
      </c>
      <c r="B8" s="13">
        <f>'ANALISIS COSTOS'!B66</f>
        <v>2100</v>
      </c>
      <c r="C8" s="13">
        <f>'ANALISIS COSTOS'!C66</f>
        <v>2100</v>
      </c>
      <c r="D8" s="13">
        <f>'ANALISIS COSTOS'!D66</f>
        <v>2100</v>
      </c>
      <c r="E8" s="13">
        <f>'ANALISIS COSTOS'!E66</f>
        <v>2100</v>
      </c>
      <c r="F8" s="13">
        <f>'ANALISIS COSTOS'!F66</f>
        <v>2100</v>
      </c>
      <c r="G8" s="13">
        <f>'ANALISIS COSTOS'!G66</f>
        <v>2100</v>
      </c>
      <c r="H8" s="13">
        <f>'ANALISIS COSTOS'!H66</f>
        <v>2100</v>
      </c>
      <c r="I8" s="13">
        <f>'ANALISIS COSTOS'!I66</f>
        <v>2100</v>
      </c>
      <c r="J8" s="13">
        <f>'ANALISIS COSTOS'!J66</f>
        <v>2100</v>
      </c>
      <c r="K8" s="13">
        <f>'ANALISIS COSTOS'!K66</f>
        <v>2100</v>
      </c>
      <c r="L8" s="13">
        <f>'ANALISIS COSTOS'!L66</f>
        <v>2100</v>
      </c>
      <c r="M8" s="13">
        <f>'ANALISIS COSTOS'!M66</f>
        <v>2100</v>
      </c>
      <c r="N8" s="41">
        <f>SUM(B8:M8)</f>
        <v>25200</v>
      </c>
      <c r="O8" s="74">
        <f>'ANALISIS COSTOS'!Q66</f>
        <v>26208</v>
      </c>
      <c r="P8" s="74">
        <f>'ANALISIS COSTOS'!R66</f>
        <v>27256.32</v>
      </c>
      <c r="Q8" s="74">
        <f>'ANALISIS COSTOS'!S66</f>
        <v>28346.5728</v>
      </c>
      <c r="R8" s="74">
        <f>'ANALISIS COSTOS'!T66</f>
        <v>29480.435712000006</v>
      </c>
    </row>
    <row r="9" spans="1:18" ht="15">
      <c r="A9" s="13" t="str">
        <f>'ANALISIS COSTOS'!A68</f>
        <v>SERVICIO CONTABLE:</v>
      </c>
      <c r="B9" s="13">
        <f>'ANALISIS COSTOS'!B76</f>
        <v>3480</v>
      </c>
      <c r="C9" s="13">
        <f>'ANALISIS COSTOS'!C76</f>
        <v>3480</v>
      </c>
      <c r="D9" s="13">
        <f>'ANALISIS COSTOS'!D76</f>
        <v>3480</v>
      </c>
      <c r="E9" s="13">
        <f>'ANALISIS COSTOS'!E76</f>
        <v>3480</v>
      </c>
      <c r="F9" s="13">
        <f>'ANALISIS COSTOS'!F76</f>
        <v>3480</v>
      </c>
      <c r="G9" s="13">
        <f>'ANALISIS COSTOS'!G76</f>
        <v>3480</v>
      </c>
      <c r="H9" s="13">
        <f>'ANALISIS COSTOS'!H76</f>
        <v>3480</v>
      </c>
      <c r="I9" s="13">
        <f>'ANALISIS COSTOS'!I76</f>
        <v>3480</v>
      </c>
      <c r="J9" s="13">
        <f>'ANALISIS COSTOS'!J76</f>
        <v>3480</v>
      </c>
      <c r="K9" s="13">
        <f>'ANALISIS COSTOS'!K76</f>
        <v>3480</v>
      </c>
      <c r="L9" s="13">
        <f>'ANALISIS COSTOS'!L76</f>
        <v>3480</v>
      </c>
      <c r="M9" s="13">
        <f>'ANALISIS COSTOS'!M76</f>
        <v>3480</v>
      </c>
      <c r="N9" s="41">
        <f>SUM(B9:M9)</f>
        <v>41760</v>
      </c>
      <c r="O9" s="74">
        <f>'ANALISIS COSTOS'!Q76</f>
        <v>43430.40000000001</v>
      </c>
      <c r="P9" s="74">
        <f>'ANALISIS COSTOS'!R76</f>
        <v>45167.616</v>
      </c>
      <c r="Q9" s="74">
        <f>'ANALISIS COSTOS'!S76</f>
        <v>46974.32064</v>
      </c>
      <c r="R9" s="74">
        <f>'ANALISIS COSTOS'!T76</f>
        <v>48853.29346560001</v>
      </c>
    </row>
    <row r="10" spans="1:18" ht="15">
      <c r="A10" s="70"/>
      <c r="B10" s="83">
        <f>SUM(B7:B9)</f>
        <v>5820</v>
      </c>
      <c r="C10" s="83">
        <f aca="true" t="shared" si="0" ref="C10:N10">SUM(C7:C9)</f>
        <v>5820</v>
      </c>
      <c r="D10" s="83">
        <f t="shared" si="0"/>
        <v>5820</v>
      </c>
      <c r="E10" s="83">
        <f t="shared" si="0"/>
        <v>5820</v>
      </c>
      <c r="F10" s="83">
        <f t="shared" si="0"/>
        <v>5820</v>
      </c>
      <c r="G10" s="83">
        <f t="shared" si="0"/>
        <v>5820</v>
      </c>
      <c r="H10" s="83">
        <f t="shared" si="0"/>
        <v>5820</v>
      </c>
      <c r="I10" s="83">
        <f t="shared" si="0"/>
        <v>5820</v>
      </c>
      <c r="J10" s="83">
        <f t="shared" si="0"/>
        <v>5820</v>
      </c>
      <c r="K10" s="83">
        <f t="shared" si="0"/>
        <v>5820</v>
      </c>
      <c r="L10" s="83">
        <f t="shared" si="0"/>
        <v>5820</v>
      </c>
      <c r="M10" s="83">
        <f t="shared" si="0"/>
        <v>5820</v>
      </c>
      <c r="N10" s="42">
        <f t="shared" si="0"/>
        <v>69840</v>
      </c>
      <c r="O10" s="75">
        <f>SUM(O7:O9)</f>
        <v>72633.6</v>
      </c>
      <c r="P10" s="75">
        <f>SUM(P7:P9)</f>
        <v>75538.944</v>
      </c>
      <c r="Q10" s="75">
        <f>SUM(Q7:Q9)</f>
        <v>78560.50176</v>
      </c>
      <c r="R10" s="75">
        <f>SUM(R7:R9)</f>
        <v>81702.92183040001</v>
      </c>
    </row>
    <row r="11" spans="1:18" ht="15">
      <c r="A11" s="70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41"/>
      <c r="O11" s="73"/>
      <c r="P11" s="73"/>
      <c r="Q11" s="73"/>
      <c r="R11" s="73"/>
    </row>
    <row r="12" spans="1:18" ht="15">
      <c r="A12" s="85" t="s">
        <v>168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41"/>
      <c r="O12" s="73"/>
      <c r="P12" s="73"/>
      <c r="Q12" s="73"/>
      <c r="R12" s="73"/>
    </row>
    <row r="13" spans="1:18" ht="15">
      <c r="A13" s="70" t="s">
        <v>149</v>
      </c>
      <c r="B13" s="13">
        <f>'ANALISIS COSTOS'!B22</f>
        <v>3943.2944444444443</v>
      </c>
      <c r="C13" s="13">
        <f>'ANALISIS COSTOS'!C22</f>
        <v>3841.9129566461156</v>
      </c>
      <c r="D13" s="13">
        <f>'ANALISIS COSTOS'!D22</f>
        <v>3840.527151698417</v>
      </c>
      <c r="E13" s="13">
        <f>'ANALISIS COSTOS'!E22</f>
        <v>3839.137016110257</v>
      </c>
      <c r="F13" s="13">
        <f>'ANALISIS COSTOS'!F22</f>
        <v>3837.742536348384</v>
      </c>
      <c r="G13" s="13">
        <f>'ANALISIS COSTOS'!G22</f>
        <v>3836.343698837255</v>
      </c>
      <c r="H13" s="13">
        <f>'ANALISIS COSTOS'!H22</f>
        <v>3834.9404899589035</v>
      </c>
      <c r="I13" s="13">
        <f>'ANALISIS COSTOS'!I22</f>
        <v>3833.5328960528077</v>
      </c>
      <c r="J13" s="13">
        <f>'ANALISIS COSTOS'!J22</f>
        <v>3832.120903415755</v>
      </c>
      <c r="K13" s="13">
        <f>'ANALISIS COSTOS'!K22</f>
        <v>3830.7044983017117</v>
      </c>
      <c r="L13" s="13">
        <f>'ANALISIS COSTOS'!L22</f>
        <v>3829.2836669216867</v>
      </c>
      <c r="M13" s="13">
        <f>'ANALISIS COSTOS'!M22</f>
        <v>3827.8583954435994</v>
      </c>
      <c r="N13" s="41">
        <f>SUM(B13:M13)</f>
        <v>46127.398654179335</v>
      </c>
      <c r="O13" s="74">
        <f>'ANALISIS COSTOS'!Q22</f>
        <v>52073.60630365232</v>
      </c>
      <c r="P13" s="74">
        <f>'ANALISIS COSTOS'!R22</f>
        <v>53911.34181333335</v>
      </c>
      <c r="Q13" s="74">
        <f>'ANALISIS COSTOS'!S22</f>
        <v>54308.29281920001</v>
      </c>
      <c r="R13" s="74">
        <f>'ANALISIS COSTOS'!T22</f>
        <v>60950.35519863467</v>
      </c>
    </row>
    <row r="14" spans="1:18" ht="15">
      <c r="A14" s="70" t="s">
        <v>151</v>
      </c>
      <c r="B14" s="13">
        <f>'ANALISIS COSTOS'!B28</f>
        <v>667</v>
      </c>
      <c r="C14" s="13">
        <f>'ANALISIS COSTOS'!C28</f>
        <v>667</v>
      </c>
      <c r="D14" s="13">
        <f>'ANALISIS COSTOS'!D28</f>
        <v>667</v>
      </c>
      <c r="E14" s="13">
        <f>'ANALISIS COSTOS'!E28</f>
        <v>667</v>
      </c>
      <c r="F14" s="13">
        <f>'ANALISIS COSTOS'!F28</f>
        <v>667</v>
      </c>
      <c r="G14" s="13">
        <f>'ANALISIS COSTOS'!G28</f>
        <v>667</v>
      </c>
      <c r="H14" s="13">
        <f>'ANALISIS COSTOS'!H28</f>
        <v>667</v>
      </c>
      <c r="I14" s="13">
        <f>'ANALISIS COSTOS'!I28</f>
        <v>667</v>
      </c>
      <c r="J14" s="13">
        <f>'ANALISIS COSTOS'!J28</f>
        <v>667</v>
      </c>
      <c r="K14" s="13">
        <f>'ANALISIS COSTOS'!K28</f>
        <v>667</v>
      </c>
      <c r="L14" s="13">
        <f>'ANALISIS COSTOS'!L28</f>
        <v>667</v>
      </c>
      <c r="M14" s="13">
        <f>'ANALISIS COSTOS'!M28</f>
        <v>667</v>
      </c>
      <c r="N14" s="41">
        <f>SUM(B14:M14)</f>
        <v>8004</v>
      </c>
      <c r="O14" s="74">
        <f>'ANALISIS COSTOS'!Q28</f>
        <v>12567.36</v>
      </c>
      <c r="P14" s="74">
        <f>'ANALISIS COSTOS'!R28</f>
        <v>13070.0544</v>
      </c>
      <c r="Q14" s="74">
        <f>'ANALISIS COSTOS'!S28</f>
        <v>13592.856576</v>
      </c>
      <c r="R14" s="74">
        <f>'ANALISIS COSTOS'!T28</f>
        <v>14136.570839040003</v>
      </c>
    </row>
    <row r="15" spans="1:18" ht="15">
      <c r="A15" s="70"/>
      <c r="B15" s="83">
        <f>SUM(B13:B14)</f>
        <v>4610.294444444444</v>
      </c>
      <c r="C15" s="83">
        <f aca="true" t="shared" si="1" ref="C15:N15">SUM(C13:C14)</f>
        <v>4508.912956646116</v>
      </c>
      <c r="D15" s="83">
        <f t="shared" si="1"/>
        <v>4507.527151698418</v>
      </c>
      <c r="E15" s="83">
        <f t="shared" si="1"/>
        <v>4506.137016110257</v>
      </c>
      <c r="F15" s="83">
        <f t="shared" si="1"/>
        <v>4504.7425363483835</v>
      </c>
      <c r="G15" s="83">
        <f t="shared" si="1"/>
        <v>4503.343698837255</v>
      </c>
      <c r="H15" s="83">
        <f t="shared" si="1"/>
        <v>4501.9404899589035</v>
      </c>
      <c r="I15" s="83">
        <f t="shared" si="1"/>
        <v>4500.532896052808</v>
      </c>
      <c r="J15" s="83">
        <f t="shared" si="1"/>
        <v>4499.120903415755</v>
      </c>
      <c r="K15" s="83">
        <f t="shared" si="1"/>
        <v>4497.704498301711</v>
      </c>
      <c r="L15" s="83">
        <f t="shared" si="1"/>
        <v>4496.283666921687</v>
      </c>
      <c r="M15" s="83">
        <f t="shared" si="1"/>
        <v>4494.8583954436</v>
      </c>
      <c r="N15" s="42">
        <f t="shared" si="1"/>
        <v>54131.398654179335</v>
      </c>
      <c r="O15" s="75">
        <f>SUM(O13:O14)</f>
        <v>64640.96630365232</v>
      </c>
      <c r="P15" s="75">
        <f>SUM(P13:P14)</f>
        <v>66981.39621333336</v>
      </c>
      <c r="Q15" s="75">
        <f>SUM(Q13:Q14)</f>
        <v>67901.14939520002</v>
      </c>
      <c r="R15" s="75">
        <f>SUM(R13:R14)</f>
        <v>75086.92603767468</v>
      </c>
    </row>
    <row r="16" spans="1:18" ht="15">
      <c r="A16" s="70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41"/>
      <c r="O16" s="73"/>
      <c r="P16" s="73"/>
      <c r="Q16" s="73"/>
      <c r="R16" s="73"/>
    </row>
    <row r="17" spans="1:18" ht="15">
      <c r="A17" s="85" t="s">
        <v>169</v>
      </c>
      <c r="B17" s="83">
        <f>B10-B15</f>
        <v>1209.7055555555562</v>
      </c>
      <c r="C17" s="83">
        <f aca="true" t="shared" si="2" ref="C17:M17">C10-C15</f>
        <v>1311.087043353884</v>
      </c>
      <c r="D17" s="83">
        <f t="shared" si="2"/>
        <v>1312.4728483015824</v>
      </c>
      <c r="E17" s="83">
        <f t="shared" si="2"/>
        <v>1313.8629838897432</v>
      </c>
      <c r="F17" s="83">
        <f t="shared" si="2"/>
        <v>1315.2574636516165</v>
      </c>
      <c r="G17" s="83">
        <f t="shared" si="2"/>
        <v>1316.656301162745</v>
      </c>
      <c r="H17" s="83">
        <f t="shared" si="2"/>
        <v>1318.0595100410965</v>
      </c>
      <c r="I17" s="83">
        <f t="shared" si="2"/>
        <v>1319.4671039471923</v>
      </c>
      <c r="J17" s="83">
        <f t="shared" si="2"/>
        <v>1320.8790965842454</v>
      </c>
      <c r="K17" s="83">
        <f t="shared" si="2"/>
        <v>1322.2955016982887</v>
      </c>
      <c r="L17" s="83">
        <f t="shared" si="2"/>
        <v>1323.7163330783133</v>
      </c>
      <c r="M17" s="83">
        <f t="shared" si="2"/>
        <v>1325.1416045564001</v>
      </c>
      <c r="N17" s="42">
        <f>N10-N15</f>
        <v>15708.601345820665</v>
      </c>
      <c r="O17" s="75">
        <f>O10-O15</f>
        <v>7992.633696347686</v>
      </c>
      <c r="P17" s="75">
        <f>P10-P15</f>
        <v>8557.547786666648</v>
      </c>
      <c r="Q17" s="75">
        <f>Q10-Q15</f>
        <v>10659.352364799983</v>
      </c>
      <c r="R17" s="75">
        <f>R10-R15</f>
        <v>6615.995792725327</v>
      </c>
    </row>
    <row r="18" spans="1:18" s="88" customFormat="1" ht="15">
      <c r="A18" s="86" t="s">
        <v>170</v>
      </c>
      <c r="B18" s="87">
        <f>B17*0.15</f>
        <v>181.45583333333343</v>
      </c>
      <c r="C18" s="87">
        <f aca="true" t="shared" si="3" ref="C18:N18">C17*0.15</f>
        <v>196.66305650308257</v>
      </c>
      <c r="D18" s="87">
        <f t="shared" si="3"/>
        <v>196.87092724523737</v>
      </c>
      <c r="E18" s="87">
        <f t="shared" si="3"/>
        <v>197.07944758346147</v>
      </c>
      <c r="F18" s="87">
        <f t="shared" si="3"/>
        <v>197.28861954774246</v>
      </c>
      <c r="G18" s="87">
        <f t="shared" si="3"/>
        <v>197.49844517441173</v>
      </c>
      <c r="H18" s="87">
        <f t="shared" si="3"/>
        <v>197.70892650616446</v>
      </c>
      <c r="I18" s="87">
        <f t="shared" si="3"/>
        <v>197.92006559207883</v>
      </c>
      <c r="J18" s="87">
        <f t="shared" si="3"/>
        <v>198.13186448763682</v>
      </c>
      <c r="K18" s="87">
        <f t="shared" si="3"/>
        <v>198.3443252547433</v>
      </c>
      <c r="L18" s="87">
        <f t="shared" si="3"/>
        <v>198.55744996174698</v>
      </c>
      <c r="M18" s="87">
        <f t="shared" si="3"/>
        <v>198.77124068346</v>
      </c>
      <c r="N18" s="78">
        <f t="shared" si="3"/>
        <v>2356.2902018730997</v>
      </c>
      <c r="O18" s="76">
        <f>O17*0.15</f>
        <v>1198.8950544521529</v>
      </c>
      <c r="P18" s="76">
        <f>P17*0.15</f>
        <v>1283.6321679999971</v>
      </c>
      <c r="Q18" s="76">
        <f>Q17*0.15</f>
        <v>1598.9028547199973</v>
      </c>
      <c r="R18" s="76">
        <f>R17*0.15</f>
        <v>992.399368908799</v>
      </c>
    </row>
    <row r="19" spans="1:18" ht="15">
      <c r="A19" s="85" t="s">
        <v>171</v>
      </c>
      <c r="B19" s="83">
        <f>B17-B18</f>
        <v>1028.2497222222228</v>
      </c>
      <c r="C19" s="83">
        <f aca="true" t="shared" si="4" ref="C19:N19">C17-C18</f>
        <v>1114.4239868508014</v>
      </c>
      <c r="D19" s="83">
        <f t="shared" si="4"/>
        <v>1115.601921056345</v>
      </c>
      <c r="E19" s="83">
        <f t="shared" si="4"/>
        <v>1116.7835363062818</v>
      </c>
      <c r="F19" s="83">
        <f t="shared" si="4"/>
        <v>1117.968844103874</v>
      </c>
      <c r="G19" s="83">
        <f t="shared" si="4"/>
        <v>1119.1578559883333</v>
      </c>
      <c r="H19" s="83">
        <f t="shared" si="4"/>
        <v>1120.350583534932</v>
      </c>
      <c r="I19" s="83">
        <f t="shared" si="4"/>
        <v>1121.5470383551135</v>
      </c>
      <c r="J19" s="83">
        <f t="shared" si="4"/>
        <v>1122.7472320966085</v>
      </c>
      <c r="K19" s="83">
        <f t="shared" si="4"/>
        <v>1123.9511764435454</v>
      </c>
      <c r="L19" s="83">
        <f t="shared" si="4"/>
        <v>1125.1588831165664</v>
      </c>
      <c r="M19" s="83">
        <f t="shared" si="4"/>
        <v>1126.37036387294</v>
      </c>
      <c r="N19" s="42">
        <f t="shared" si="4"/>
        <v>13352.311143947565</v>
      </c>
      <c r="O19" s="75">
        <f>O17-O18</f>
        <v>6793.738641895533</v>
      </c>
      <c r="P19" s="75">
        <f>P17-P18</f>
        <v>7273.9156186666505</v>
      </c>
      <c r="Q19" s="75">
        <f>Q17-Q18</f>
        <v>9060.449510079985</v>
      </c>
      <c r="R19" s="75">
        <f>R17-R18</f>
        <v>5623.596423816528</v>
      </c>
    </row>
    <row r="20" spans="1:18" ht="15">
      <c r="A20" s="70" t="s">
        <v>172</v>
      </c>
      <c r="B20" s="13">
        <f>B19*0.25</f>
        <v>257.0624305555557</v>
      </c>
      <c r="C20" s="13">
        <f aca="true" t="shared" si="5" ref="C20:N20">C19*0.25</f>
        <v>278.60599671270035</v>
      </c>
      <c r="D20" s="13">
        <f t="shared" si="5"/>
        <v>278.90048026408624</v>
      </c>
      <c r="E20" s="13">
        <f t="shared" si="5"/>
        <v>279.19588407657045</v>
      </c>
      <c r="F20" s="13">
        <f t="shared" si="5"/>
        <v>279.4922110259685</v>
      </c>
      <c r="G20" s="13">
        <f t="shared" si="5"/>
        <v>279.7894639970833</v>
      </c>
      <c r="H20" s="13">
        <f t="shared" si="5"/>
        <v>280.087645883733</v>
      </c>
      <c r="I20" s="13">
        <f t="shared" si="5"/>
        <v>280.3867595887784</v>
      </c>
      <c r="J20" s="13">
        <f t="shared" si="5"/>
        <v>280.6868080241521</v>
      </c>
      <c r="K20" s="13">
        <f t="shared" si="5"/>
        <v>280.98779411088634</v>
      </c>
      <c r="L20" s="13">
        <f t="shared" si="5"/>
        <v>281.2897207791416</v>
      </c>
      <c r="M20" s="13">
        <f t="shared" si="5"/>
        <v>281.592590968235</v>
      </c>
      <c r="N20" s="41">
        <f t="shared" si="5"/>
        <v>3338.0777859868913</v>
      </c>
      <c r="O20" s="74">
        <f>O19*0.25</f>
        <v>1698.4346604738832</v>
      </c>
      <c r="P20" s="74">
        <f>P19*0.25</f>
        <v>1818.4789046666626</v>
      </c>
      <c r="Q20" s="74">
        <f>Q19*0.25</f>
        <v>2265.1123775199962</v>
      </c>
      <c r="R20" s="74">
        <f>R19*0.25</f>
        <v>1405.899105954132</v>
      </c>
    </row>
    <row r="21" spans="1:18" ht="15">
      <c r="A21" s="70" t="s">
        <v>173</v>
      </c>
      <c r="B21" s="13">
        <f>B19*0.05</f>
        <v>51.41248611111114</v>
      </c>
      <c r="C21" s="13">
        <f aca="true" t="shared" si="6" ref="C21:M21">C19*0.05</f>
        <v>55.721199342540075</v>
      </c>
      <c r="D21" s="13">
        <f t="shared" si="6"/>
        <v>55.78009605281725</v>
      </c>
      <c r="E21" s="13">
        <f t="shared" si="6"/>
        <v>55.83917681531409</v>
      </c>
      <c r="F21" s="13">
        <f t="shared" si="6"/>
        <v>55.8984422051937</v>
      </c>
      <c r="G21" s="13">
        <f t="shared" si="6"/>
        <v>55.95789279941667</v>
      </c>
      <c r="H21" s="13">
        <f t="shared" si="6"/>
        <v>56.0175291767466</v>
      </c>
      <c r="I21" s="13">
        <f t="shared" si="6"/>
        <v>56.07735191775568</v>
      </c>
      <c r="J21" s="13">
        <f t="shared" si="6"/>
        <v>56.13736160483043</v>
      </c>
      <c r="K21" s="13">
        <f t="shared" si="6"/>
        <v>56.19755882217727</v>
      </c>
      <c r="L21" s="13">
        <f t="shared" si="6"/>
        <v>56.25794415582832</v>
      </c>
      <c r="M21" s="13">
        <f t="shared" si="6"/>
        <v>56.31851819364701</v>
      </c>
      <c r="N21" s="41">
        <f>N19*0.05</f>
        <v>667.6155571973783</v>
      </c>
      <c r="O21" s="74">
        <f>O19*0.05</f>
        <v>339.6869320947767</v>
      </c>
      <c r="P21" s="74">
        <f>P19*0.05</f>
        <v>363.69578093333257</v>
      </c>
      <c r="Q21" s="74">
        <f>Q19*0.05</f>
        <v>453.02247550399926</v>
      </c>
      <c r="R21" s="74">
        <f>R19*0.05</f>
        <v>281.17982119082643</v>
      </c>
    </row>
    <row r="22" spans="1:18" ht="15">
      <c r="A22" s="70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41"/>
      <c r="O22" s="74"/>
      <c r="P22" s="74"/>
      <c r="Q22" s="74"/>
      <c r="R22" s="74"/>
    </row>
    <row r="23" spans="1:18" ht="15">
      <c r="A23" s="84" t="s">
        <v>174</v>
      </c>
      <c r="B23" s="83">
        <f>B19-B20-B21</f>
        <v>719.774805555556</v>
      </c>
      <c r="C23" s="83">
        <f aca="true" t="shared" si="7" ref="C23:M23">C19-C20-C21</f>
        <v>780.096790795561</v>
      </c>
      <c r="D23" s="83">
        <f t="shared" si="7"/>
        <v>780.9213447394415</v>
      </c>
      <c r="E23" s="83">
        <f t="shared" si="7"/>
        <v>781.7484754143973</v>
      </c>
      <c r="F23" s="83">
        <f t="shared" si="7"/>
        <v>782.5781908727117</v>
      </c>
      <c r="G23" s="83">
        <f t="shared" si="7"/>
        <v>783.4104991918333</v>
      </c>
      <c r="H23" s="83">
        <f t="shared" si="7"/>
        <v>784.2454084744523</v>
      </c>
      <c r="I23" s="83">
        <f t="shared" si="7"/>
        <v>785.0829268485794</v>
      </c>
      <c r="J23" s="83">
        <f t="shared" si="7"/>
        <v>785.923062467626</v>
      </c>
      <c r="K23" s="83">
        <f t="shared" si="7"/>
        <v>786.7658235104817</v>
      </c>
      <c r="L23" s="83">
        <f t="shared" si="7"/>
        <v>787.6112181815964</v>
      </c>
      <c r="M23" s="83">
        <f t="shared" si="7"/>
        <v>788.459254711058</v>
      </c>
      <c r="N23" s="42">
        <f>N19-N20-N21</f>
        <v>9346.617800763297</v>
      </c>
      <c r="O23" s="75">
        <f>O19-O20-O21</f>
        <v>4755.617049326873</v>
      </c>
      <c r="P23" s="75">
        <f>P19-P20-P21</f>
        <v>5091.740933066655</v>
      </c>
      <c r="Q23" s="75">
        <f>Q19-Q20-Q21</f>
        <v>6342.31465705599</v>
      </c>
      <c r="R23" s="75">
        <f>R19-R20-R21</f>
        <v>3936.5174966715695</v>
      </c>
    </row>
    <row r="24" spans="1:18" ht="15">
      <c r="A24" s="70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41"/>
      <c r="O24" s="73"/>
      <c r="P24" s="73"/>
      <c r="Q24" s="73"/>
      <c r="R24" s="7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7">
      <selection activeCell="E24" sqref="E24"/>
    </sheetView>
  </sheetViews>
  <sheetFormatPr defaultColWidth="11.421875" defaultRowHeight="15"/>
  <cols>
    <col min="1" max="1" width="31.7109375" style="2" customWidth="1"/>
    <col min="2" max="13" width="11.421875" style="6" customWidth="1"/>
    <col min="14" max="16384" width="11.421875" style="2" customWidth="1"/>
  </cols>
  <sheetData>
    <row r="1" ht="18.75">
      <c r="A1" s="40" t="s">
        <v>0</v>
      </c>
    </row>
    <row r="2" ht="18.75">
      <c r="A2" s="40" t="s">
        <v>198</v>
      </c>
    </row>
    <row r="7" spans="1:13" ht="15">
      <c r="A7" s="126" t="s">
        <v>199</v>
      </c>
      <c r="B7" s="35" t="s">
        <v>20</v>
      </c>
      <c r="C7" s="35" t="s">
        <v>21</v>
      </c>
      <c r="D7" s="35" t="s">
        <v>22</v>
      </c>
      <c r="E7" s="35" t="s">
        <v>23</v>
      </c>
      <c r="F7" s="35" t="s">
        <v>24</v>
      </c>
      <c r="G7" s="35" t="s">
        <v>25</v>
      </c>
      <c r="H7" s="35" t="s">
        <v>26</v>
      </c>
      <c r="I7" s="35" t="s">
        <v>27</v>
      </c>
      <c r="J7" s="35" t="s">
        <v>28</v>
      </c>
      <c r="K7" s="35" t="s">
        <v>29</v>
      </c>
      <c r="L7" s="35" t="s">
        <v>30</v>
      </c>
      <c r="M7" s="35" t="s">
        <v>31</v>
      </c>
    </row>
    <row r="8" spans="1:13" ht="15">
      <c r="A8" s="2" t="s">
        <v>200</v>
      </c>
      <c r="B8" s="6">
        <f>'PROY. INGRESOS'!D25</f>
        <v>674.4</v>
      </c>
      <c r="C8" s="6">
        <f>'PROY. INGRESOS'!E25</f>
        <v>674.4</v>
      </c>
      <c r="D8" s="6">
        <f>'PROY. INGRESOS'!F25</f>
        <v>674.4</v>
      </c>
      <c r="E8" s="6">
        <f>'PROY. INGRESOS'!G25</f>
        <v>674.4</v>
      </c>
      <c r="F8" s="6">
        <f>'PROY. INGRESOS'!H25</f>
        <v>674.4</v>
      </c>
      <c r="G8" s="6">
        <f>'PROY. INGRESOS'!I25</f>
        <v>674.4</v>
      </c>
      <c r="H8" s="6">
        <f>'PROY. INGRESOS'!J25</f>
        <v>674.4</v>
      </c>
      <c r="I8" s="6">
        <f>'PROY. INGRESOS'!K25</f>
        <v>674.4</v>
      </c>
      <c r="J8" s="6">
        <f>'PROY. INGRESOS'!L25</f>
        <v>674.4</v>
      </c>
      <c r="K8" s="6">
        <f>'PROY. INGRESOS'!M25</f>
        <v>674.4</v>
      </c>
      <c r="L8" s="6">
        <f>'PROY. INGRESOS'!N25</f>
        <v>674.4</v>
      </c>
      <c r="M8" s="6">
        <f>'PROY. INGRESOS'!O25</f>
        <v>674.4</v>
      </c>
    </row>
    <row r="9" spans="1:13" ht="15">
      <c r="A9" s="2" t="s">
        <v>201</v>
      </c>
      <c r="B9" s="6">
        <f>3081*0.12</f>
        <v>369.71999999999997</v>
      </c>
      <c r="C9" s="6">
        <f aca="true" t="shared" si="0" ref="C9:M9">3081*0.12</f>
        <v>369.71999999999997</v>
      </c>
      <c r="D9" s="6">
        <f t="shared" si="0"/>
        <v>369.71999999999997</v>
      </c>
      <c r="E9" s="6">
        <f t="shared" si="0"/>
        <v>369.71999999999997</v>
      </c>
      <c r="F9" s="6">
        <f t="shared" si="0"/>
        <v>369.71999999999997</v>
      </c>
      <c r="G9" s="6">
        <f t="shared" si="0"/>
        <v>369.71999999999997</v>
      </c>
      <c r="H9" s="6">
        <f t="shared" si="0"/>
        <v>369.71999999999997</v>
      </c>
      <c r="I9" s="6">
        <f t="shared" si="0"/>
        <v>369.71999999999997</v>
      </c>
      <c r="J9" s="6">
        <f t="shared" si="0"/>
        <v>369.71999999999997</v>
      </c>
      <c r="K9" s="6">
        <f t="shared" si="0"/>
        <v>369.71999999999997</v>
      </c>
      <c r="L9" s="6">
        <f t="shared" si="0"/>
        <v>369.71999999999997</v>
      </c>
      <c r="M9" s="6">
        <f t="shared" si="0"/>
        <v>369.71999999999997</v>
      </c>
    </row>
    <row r="10" spans="1:13" ht="15">
      <c r="A10" s="2" t="s">
        <v>203</v>
      </c>
      <c r="B10" s="6">
        <f>B8-B9</f>
        <v>304.68</v>
      </c>
      <c r="C10" s="6">
        <f aca="true" t="shared" si="1" ref="C10:M10">C8-C9</f>
        <v>304.68</v>
      </c>
      <c r="D10" s="6">
        <f t="shared" si="1"/>
        <v>304.68</v>
      </c>
      <c r="E10" s="6">
        <f t="shared" si="1"/>
        <v>304.68</v>
      </c>
      <c r="F10" s="6">
        <f t="shared" si="1"/>
        <v>304.68</v>
      </c>
      <c r="G10" s="6">
        <f t="shared" si="1"/>
        <v>304.68</v>
      </c>
      <c r="H10" s="6">
        <f t="shared" si="1"/>
        <v>304.68</v>
      </c>
      <c r="I10" s="6">
        <f t="shared" si="1"/>
        <v>304.68</v>
      </c>
      <c r="J10" s="6">
        <f t="shared" si="1"/>
        <v>304.68</v>
      </c>
      <c r="K10" s="6">
        <f t="shared" si="1"/>
        <v>304.68</v>
      </c>
      <c r="L10" s="6">
        <f t="shared" si="1"/>
        <v>304.68</v>
      </c>
      <c r="M10" s="6">
        <f t="shared" si="1"/>
        <v>304.68</v>
      </c>
    </row>
    <row r="11" spans="1:13" ht="15">
      <c r="A11" s="2" t="s">
        <v>202</v>
      </c>
      <c r="B11" s="6">
        <f>(1050*0.12)+(13955*0.12*0.7)</f>
        <v>1298.2199999999998</v>
      </c>
      <c r="C11" s="6">
        <f aca="true" t="shared" si="2" ref="C11:M11">(1050*0.12)+(13955*0.12*0.7)</f>
        <v>1298.2199999999998</v>
      </c>
      <c r="D11" s="6">
        <f t="shared" si="2"/>
        <v>1298.2199999999998</v>
      </c>
      <c r="E11" s="6">
        <f t="shared" si="2"/>
        <v>1298.2199999999998</v>
      </c>
      <c r="F11" s="6">
        <f t="shared" si="2"/>
        <v>1298.2199999999998</v>
      </c>
      <c r="G11" s="6">
        <f t="shared" si="2"/>
        <v>1298.2199999999998</v>
      </c>
      <c r="H11" s="6">
        <f t="shared" si="2"/>
        <v>1298.2199999999998</v>
      </c>
      <c r="I11" s="6">
        <f t="shared" si="2"/>
        <v>1298.2199999999998</v>
      </c>
      <c r="J11" s="6">
        <f t="shared" si="2"/>
        <v>1298.2199999999998</v>
      </c>
      <c r="K11" s="6">
        <f t="shared" si="2"/>
        <v>1298.2199999999998</v>
      </c>
      <c r="L11" s="6">
        <f t="shared" si="2"/>
        <v>1298.2199999999998</v>
      </c>
      <c r="M11" s="6">
        <f t="shared" si="2"/>
        <v>1298.2199999999998</v>
      </c>
    </row>
    <row r="12" spans="1:13" ht="15">
      <c r="A12" s="1" t="s">
        <v>204</v>
      </c>
      <c r="B12" s="5">
        <f>+B10-B11</f>
        <v>-993.5399999999997</v>
      </c>
      <c r="C12" s="6">
        <f aca="true" t="shared" si="3" ref="C12:M12">+C10-C11</f>
        <v>-993.5399999999997</v>
      </c>
      <c r="D12" s="6">
        <f t="shared" si="3"/>
        <v>-993.5399999999997</v>
      </c>
      <c r="E12" s="6">
        <f t="shared" si="3"/>
        <v>-993.5399999999997</v>
      </c>
      <c r="F12" s="6">
        <f t="shared" si="3"/>
        <v>-993.5399999999997</v>
      </c>
      <c r="G12" s="6">
        <f t="shared" si="3"/>
        <v>-993.5399999999997</v>
      </c>
      <c r="H12" s="6">
        <f t="shared" si="3"/>
        <v>-993.5399999999997</v>
      </c>
      <c r="I12" s="6">
        <f t="shared" si="3"/>
        <v>-993.5399999999997</v>
      </c>
      <c r="J12" s="6">
        <f t="shared" si="3"/>
        <v>-993.5399999999997</v>
      </c>
      <c r="K12" s="6">
        <f t="shared" si="3"/>
        <v>-993.5399999999997</v>
      </c>
      <c r="L12" s="6">
        <f t="shared" si="3"/>
        <v>-993.5399999999997</v>
      </c>
      <c r="M12" s="6">
        <f t="shared" si="3"/>
        <v>-993.5399999999997</v>
      </c>
    </row>
    <row r="14" spans="1:13" ht="15">
      <c r="A14" s="2" t="s">
        <v>213</v>
      </c>
      <c r="B14" s="6">
        <f>2803.5*0.12</f>
        <v>336.42</v>
      </c>
      <c r="C14" s="6">
        <f aca="true" t="shared" si="4" ref="C14:M14">2803.5*0.12</f>
        <v>336.42</v>
      </c>
      <c r="D14" s="6">
        <f t="shared" si="4"/>
        <v>336.42</v>
      </c>
      <c r="E14" s="6">
        <f t="shared" si="4"/>
        <v>336.42</v>
      </c>
      <c r="F14" s="6">
        <f t="shared" si="4"/>
        <v>336.42</v>
      </c>
      <c r="G14" s="6">
        <f t="shared" si="4"/>
        <v>336.42</v>
      </c>
      <c r="H14" s="6">
        <f t="shared" si="4"/>
        <v>336.42</v>
      </c>
      <c r="I14" s="6">
        <f t="shared" si="4"/>
        <v>336.42</v>
      </c>
      <c r="J14" s="6">
        <f t="shared" si="4"/>
        <v>336.42</v>
      </c>
      <c r="K14" s="6">
        <f t="shared" si="4"/>
        <v>336.42</v>
      </c>
      <c r="L14" s="6">
        <f t="shared" si="4"/>
        <v>336.42</v>
      </c>
      <c r="M14" s="6">
        <f t="shared" si="4"/>
        <v>336.42</v>
      </c>
    </row>
    <row r="15" spans="1:13" ht="15">
      <c r="A15" s="1" t="s">
        <v>214</v>
      </c>
      <c r="B15" s="5">
        <f>+B14*1</f>
        <v>336.42</v>
      </c>
      <c r="C15" s="5">
        <f aca="true" t="shared" si="5" ref="C15:M15">+C14*1</f>
        <v>336.42</v>
      </c>
      <c r="D15" s="5">
        <f t="shared" si="5"/>
        <v>336.42</v>
      </c>
      <c r="E15" s="5">
        <f t="shared" si="5"/>
        <v>336.42</v>
      </c>
      <c r="F15" s="5">
        <f t="shared" si="5"/>
        <v>336.42</v>
      </c>
      <c r="G15" s="5">
        <f t="shared" si="5"/>
        <v>336.42</v>
      </c>
      <c r="H15" s="5">
        <f t="shared" si="5"/>
        <v>336.42</v>
      </c>
      <c r="I15" s="5">
        <f t="shared" si="5"/>
        <v>336.42</v>
      </c>
      <c r="J15" s="5">
        <f t="shared" si="5"/>
        <v>336.42</v>
      </c>
      <c r="K15" s="5">
        <f t="shared" si="5"/>
        <v>336.42</v>
      </c>
      <c r="L15" s="5">
        <f t="shared" si="5"/>
        <v>336.42</v>
      </c>
      <c r="M15" s="5">
        <f t="shared" si="5"/>
        <v>336.42</v>
      </c>
    </row>
    <row r="17" spans="1:13" ht="15">
      <c r="A17" s="127" t="s">
        <v>215</v>
      </c>
      <c r="B17" s="128">
        <f>B12+B15</f>
        <v>-657.1199999999997</v>
      </c>
      <c r="C17" s="128">
        <f aca="true" t="shared" si="6" ref="C17:M17">C12+C15</f>
        <v>-657.1199999999997</v>
      </c>
      <c r="D17" s="128">
        <f t="shared" si="6"/>
        <v>-657.1199999999997</v>
      </c>
      <c r="E17" s="128">
        <f t="shared" si="6"/>
        <v>-657.1199999999997</v>
      </c>
      <c r="F17" s="128">
        <f t="shared" si="6"/>
        <v>-657.1199999999997</v>
      </c>
      <c r="G17" s="128">
        <f t="shared" si="6"/>
        <v>-657.1199999999997</v>
      </c>
      <c r="H17" s="128">
        <f t="shared" si="6"/>
        <v>-657.1199999999997</v>
      </c>
      <c r="I17" s="128">
        <f t="shared" si="6"/>
        <v>-657.1199999999997</v>
      </c>
      <c r="J17" s="128">
        <f t="shared" si="6"/>
        <v>-657.1199999999997</v>
      </c>
      <c r="K17" s="128">
        <f t="shared" si="6"/>
        <v>-657.1199999999997</v>
      </c>
      <c r="L17" s="128">
        <f t="shared" si="6"/>
        <v>-657.1199999999997</v>
      </c>
      <c r="M17" s="128">
        <f t="shared" si="6"/>
        <v>-657.1199999999997</v>
      </c>
    </row>
    <row r="20" spans="1:13" ht="15">
      <c r="A20" s="126" t="s">
        <v>205</v>
      </c>
      <c r="B20" s="35" t="s">
        <v>20</v>
      </c>
      <c r="C20" s="35" t="s">
        <v>21</v>
      </c>
      <c r="D20" s="35" t="s">
        <v>22</v>
      </c>
      <c r="E20" s="35" t="s">
        <v>23</v>
      </c>
      <c r="F20" s="35" t="s">
        <v>24</v>
      </c>
      <c r="G20" s="35" t="s">
        <v>25</v>
      </c>
      <c r="H20" s="35" t="s">
        <v>26</v>
      </c>
      <c r="I20" s="35" t="s">
        <v>27</v>
      </c>
      <c r="J20" s="35" t="s">
        <v>28</v>
      </c>
      <c r="K20" s="35" t="s">
        <v>29</v>
      </c>
      <c r="L20" s="35" t="s">
        <v>30</v>
      </c>
      <c r="M20" s="35" t="s">
        <v>31</v>
      </c>
    </row>
    <row r="21" spans="1:13" ht="15">
      <c r="A21" s="2" t="s">
        <v>206</v>
      </c>
      <c r="B21" s="6">
        <v>92.5</v>
      </c>
      <c r="C21" s="6">
        <f>B21</f>
        <v>92.5</v>
      </c>
      <c r="D21" s="6">
        <f aca="true" t="shared" si="7" ref="D21:M21">C21</f>
        <v>92.5</v>
      </c>
      <c r="E21" s="6">
        <f t="shared" si="7"/>
        <v>92.5</v>
      </c>
      <c r="F21" s="6">
        <f t="shared" si="7"/>
        <v>92.5</v>
      </c>
      <c r="G21" s="6">
        <f t="shared" si="7"/>
        <v>92.5</v>
      </c>
      <c r="H21" s="6">
        <f t="shared" si="7"/>
        <v>92.5</v>
      </c>
      <c r="I21" s="6">
        <f t="shared" si="7"/>
        <v>92.5</v>
      </c>
      <c r="J21" s="6">
        <f t="shared" si="7"/>
        <v>92.5</v>
      </c>
      <c r="K21" s="6">
        <f t="shared" si="7"/>
        <v>92.5</v>
      </c>
      <c r="L21" s="6">
        <f t="shared" si="7"/>
        <v>92.5</v>
      </c>
      <c r="M21" s="6">
        <f t="shared" si="7"/>
        <v>92.5</v>
      </c>
    </row>
    <row r="22" spans="1:13" ht="15">
      <c r="A22" s="2" t="s">
        <v>207</v>
      </c>
      <c r="B22" s="6">
        <v>220</v>
      </c>
      <c r="C22" s="6">
        <f aca="true" t="shared" si="8" ref="C22:M23">B22</f>
        <v>220</v>
      </c>
      <c r="D22" s="6">
        <f t="shared" si="8"/>
        <v>220</v>
      </c>
      <c r="E22" s="6">
        <f t="shared" si="8"/>
        <v>220</v>
      </c>
      <c r="F22" s="6">
        <f t="shared" si="8"/>
        <v>220</v>
      </c>
      <c r="G22" s="6">
        <f t="shared" si="8"/>
        <v>220</v>
      </c>
      <c r="H22" s="6">
        <f t="shared" si="8"/>
        <v>220</v>
      </c>
      <c r="I22" s="6">
        <f t="shared" si="8"/>
        <v>220</v>
      </c>
      <c r="J22" s="6">
        <f t="shared" si="8"/>
        <v>220</v>
      </c>
      <c r="K22" s="6">
        <f t="shared" si="8"/>
        <v>220</v>
      </c>
      <c r="L22" s="6">
        <f t="shared" si="8"/>
        <v>220</v>
      </c>
      <c r="M22" s="6">
        <f t="shared" si="8"/>
        <v>220</v>
      </c>
    </row>
    <row r="23" spans="1:13" ht="15">
      <c r="A23" s="2" t="s">
        <v>208</v>
      </c>
      <c r="B23" s="6">
        <v>2803.5</v>
      </c>
      <c r="C23" s="6">
        <f t="shared" si="8"/>
        <v>2803.5</v>
      </c>
      <c r="D23" s="6">
        <f t="shared" si="8"/>
        <v>2803.5</v>
      </c>
      <c r="E23" s="6">
        <f t="shared" si="8"/>
        <v>2803.5</v>
      </c>
      <c r="F23" s="6">
        <f t="shared" si="8"/>
        <v>2803.5</v>
      </c>
      <c r="G23" s="6">
        <f t="shared" si="8"/>
        <v>2803.5</v>
      </c>
      <c r="H23" s="6">
        <f t="shared" si="8"/>
        <v>2803.5</v>
      </c>
      <c r="I23" s="6">
        <f t="shared" si="8"/>
        <v>2803.5</v>
      </c>
      <c r="J23" s="6">
        <f t="shared" si="8"/>
        <v>2803.5</v>
      </c>
      <c r="K23" s="6">
        <f t="shared" si="8"/>
        <v>2803.5</v>
      </c>
      <c r="L23" s="6">
        <f t="shared" si="8"/>
        <v>2803.5</v>
      </c>
      <c r="M23" s="6">
        <f t="shared" si="8"/>
        <v>2803.5</v>
      </c>
    </row>
    <row r="25" spans="1:13" ht="15">
      <c r="A25" s="2" t="s">
        <v>210</v>
      </c>
      <c r="B25" s="6">
        <f>B21*0.01</f>
        <v>0.925</v>
      </c>
      <c r="C25" s="6">
        <f aca="true" t="shared" si="9" ref="C25:M25">C21*0.01</f>
        <v>0.925</v>
      </c>
      <c r="D25" s="6">
        <f t="shared" si="9"/>
        <v>0.925</v>
      </c>
      <c r="E25" s="6">
        <f t="shared" si="9"/>
        <v>0.925</v>
      </c>
      <c r="F25" s="6">
        <f t="shared" si="9"/>
        <v>0.925</v>
      </c>
      <c r="G25" s="6">
        <f t="shared" si="9"/>
        <v>0.925</v>
      </c>
      <c r="H25" s="6">
        <f t="shared" si="9"/>
        <v>0.925</v>
      </c>
      <c r="I25" s="6">
        <f t="shared" si="9"/>
        <v>0.925</v>
      </c>
      <c r="J25" s="6">
        <f t="shared" si="9"/>
        <v>0.925</v>
      </c>
      <c r="K25" s="6">
        <f t="shared" si="9"/>
        <v>0.925</v>
      </c>
      <c r="L25" s="6">
        <f t="shared" si="9"/>
        <v>0.925</v>
      </c>
      <c r="M25" s="6">
        <f t="shared" si="9"/>
        <v>0.925</v>
      </c>
    </row>
    <row r="26" spans="1:13" ht="15">
      <c r="A26" s="2" t="s">
        <v>211</v>
      </c>
      <c r="B26" s="6">
        <f>B22*0.02</f>
        <v>4.4</v>
      </c>
      <c r="C26" s="6">
        <f aca="true" t="shared" si="10" ref="C26:M26">C22*0.02</f>
        <v>4.4</v>
      </c>
      <c r="D26" s="6">
        <f t="shared" si="10"/>
        <v>4.4</v>
      </c>
      <c r="E26" s="6">
        <f t="shared" si="10"/>
        <v>4.4</v>
      </c>
      <c r="F26" s="6">
        <f t="shared" si="10"/>
        <v>4.4</v>
      </c>
      <c r="G26" s="6">
        <f t="shared" si="10"/>
        <v>4.4</v>
      </c>
      <c r="H26" s="6">
        <f t="shared" si="10"/>
        <v>4.4</v>
      </c>
      <c r="I26" s="6">
        <f t="shared" si="10"/>
        <v>4.4</v>
      </c>
      <c r="J26" s="6">
        <f t="shared" si="10"/>
        <v>4.4</v>
      </c>
      <c r="K26" s="6">
        <f t="shared" si="10"/>
        <v>4.4</v>
      </c>
      <c r="L26" s="6">
        <f t="shared" si="10"/>
        <v>4.4</v>
      </c>
      <c r="M26" s="6">
        <f t="shared" si="10"/>
        <v>4.4</v>
      </c>
    </row>
    <row r="27" spans="1:13" ht="15">
      <c r="A27" s="2" t="s">
        <v>212</v>
      </c>
      <c r="B27" s="6">
        <f>B23*0.08</f>
        <v>224.28</v>
      </c>
      <c r="C27" s="6">
        <f aca="true" t="shared" si="11" ref="C27:M27">C23*0.08</f>
        <v>224.28</v>
      </c>
      <c r="D27" s="6">
        <f t="shared" si="11"/>
        <v>224.28</v>
      </c>
      <c r="E27" s="6">
        <f t="shared" si="11"/>
        <v>224.28</v>
      </c>
      <c r="F27" s="6">
        <f t="shared" si="11"/>
        <v>224.28</v>
      </c>
      <c r="G27" s="6">
        <f t="shared" si="11"/>
        <v>224.28</v>
      </c>
      <c r="H27" s="6">
        <f t="shared" si="11"/>
        <v>224.28</v>
      </c>
      <c r="I27" s="6">
        <f t="shared" si="11"/>
        <v>224.28</v>
      </c>
      <c r="J27" s="6">
        <f t="shared" si="11"/>
        <v>224.28</v>
      </c>
      <c r="K27" s="6">
        <f t="shared" si="11"/>
        <v>224.28</v>
      </c>
      <c r="L27" s="6">
        <f t="shared" si="11"/>
        <v>224.28</v>
      </c>
      <c r="M27" s="6">
        <f t="shared" si="11"/>
        <v>224.28</v>
      </c>
    </row>
    <row r="29" spans="1:13" ht="15">
      <c r="A29" s="127" t="s">
        <v>209</v>
      </c>
      <c r="B29" s="128">
        <f>SUM(B25:B27)</f>
        <v>229.605</v>
      </c>
      <c r="C29" s="128">
        <f aca="true" t="shared" si="12" ref="C29:M29">SUM(C25:C27)</f>
        <v>229.605</v>
      </c>
      <c r="D29" s="128">
        <f t="shared" si="12"/>
        <v>229.605</v>
      </c>
      <c r="E29" s="128">
        <f t="shared" si="12"/>
        <v>229.605</v>
      </c>
      <c r="F29" s="128">
        <f t="shared" si="12"/>
        <v>229.605</v>
      </c>
      <c r="G29" s="128">
        <f t="shared" si="12"/>
        <v>229.605</v>
      </c>
      <c r="H29" s="128">
        <f t="shared" si="12"/>
        <v>229.605</v>
      </c>
      <c r="I29" s="128">
        <f t="shared" si="12"/>
        <v>229.605</v>
      </c>
      <c r="J29" s="128">
        <f t="shared" si="12"/>
        <v>229.605</v>
      </c>
      <c r="K29" s="128">
        <f t="shared" si="12"/>
        <v>229.605</v>
      </c>
      <c r="L29" s="128">
        <f t="shared" si="12"/>
        <v>229.605</v>
      </c>
      <c r="M29" s="128">
        <f t="shared" si="12"/>
        <v>229.605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25">
      <selection activeCell="C50" sqref="C50"/>
    </sheetView>
  </sheetViews>
  <sheetFormatPr defaultColWidth="11.421875" defaultRowHeight="15"/>
  <cols>
    <col min="1" max="1" width="14.8515625" style="90" customWidth="1"/>
    <col min="2" max="2" width="13.421875" style="3" customWidth="1"/>
    <col min="3" max="3" width="16.140625" style="91" customWidth="1"/>
    <col min="4" max="4" width="15.00390625" style="3" customWidth="1"/>
    <col min="5" max="5" width="14.8515625" style="3" customWidth="1"/>
    <col min="6" max="6" width="16.7109375" style="2" customWidth="1"/>
    <col min="7" max="16384" width="11.421875" style="2" customWidth="1"/>
  </cols>
  <sheetData>
    <row r="1" spans="1:7" ht="23.25">
      <c r="A1" s="286" t="s">
        <v>0</v>
      </c>
      <c r="B1" s="286"/>
      <c r="C1" s="286"/>
      <c r="D1" s="286"/>
      <c r="E1" s="286"/>
      <c r="F1" s="286"/>
      <c r="G1" s="89"/>
    </row>
    <row r="2" ht="15">
      <c r="G2" s="89"/>
    </row>
    <row r="3" spans="1:7" ht="15">
      <c r="A3" s="287" t="s">
        <v>182</v>
      </c>
      <c r="B3" s="287"/>
      <c r="C3" s="287"/>
      <c r="D3" s="92"/>
      <c r="E3" s="93" t="s">
        <v>183</v>
      </c>
      <c r="F3" s="94">
        <v>11000</v>
      </c>
      <c r="G3" s="89"/>
    </row>
    <row r="4" spans="1:7" ht="15">
      <c r="A4" s="95" t="s">
        <v>195</v>
      </c>
      <c r="B4" s="96"/>
      <c r="C4" s="97"/>
      <c r="D4" s="92"/>
      <c r="E4" s="93" t="s">
        <v>184</v>
      </c>
      <c r="F4" s="98">
        <v>7.5</v>
      </c>
      <c r="G4" s="89"/>
    </row>
    <row r="5" spans="1:7" ht="15">
      <c r="A5" s="95"/>
      <c r="B5" s="96"/>
      <c r="C5" s="97"/>
      <c r="D5" s="92"/>
      <c r="E5" s="93" t="s">
        <v>185</v>
      </c>
      <c r="F5" s="99">
        <v>24</v>
      </c>
      <c r="G5" s="89"/>
    </row>
    <row r="6" spans="2:7" ht="15">
      <c r="B6" s="96"/>
      <c r="C6" s="97"/>
      <c r="D6" s="92"/>
      <c r="E6" s="96"/>
      <c r="F6" s="99"/>
      <c r="G6" s="89"/>
    </row>
    <row r="7" spans="1:7" ht="15.75">
      <c r="A7" s="288" t="s">
        <v>186</v>
      </c>
      <c r="B7" s="288"/>
      <c r="C7" s="288"/>
      <c r="D7" s="288"/>
      <c r="E7" s="288"/>
      <c r="F7" s="288"/>
      <c r="G7" s="89"/>
    </row>
    <row r="8" spans="1:7" ht="15">
      <c r="A8" s="100"/>
      <c r="B8" s="96"/>
      <c r="C8" s="101"/>
      <c r="D8" s="102" t="s">
        <v>187</v>
      </c>
      <c r="E8" s="96"/>
      <c r="F8" s="96"/>
      <c r="G8" s="89"/>
    </row>
    <row r="9" spans="1:7" s="107" customFormat="1" ht="15">
      <c r="A9" s="103" t="s">
        <v>128</v>
      </c>
      <c r="B9" s="104" t="s">
        <v>188</v>
      </c>
      <c r="C9" s="105" t="s">
        <v>189</v>
      </c>
      <c r="D9" s="104" t="s">
        <v>190</v>
      </c>
      <c r="E9" s="104" t="s">
        <v>191</v>
      </c>
      <c r="F9" s="104" t="s">
        <v>192</v>
      </c>
      <c r="G9" s="106"/>
    </row>
    <row r="10" spans="1:7" s="6" customFormat="1" ht="15">
      <c r="A10" s="108"/>
      <c r="B10" s="109"/>
      <c r="C10" s="110"/>
      <c r="D10" s="109"/>
      <c r="E10" s="109"/>
      <c r="F10" s="111"/>
      <c r="G10" s="7"/>
    </row>
    <row r="11" spans="1:7" s="6" customFormat="1" ht="15">
      <c r="A11" s="112">
        <v>0</v>
      </c>
      <c r="B11" s="113" t="s">
        <v>187</v>
      </c>
      <c r="C11" s="114"/>
      <c r="D11" s="113"/>
      <c r="E11" s="113"/>
      <c r="F11" s="115">
        <f>F3</f>
        <v>11000</v>
      </c>
      <c r="G11" s="7"/>
    </row>
    <row r="12" spans="1:7" s="6" customFormat="1" ht="15">
      <c r="A12" s="116">
        <v>1</v>
      </c>
      <c r="B12" s="117">
        <f>F3/((1-(1+(F4/100)/F5)^-F5)/((F4/100)/F5))</f>
        <v>476.4510954652003</v>
      </c>
      <c r="C12" s="118">
        <f>($F$4/100)/$F$5</f>
        <v>0.0031249999999999997</v>
      </c>
      <c r="D12" s="117">
        <f>F11*C12</f>
        <v>34.375</v>
      </c>
      <c r="E12" s="117">
        <f>B12-D12</f>
        <v>442.0760954652003</v>
      </c>
      <c r="F12" s="119">
        <f>F11-E12</f>
        <v>10557.9239045348</v>
      </c>
      <c r="G12" s="7"/>
    </row>
    <row r="13" spans="1:7" s="6" customFormat="1" ht="15">
      <c r="A13" s="116">
        <v>2</v>
      </c>
      <c r="B13" s="117">
        <f>B12</f>
        <v>476.4510954652003</v>
      </c>
      <c r="C13" s="118">
        <f aca="true" t="shared" si="0" ref="C13:C35">($F$4/100)/$F$5</f>
        <v>0.0031249999999999997</v>
      </c>
      <c r="D13" s="117">
        <f>F12*C13</f>
        <v>32.99351220167125</v>
      </c>
      <c r="E13" s="117">
        <f>B13-D13</f>
        <v>443.45758326352905</v>
      </c>
      <c r="F13" s="119">
        <f>F12-E13</f>
        <v>10114.466321271271</v>
      </c>
      <c r="G13" s="7"/>
    </row>
    <row r="14" spans="1:7" s="6" customFormat="1" ht="15">
      <c r="A14" s="116">
        <v>3</v>
      </c>
      <c r="B14" s="117">
        <f aca="true" t="shared" si="1" ref="B14:B35">B13</f>
        <v>476.4510954652003</v>
      </c>
      <c r="C14" s="118">
        <f t="shared" si="0"/>
        <v>0.0031249999999999997</v>
      </c>
      <c r="D14" s="117">
        <f>F13*C14</f>
        <v>31.60770725397272</v>
      </c>
      <c r="E14" s="117">
        <f>B14-D14</f>
        <v>444.8433882112276</v>
      </c>
      <c r="F14" s="119">
        <f>F13-E14</f>
        <v>9669.622933060044</v>
      </c>
      <c r="G14" s="7"/>
    </row>
    <row r="15" spans="1:7" s="6" customFormat="1" ht="15">
      <c r="A15" s="116">
        <v>4</v>
      </c>
      <c r="B15" s="117">
        <f t="shared" si="1"/>
        <v>476.4510954652003</v>
      </c>
      <c r="C15" s="118">
        <f t="shared" si="0"/>
        <v>0.0031249999999999997</v>
      </c>
      <c r="D15" s="117">
        <f aca="true" t="shared" si="2" ref="D15:D35">F14*C15</f>
        <v>30.217571665812635</v>
      </c>
      <c r="E15" s="117">
        <f aca="true" t="shared" si="3" ref="E15:E35">B15-D15</f>
        <v>446.2335237993877</v>
      </c>
      <c r="F15" s="119">
        <f aca="true" t="shared" si="4" ref="F15:F35">F14-E15</f>
        <v>9223.389409260655</v>
      </c>
      <c r="G15" s="7"/>
    </row>
    <row r="16" spans="1:7" s="6" customFormat="1" ht="15">
      <c r="A16" s="116">
        <v>5</v>
      </c>
      <c r="B16" s="117">
        <f t="shared" si="1"/>
        <v>476.4510954652003</v>
      </c>
      <c r="C16" s="118">
        <f t="shared" si="0"/>
        <v>0.0031249999999999997</v>
      </c>
      <c r="D16" s="117">
        <f t="shared" si="2"/>
        <v>28.823091903939545</v>
      </c>
      <c r="E16" s="117">
        <f t="shared" si="3"/>
        <v>447.62800356126075</v>
      </c>
      <c r="F16" s="119">
        <f t="shared" si="4"/>
        <v>8775.761405699395</v>
      </c>
      <c r="G16" s="7"/>
    </row>
    <row r="17" spans="1:7" s="6" customFormat="1" ht="15">
      <c r="A17" s="116">
        <v>6</v>
      </c>
      <c r="B17" s="117">
        <f t="shared" si="1"/>
        <v>476.4510954652003</v>
      </c>
      <c r="C17" s="118">
        <f t="shared" si="0"/>
        <v>0.0031249999999999997</v>
      </c>
      <c r="D17" s="117">
        <f t="shared" si="2"/>
        <v>27.424254392810607</v>
      </c>
      <c r="E17" s="117">
        <f t="shared" si="3"/>
        <v>449.0268410723897</v>
      </c>
      <c r="F17" s="119">
        <f t="shared" si="4"/>
        <v>8326.734564627006</v>
      </c>
      <c r="G17" s="7"/>
    </row>
    <row r="18" spans="1:7" s="6" customFormat="1" ht="15">
      <c r="A18" s="116">
        <v>7</v>
      </c>
      <c r="B18" s="117">
        <f t="shared" si="1"/>
        <v>476.4510954652003</v>
      </c>
      <c r="C18" s="118">
        <f t="shared" si="0"/>
        <v>0.0031249999999999997</v>
      </c>
      <c r="D18" s="117">
        <f t="shared" si="2"/>
        <v>26.02104551445939</v>
      </c>
      <c r="E18" s="117">
        <f t="shared" si="3"/>
        <v>450.4300499507409</v>
      </c>
      <c r="F18" s="119">
        <f t="shared" si="4"/>
        <v>7876.304514676265</v>
      </c>
      <c r="G18" s="120"/>
    </row>
    <row r="19" spans="1:7" s="6" customFormat="1" ht="15">
      <c r="A19" s="116">
        <v>8</v>
      </c>
      <c r="B19" s="117">
        <f t="shared" si="1"/>
        <v>476.4510954652003</v>
      </c>
      <c r="C19" s="118">
        <f t="shared" si="0"/>
        <v>0.0031249999999999997</v>
      </c>
      <c r="D19" s="117">
        <f t="shared" si="2"/>
        <v>24.613451608363327</v>
      </c>
      <c r="E19" s="117">
        <f t="shared" si="3"/>
        <v>451.83764385683696</v>
      </c>
      <c r="F19" s="119">
        <f t="shared" si="4"/>
        <v>7424.466870819429</v>
      </c>
      <c r="G19" s="7"/>
    </row>
    <row r="20" spans="1:7" s="6" customFormat="1" ht="15">
      <c r="A20" s="116">
        <v>9</v>
      </c>
      <c r="B20" s="117">
        <f t="shared" si="1"/>
        <v>476.4510954652003</v>
      </c>
      <c r="C20" s="118">
        <f t="shared" si="0"/>
        <v>0.0031249999999999997</v>
      </c>
      <c r="D20" s="117">
        <f t="shared" si="2"/>
        <v>23.20145897131071</v>
      </c>
      <c r="E20" s="117">
        <f t="shared" si="3"/>
        <v>453.24963649388957</v>
      </c>
      <c r="F20" s="119">
        <f t="shared" si="4"/>
        <v>6971.217234325539</v>
      </c>
      <c r="G20" s="7"/>
    </row>
    <row r="21" spans="1:7" s="6" customFormat="1" ht="15">
      <c r="A21" s="116">
        <v>10</v>
      </c>
      <c r="B21" s="117">
        <f t="shared" si="1"/>
        <v>476.4510954652003</v>
      </c>
      <c r="C21" s="118">
        <f t="shared" si="0"/>
        <v>0.0031249999999999997</v>
      </c>
      <c r="D21" s="117">
        <f t="shared" si="2"/>
        <v>21.785053857267307</v>
      </c>
      <c r="E21" s="117">
        <f t="shared" si="3"/>
        <v>454.666041607933</v>
      </c>
      <c r="F21" s="119">
        <f t="shared" si="4"/>
        <v>6516.551192717606</v>
      </c>
      <c r="G21" s="7"/>
    </row>
    <row r="22" spans="1:7" s="6" customFormat="1" ht="15">
      <c r="A22" s="116">
        <v>11</v>
      </c>
      <c r="B22" s="117">
        <f t="shared" si="1"/>
        <v>476.4510954652003</v>
      </c>
      <c r="C22" s="118">
        <f t="shared" si="0"/>
        <v>0.0031249999999999997</v>
      </c>
      <c r="D22" s="117">
        <f t="shared" si="2"/>
        <v>20.364222477242517</v>
      </c>
      <c r="E22" s="117">
        <f t="shared" si="3"/>
        <v>456.0868729879578</v>
      </c>
      <c r="F22" s="119">
        <f t="shared" si="4"/>
        <v>6060.464319729648</v>
      </c>
      <c r="G22" s="7"/>
    </row>
    <row r="23" spans="1:7" s="6" customFormat="1" ht="15">
      <c r="A23" s="116">
        <v>12</v>
      </c>
      <c r="B23" s="117">
        <f t="shared" si="1"/>
        <v>476.4510954652003</v>
      </c>
      <c r="C23" s="118">
        <f t="shared" si="0"/>
        <v>0.0031249999999999997</v>
      </c>
      <c r="D23" s="117">
        <f t="shared" si="2"/>
        <v>18.93895099915515</v>
      </c>
      <c r="E23" s="117">
        <f t="shared" si="3"/>
        <v>457.51214446604513</v>
      </c>
      <c r="F23" s="119">
        <f t="shared" si="4"/>
        <v>5602.952175263603</v>
      </c>
      <c r="G23" s="7"/>
    </row>
    <row r="24" spans="1:7" s="6" customFormat="1" ht="15">
      <c r="A24" s="116">
        <v>13</v>
      </c>
      <c r="B24" s="117">
        <f t="shared" si="1"/>
        <v>476.4510954652003</v>
      </c>
      <c r="C24" s="118">
        <f t="shared" si="0"/>
        <v>0.0031249999999999997</v>
      </c>
      <c r="D24" s="117">
        <f t="shared" si="2"/>
        <v>17.509225547698758</v>
      </c>
      <c r="E24" s="117">
        <f t="shared" si="3"/>
        <v>458.94186991750155</v>
      </c>
      <c r="F24" s="119">
        <f t="shared" si="4"/>
        <v>5144.010305346102</v>
      </c>
      <c r="G24" s="7"/>
    </row>
    <row r="25" spans="1:7" s="6" customFormat="1" ht="15">
      <c r="A25" s="116">
        <v>14</v>
      </c>
      <c r="B25" s="117">
        <f t="shared" si="1"/>
        <v>476.4510954652003</v>
      </c>
      <c r="C25" s="118">
        <f t="shared" si="0"/>
        <v>0.0031249999999999997</v>
      </c>
      <c r="D25" s="117">
        <f t="shared" si="2"/>
        <v>16.075032204206565</v>
      </c>
      <c r="E25" s="117">
        <f t="shared" si="3"/>
        <v>460.37606326099376</v>
      </c>
      <c r="F25" s="119">
        <f t="shared" si="4"/>
        <v>4683.634242085108</v>
      </c>
      <c r="G25" s="7"/>
    </row>
    <row r="26" spans="1:7" s="6" customFormat="1" ht="15">
      <c r="A26" s="116">
        <v>15</v>
      </c>
      <c r="B26" s="117">
        <f t="shared" si="1"/>
        <v>476.4510954652003</v>
      </c>
      <c r="C26" s="118">
        <f t="shared" si="0"/>
        <v>0.0031249999999999997</v>
      </c>
      <c r="D26" s="117">
        <f t="shared" si="2"/>
        <v>14.636357006515961</v>
      </c>
      <c r="E26" s="117">
        <f t="shared" si="3"/>
        <v>461.81473845868436</v>
      </c>
      <c r="F26" s="119">
        <f t="shared" si="4"/>
        <v>4221.819503626423</v>
      </c>
      <c r="G26" s="7"/>
    </row>
    <row r="27" spans="1:7" s="6" customFormat="1" ht="15">
      <c r="A27" s="116">
        <v>16</v>
      </c>
      <c r="B27" s="117">
        <f t="shared" si="1"/>
        <v>476.4510954652003</v>
      </c>
      <c r="C27" s="118">
        <f t="shared" si="0"/>
        <v>0.0031249999999999997</v>
      </c>
      <c r="D27" s="117">
        <f t="shared" si="2"/>
        <v>13.193185948832571</v>
      </c>
      <c r="E27" s="117">
        <f t="shared" si="3"/>
        <v>463.2579095163677</v>
      </c>
      <c r="F27" s="119">
        <f t="shared" si="4"/>
        <v>3758.5615941100555</v>
      </c>
      <c r="G27" s="7"/>
    </row>
    <row r="28" spans="1:7" s="6" customFormat="1" ht="15">
      <c r="A28" s="116">
        <v>17</v>
      </c>
      <c r="B28" s="117">
        <f t="shared" si="1"/>
        <v>476.4510954652003</v>
      </c>
      <c r="C28" s="118">
        <f t="shared" si="0"/>
        <v>0.0031249999999999997</v>
      </c>
      <c r="D28" s="117">
        <f t="shared" si="2"/>
        <v>11.745504981593923</v>
      </c>
      <c r="E28" s="117">
        <f t="shared" si="3"/>
        <v>464.7055904836064</v>
      </c>
      <c r="F28" s="119">
        <f t="shared" si="4"/>
        <v>3293.856003626449</v>
      </c>
      <c r="G28" s="7"/>
    </row>
    <row r="29" spans="1:7" s="6" customFormat="1" ht="15">
      <c r="A29" s="116">
        <v>18</v>
      </c>
      <c r="B29" s="117">
        <f t="shared" si="1"/>
        <v>476.4510954652003</v>
      </c>
      <c r="C29" s="118">
        <f t="shared" si="0"/>
        <v>0.0031249999999999997</v>
      </c>
      <c r="D29" s="117">
        <f t="shared" si="2"/>
        <v>10.293300011332652</v>
      </c>
      <c r="E29" s="117">
        <f t="shared" si="3"/>
        <v>466.15779545386766</v>
      </c>
      <c r="F29" s="119">
        <f t="shared" si="4"/>
        <v>2827.6982081725814</v>
      </c>
      <c r="G29" s="7"/>
    </row>
    <row r="30" spans="1:7" s="6" customFormat="1" ht="15">
      <c r="A30" s="116">
        <v>19</v>
      </c>
      <c r="B30" s="117">
        <f t="shared" si="1"/>
        <v>476.4510954652003</v>
      </c>
      <c r="C30" s="118">
        <f t="shared" si="0"/>
        <v>0.0031249999999999997</v>
      </c>
      <c r="D30" s="117">
        <f t="shared" si="2"/>
        <v>8.836556900539316</v>
      </c>
      <c r="E30" s="117">
        <f t="shared" si="3"/>
        <v>467.61453856466096</v>
      </c>
      <c r="F30" s="119">
        <f t="shared" si="4"/>
        <v>2360.0836696079205</v>
      </c>
      <c r="G30" s="7"/>
    </row>
    <row r="31" spans="1:7" s="6" customFormat="1" ht="15">
      <c r="A31" s="116">
        <v>20</v>
      </c>
      <c r="B31" s="117">
        <f t="shared" si="1"/>
        <v>476.4510954652003</v>
      </c>
      <c r="C31" s="118">
        <f t="shared" si="0"/>
        <v>0.0031249999999999997</v>
      </c>
      <c r="D31" s="117">
        <f t="shared" si="2"/>
        <v>7.3752614675247505</v>
      </c>
      <c r="E31" s="117">
        <f t="shared" si="3"/>
        <v>469.07583399767555</v>
      </c>
      <c r="F31" s="119">
        <f t="shared" si="4"/>
        <v>1891.007835610245</v>
      </c>
      <c r="G31" s="7"/>
    </row>
    <row r="32" spans="1:7" s="6" customFormat="1" ht="15">
      <c r="A32" s="116">
        <v>21</v>
      </c>
      <c r="B32" s="117">
        <f t="shared" si="1"/>
        <v>476.4510954652003</v>
      </c>
      <c r="C32" s="118">
        <f t="shared" si="0"/>
        <v>0.0031249999999999997</v>
      </c>
      <c r="D32" s="117">
        <f t="shared" si="2"/>
        <v>5.909399486282015</v>
      </c>
      <c r="E32" s="117">
        <f t="shared" si="3"/>
        <v>470.54169597891826</v>
      </c>
      <c r="F32" s="119">
        <f t="shared" si="4"/>
        <v>1420.4661396313268</v>
      </c>
      <c r="G32" s="7"/>
    </row>
    <row r="33" spans="1:7" s="6" customFormat="1" ht="15">
      <c r="A33" s="116">
        <v>22</v>
      </c>
      <c r="B33" s="117">
        <f t="shared" si="1"/>
        <v>476.4510954652003</v>
      </c>
      <c r="C33" s="118">
        <f t="shared" si="0"/>
        <v>0.0031249999999999997</v>
      </c>
      <c r="D33" s="117">
        <f t="shared" si="2"/>
        <v>4.438956686347896</v>
      </c>
      <c r="E33" s="117">
        <f t="shared" si="3"/>
        <v>472.0121387788524</v>
      </c>
      <c r="F33" s="119">
        <f t="shared" si="4"/>
        <v>948.4540008524743</v>
      </c>
      <c r="G33" s="7"/>
    </row>
    <row r="34" spans="1:7" s="6" customFormat="1" ht="15">
      <c r="A34" s="116">
        <v>23</v>
      </c>
      <c r="B34" s="117">
        <f t="shared" si="1"/>
        <v>476.4510954652003</v>
      </c>
      <c r="C34" s="118">
        <f t="shared" si="0"/>
        <v>0.0031249999999999997</v>
      </c>
      <c r="D34" s="117">
        <f t="shared" si="2"/>
        <v>2.963918752663982</v>
      </c>
      <c r="E34" s="117">
        <f t="shared" si="3"/>
        <v>473.4871767125363</v>
      </c>
      <c r="F34" s="119">
        <f t="shared" si="4"/>
        <v>474.966824139938</v>
      </c>
      <c r="G34" s="7"/>
    </row>
    <row r="35" spans="1:7" s="6" customFormat="1" ht="15">
      <c r="A35" s="116">
        <v>24</v>
      </c>
      <c r="B35" s="117">
        <f t="shared" si="1"/>
        <v>476.4510954652003</v>
      </c>
      <c r="C35" s="118">
        <f t="shared" si="0"/>
        <v>0.0031249999999999997</v>
      </c>
      <c r="D35" s="117">
        <f t="shared" si="2"/>
        <v>1.484271325437306</v>
      </c>
      <c r="E35" s="117">
        <f t="shared" si="3"/>
        <v>474.966824139763</v>
      </c>
      <c r="F35" s="119">
        <f t="shared" si="4"/>
        <v>1.7502088667242788E-10</v>
      </c>
      <c r="G35" s="7"/>
    </row>
    <row r="36" spans="1:7" s="6" customFormat="1" ht="15">
      <c r="A36" s="121"/>
      <c r="B36" s="113"/>
      <c r="C36" s="114"/>
      <c r="D36" s="113"/>
      <c r="E36" s="113"/>
      <c r="F36" s="115" t="s">
        <v>193</v>
      </c>
      <c r="G36" s="7"/>
    </row>
    <row r="37" spans="1:7" s="6" customFormat="1" ht="15">
      <c r="A37" s="122" t="s">
        <v>194</v>
      </c>
      <c r="B37" s="123">
        <f>SUM(B12:B36)</f>
        <v>11434.826291164805</v>
      </c>
      <c r="C37" s="124"/>
      <c r="D37" s="123">
        <f>SUM(D10:D36)</f>
        <v>434.82629116498083</v>
      </c>
      <c r="E37" s="123">
        <f>SUM(E12:E36)</f>
        <v>10999.999999999825</v>
      </c>
      <c r="F37" s="125"/>
      <c r="G37" s="7"/>
    </row>
  </sheetData>
  <sheetProtection/>
  <mergeCells count="3">
    <mergeCell ref="A1:F1"/>
    <mergeCell ref="A3:C3"/>
    <mergeCell ref="A7:F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A1" sqref="A1:J13"/>
    </sheetView>
  </sheetViews>
  <sheetFormatPr defaultColWidth="11.421875" defaultRowHeight="15"/>
  <cols>
    <col min="1" max="1" width="18.140625" style="6" customWidth="1"/>
    <col min="2" max="4" width="11.421875" style="6" customWidth="1"/>
    <col min="5" max="5" width="13.7109375" style="6" customWidth="1"/>
    <col min="6" max="9" width="11.421875" style="6" customWidth="1"/>
    <col min="10" max="10" width="13.00390625" style="6" customWidth="1"/>
    <col min="11" max="16384" width="11.421875" style="6" customWidth="1"/>
  </cols>
  <sheetData>
    <row r="1" spans="1:5" ht="18.75">
      <c r="A1" s="217" t="s">
        <v>0</v>
      </c>
      <c r="B1" s="224"/>
      <c r="C1" s="224"/>
      <c r="D1" s="224"/>
      <c r="E1" s="224"/>
    </row>
    <row r="2" spans="1:5" ht="19.5" thickBot="1">
      <c r="A2" s="217" t="s">
        <v>93</v>
      </c>
      <c r="B2" s="224"/>
      <c r="C2" s="224"/>
      <c r="D2" s="224"/>
      <c r="E2" s="224"/>
    </row>
    <row r="3" spans="1:10" s="10" customFormat="1" ht="49.5" customHeight="1" thickBot="1">
      <c r="A3" s="222" t="s">
        <v>112</v>
      </c>
      <c r="B3" s="223" t="s">
        <v>86</v>
      </c>
      <c r="C3" s="223" t="s">
        <v>105</v>
      </c>
      <c r="D3" s="223" t="s">
        <v>106</v>
      </c>
      <c r="E3" s="223" t="s">
        <v>117</v>
      </c>
      <c r="F3" s="223" t="s">
        <v>107</v>
      </c>
      <c r="G3" s="223" t="s">
        <v>108</v>
      </c>
      <c r="H3" s="223" t="s">
        <v>109</v>
      </c>
      <c r="I3" s="223" t="s">
        <v>110</v>
      </c>
      <c r="J3" s="211" t="s">
        <v>111</v>
      </c>
    </row>
    <row r="4" spans="1:10" ht="15">
      <c r="A4" s="225" t="s">
        <v>95</v>
      </c>
      <c r="B4" s="202">
        <v>500</v>
      </c>
      <c r="C4" s="202">
        <f>B4*9.35/100</f>
        <v>46.75</v>
      </c>
      <c r="D4" s="202">
        <f>B4-C4</f>
        <v>453.25</v>
      </c>
      <c r="E4" s="202">
        <f>B4*12.15/100</f>
        <v>60.75</v>
      </c>
      <c r="F4" s="202">
        <f>+(B4/12)/12</f>
        <v>3.472222222222222</v>
      </c>
      <c r="G4" s="202">
        <f>(218/12)/12</f>
        <v>1.513888888888889</v>
      </c>
      <c r="H4" s="202">
        <v>0</v>
      </c>
      <c r="I4" s="202">
        <v>0</v>
      </c>
      <c r="J4" s="204">
        <f>B4+E4+F4+G4+H4+I4</f>
        <v>565.7361111111111</v>
      </c>
    </row>
    <row r="5" spans="1:10" ht="15">
      <c r="A5" s="220" t="s">
        <v>94</v>
      </c>
      <c r="B5" s="184">
        <v>250</v>
      </c>
      <c r="C5" s="184">
        <f aca="true" t="shared" si="0" ref="C5:C12">B5*9.35/100</f>
        <v>23.375</v>
      </c>
      <c r="D5" s="184">
        <f aca="true" t="shared" si="1" ref="D5:D10">B5-C5</f>
        <v>226.625</v>
      </c>
      <c r="E5" s="184">
        <f aca="true" t="shared" si="2" ref="E5:E10">B5*12.15/100</f>
        <v>30.375</v>
      </c>
      <c r="F5" s="184">
        <f aca="true" t="shared" si="3" ref="F5:F10">+(B5/12)/12</f>
        <v>1.736111111111111</v>
      </c>
      <c r="G5" s="184">
        <f aca="true" t="shared" si="4" ref="G5:G12">(218/12)/12</f>
        <v>1.513888888888889</v>
      </c>
      <c r="H5" s="184">
        <v>0</v>
      </c>
      <c r="I5" s="184">
        <v>0</v>
      </c>
      <c r="J5" s="186">
        <f aca="true" t="shared" si="5" ref="J5:J10">B5+E5+F5+G5+H5+I5</f>
        <v>283.625</v>
      </c>
    </row>
    <row r="6" spans="1:10" ht="15">
      <c r="A6" s="220" t="s">
        <v>96</v>
      </c>
      <c r="B6" s="184">
        <v>400</v>
      </c>
      <c r="C6" s="184">
        <f t="shared" si="0"/>
        <v>37.4</v>
      </c>
      <c r="D6" s="184">
        <f t="shared" si="1"/>
        <v>362.6</v>
      </c>
      <c r="E6" s="184">
        <f t="shared" si="2"/>
        <v>48.6</v>
      </c>
      <c r="F6" s="184">
        <f t="shared" si="3"/>
        <v>2.777777777777778</v>
      </c>
      <c r="G6" s="184">
        <f t="shared" si="4"/>
        <v>1.513888888888889</v>
      </c>
      <c r="H6" s="184">
        <v>0</v>
      </c>
      <c r="I6" s="184">
        <v>0</v>
      </c>
      <c r="J6" s="186">
        <f t="shared" si="5"/>
        <v>452.8916666666667</v>
      </c>
    </row>
    <row r="7" spans="1:10" ht="15">
      <c r="A7" s="220" t="s">
        <v>101</v>
      </c>
      <c r="B7" s="184">
        <v>250</v>
      </c>
      <c r="C7" s="184">
        <f t="shared" si="0"/>
        <v>23.375</v>
      </c>
      <c r="D7" s="184">
        <f t="shared" si="1"/>
        <v>226.625</v>
      </c>
      <c r="E7" s="184">
        <f t="shared" si="2"/>
        <v>30.375</v>
      </c>
      <c r="F7" s="184">
        <f t="shared" si="3"/>
        <v>1.736111111111111</v>
      </c>
      <c r="G7" s="184">
        <f t="shared" si="4"/>
        <v>1.513888888888889</v>
      </c>
      <c r="H7" s="184">
        <v>0</v>
      </c>
      <c r="I7" s="184">
        <v>0</v>
      </c>
      <c r="J7" s="186">
        <f t="shared" si="5"/>
        <v>283.625</v>
      </c>
    </row>
    <row r="8" spans="1:10" ht="15">
      <c r="A8" s="220" t="s">
        <v>102</v>
      </c>
      <c r="B8" s="184">
        <v>250</v>
      </c>
      <c r="C8" s="184">
        <f t="shared" si="0"/>
        <v>23.375</v>
      </c>
      <c r="D8" s="184">
        <f t="shared" si="1"/>
        <v>226.625</v>
      </c>
      <c r="E8" s="184">
        <f t="shared" si="2"/>
        <v>30.375</v>
      </c>
      <c r="F8" s="184">
        <f t="shared" si="3"/>
        <v>1.736111111111111</v>
      </c>
      <c r="G8" s="184">
        <f t="shared" si="4"/>
        <v>1.513888888888889</v>
      </c>
      <c r="H8" s="184">
        <v>0</v>
      </c>
      <c r="I8" s="184">
        <v>0</v>
      </c>
      <c r="J8" s="186">
        <f t="shared" si="5"/>
        <v>283.625</v>
      </c>
    </row>
    <row r="9" spans="1:10" ht="15">
      <c r="A9" s="220" t="s">
        <v>98</v>
      </c>
      <c r="B9" s="184">
        <v>300</v>
      </c>
      <c r="C9" s="184">
        <f t="shared" si="0"/>
        <v>28.05</v>
      </c>
      <c r="D9" s="184">
        <f t="shared" si="1"/>
        <v>271.95</v>
      </c>
      <c r="E9" s="184">
        <f t="shared" si="2"/>
        <v>36.45</v>
      </c>
      <c r="F9" s="184">
        <f t="shared" si="3"/>
        <v>2.0833333333333335</v>
      </c>
      <c r="G9" s="184">
        <f t="shared" si="4"/>
        <v>1.513888888888889</v>
      </c>
      <c r="H9" s="184">
        <v>0</v>
      </c>
      <c r="I9" s="184">
        <v>0</v>
      </c>
      <c r="J9" s="186">
        <f t="shared" si="5"/>
        <v>340.0472222222222</v>
      </c>
    </row>
    <row r="10" spans="1:10" ht="15">
      <c r="A10" s="220" t="s">
        <v>99</v>
      </c>
      <c r="B10" s="184">
        <v>300</v>
      </c>
      <c r="C10" s="184">
        <f t="shared" si="0"/>
        <v>28.05</v>
      </c>
      <c r="D10" s="184">
        <f t="shared" si="1"/>
        <v>271.95</v>
      </c>
      <c r="E10" s="184">
        <f t="shared" si="2"/>
        <v>36.45</v>
      </c>
      <c r="F10" s="184">
        <f t="shared" si="3"/>
        <v>2.0833333333333335</v>
      </c>
      <c r="G10" s="184">
        <f t="shared" si="4"/>
        <v>1.513888888888889</v>
      </c>
      <c r="H10" s="184">
        <v>0</v>
      </c>
      <c r="I10" s="184">
        <v>0</v>
      </c>
      <c r="J10" s="186">
        <f t="shared" si="5"/>
        <v>340.0472222222222</v>
      </c>
    </row>
    <row r="11" spans="1:10" ht="15">
      <c r="A11" s="220" t="s">
        <v>100</v>
      </c>
      <c r="B11" s="184">
        <v>300</v>
      </c>
      <c r="C11" s="184">
        <f t="shared" si="0"/>
        <v>28.05</v>
      </c>
      <c r="D11" s="184">
        <f>B11-C11</f>
        <v>271.95</v>
      </c>
      <c r="E11" s="184">
        <f>B11*12.15/100</f>
        <v>36.45</v>
      </c>
      <c r="F11" s="184">
        <f>+(B11/12)/12</f>
        <v>2.0833333333333335</v>
      </c>
      <c r="G11" s="184">
        <f t="shared" si="4"/>
        <v>1.513888888888889</v>
      </c>
      <c r="H11" s="184">
        <v>0</v>
      </c>
      <c r="I11" s="184">
        <v>0</v>
      </c>
      <c r="J11" s="186">
        <f>B11+E11+F11+G11+H11+I11</f>
        <v>340.0472222222222</v>
      </c>
    </row>
    <row r="12" spans="1:10" ht="15.75" thickBot="1">
      <c r="A12" s="226" t="s">
        <v>97</v>
      </c>
      <c r="B12" s="207">
        <v>300</v>
      </c>
      <c r="C12" s="207">
        <f t="shared" si="0"/>
        <v>28.05</v>
      </c>
      <c r="D12" s="207">
        <f>B12-C12</f>
        <v>271.95</v>
      </c>
      <c r="E12" s="207">
        <f>B12*12.15/100</f>
        <v>36.45</v>
      </c>
      <c r="F12" s="207">
        <f>+(B12/12)/12</f>
        <v>2.0833333333333335</v>
      </c>
      <c r="G12" s="207">
        <f t="shared" si="4"/>
        <v>1.513888888888889</v>
      </c>
      <c r="H12" s="207">
        <v>0</v>
      </c>
      <c r="I12" s="207">
        <v>0</v>
      </c>
      <c r="J12" s="209">
        <f>B12+E12+F12+G12+H12+I12</f>
        <v>340.0472222222222</v>
      </c>
    </row>
    <row r="13" spans="1:10" ht="15.75" thickBot="1">
      <c r="A13" s="221"/>
      <c r="B13" s="189">
        <f>SUM(B4:B12)</f>
        <v>2850</v>
      </c>
      <c r="C13" s="189">
        <f aca="true" t="shared" si="6" ref="C13:J13">SUM(C4:C12)</f>
        <v>266.475</v>
      </c>
      <c r="D13" s="189">
        <f t="shared" si="6"/>
        <v>2583.5249999999996</v>
      </c>
      <c r="E13" s="189">
        <f t="shared" si="6"/>
        <v>346.275</v>
      </c>
      <c r="F13" s="189">
        <f t="shared" si="6"/>
        <v>19.791666666666664</v>
      </c>
      <c r="G13" s="189">
        <f t="shared" si="6"/>
        <v>13.625000000000002</v>
      </c>
      <c r="H13" s="189">
        <f t="shared" si="6"/>
        <v>0</v>
      </c>
      <c r="I13" s="189">
        <f t="shared" si="6"/>
        <v>0</v>
      </c>
      <c r="J13" s="191">
        <f t="shared" si="6"/>
        <v>3229.6916666666675</v>
      </c>
    </row>
    <row r="15" spans="1:10" s="10" customFormat="1" ht="49.5" customHeight="1">
      <c r="A15" s="45" t="s">
        <v>113</v>
      </c>
      <c r="B15" s="12" t="s">
        <v>86</v>
      </c>
      <c r="C15" s="12" t="s">
        <v>105</v>
      </c>
      <c r="D15" s="12" t="s">
        <v>106</v>
      </c>
      <c r="E15" s="12" t="s">
        <v>117</v>
      </c>
      <c r="F15" s="12" t="s">
        <v>107</v>
      </c>
      <c r="G15" s="12" t="s">
        <v>108</v>
      </c>
      <c r="H15" s="12" t="s">
        <v>109</v>
      </c>
      <c r="I15" s="12" t="s">
        <v>110</v>
      </c>
      <c r="J15" s="12" t="s">
        <v>111</v>
      </c>
    </row>
    <row r="16" spans="1:10" ht="15">
      <c r="A16" s="13" t="s">
        <v>95</v>
      </c>
      <c r="B16" s="13">
        <f aca="true" t="shared" si="7" ref="B16:B24">B4*1.04</f>
        <v>520</v>
      </c>
      <c r="C16" s="13">
        <f>B16*9.35/100</f>
        <v>48.62</v>
      </c>
      <c r="D16" s="13">
        <f>B16-C16</f>
        <v>471.38</v>
      </c>
      <c r="E16" s="13">
        <f>B16*12.15/100</f>
        <v>63.18</v>
      </c>
      <c r="F16" s="13">
        <f>+(B16/12)/12</f>
        <v>3.611111111111111</v>
      </c>
      <c r="G16" s="13">
        <f>(218/12)/12</f>
        <v>1.513888888888889</v>
      </c>
      <c r="H16" s="13">
        <f>B16/24</f>
        <v>21.666666666666668</v>
      </c>
      <c r="I16" s="13">
        <f>B16/12</f>
        <v>43.333333333333336</v>
      </c>
      <c r="J16" s="13">
        <f>B16+E16+F16+G16+H16+I16</f>
        <v>653.305</v>
      </c>
    </row>
    <row r="17" spans="1:10" ht="15">
      <c r="A17" s="13" t="s">
        <v>94</v>
      </c>
      <c r="B17" s="13">
        <f t="shared" si="7"/>
        <v>260</v>
      </c>
      <c r="C17" s="13">
        <f aca="true" t="shared" si="8" ref="C17:C24">B17*9.35/100</f>
        <v>24.31</v>
      </c>
      <c r="D17" s="13">
        <f aca="true" t="shared" si="9" ref="D17:D22">B17-C17</f>
        <v>235.69</v>
      </c>
      <c r="E17" s="13">
        <f aca="true" t="shared" si="10" ref="E17:E22">B17*12.15/100</f>
        <v>31.59</v>
      </c>
      <c r="F17" s="13">
        <f aca="true" t="shared" si="11" ref="F17:F22">+(B17/12)/12</f>
        <v>1.8055555555555556</v>
      </c>
      <c r="G17" s="13">
        <f aca="true" t="shared" si="12" ref="G17:G24">(218/12)/12</f>
        <v>1.513888888888889</v>
      </c>
      <c r="H17" s="13">
        <f aca="true" t="shared" si="13" ref="H17:H22">B17/24</f>
        <v>10.833333333333334</v>
      </c>
      <c r="I17" s="13">
        <f aca="true" t="shared" si="14" ref="I17:I22">B17/12</f>
        <v>21.666666666666668</v>
      </c>
      <c r="J17" s="13">
        <f aca="true" t="shared" si="15" ref="J17:J22">B17+E17+F17+G17+H17+I17</f>
        <v>327.40944444444443</v>
      </c>
    </row>
    <row r="18" spans="1:10" ht="15">
      <c r="A18" s="13" t="s">
        <v>96</v>
      </c>
      <c r="B18" s="13">
        <f t="shared" si="7"/>
        <v>416</v>
      </c>
      <c r="C18" s="13">
        <f t="shared" si="8"/>
        <v>38.896</v>
      </c>
      <c r="D18" s="13">
        <f t="shared" si="9"/>
        <v>377.104</v>
      </c>
      <c r="E18" s="13">
        <f t="shared" si="10"/>
        <v>50.544000000000004</v>
      </c>
      <c r="F18" s="13">
        <f t="shared" si="11"/>
        <v>2.888888888888889</v>
      </c>
      <c r="G18" s="13">
        <f t="shared" si="12"/>
        <v>1.513888888888889</v>
      </c>
      <c r="H18" s="13">
        <f t="shared" si="13"/>
        <v>17.333333333333332</v>
      </c>
      <c r="I18" s="13">
        <f t="shared" si="14"/>
        <v>34.666666666666664</v>
      </c>
      <c r="J18" s="13">
        <f t="shared" si="15"/>
        <v>522.9467777777778</v>
      </c>
    </row>
    <row r="19" spans="1:10" ht="15">
      <c r="A19" s="13" t="s">
        <v>101</v>
      </c>
      <c r="B19" s="13">
        <f t="shared" si="7"/>
        <v>260</v>
      </c>
      <c r="C19" s="13">
        <f t="shared" si="8"/>
        <v>24.31</v>
      </c>
      <c r="D19" s="13">
        <f t="shared" si="9"/>
        <v>235.69</v>
      </c>
      <c r="E19" s="13">
        <f t="shared" si="10"/>
        <v>31.59</v>
      </c>
      <c r="F19" s="13">
        <f t="shared" si="11"/>
        <v>1.8055555555555556</v>
      </c>
      <c r="G19" s="13">
        <f t="shared" si="12"/>
        <v>1.513888888888889</v>
      </c>
      <c r="H19" s="13">
        <f t="shared" si="13"/>
        <v>10.833333333333334</v>
      </c>
      <c r="I19" s="13">
        <f t="shared" si="14"/>
        <v>21.666666666666668</v>
      </c>
      <c r="J19" s="13">
        <f t="shared" si="15"/>
        <v>327.40944444444443</v>
      </c>
    </row>
    <row r="20" spans="1:10" ht="15">
      <c r="A20" s="13" t="s">
        <v>102</v>
      </c>
      <c r="B20" s="13">
        <f t="shared" si="7"/>
        <v>260</v>
      </c>
      <c r="C20" s="13">
        <f t="shared" si="8"/>
        <v>24.31</v>
      </c>
      <c r="D20" s="13">
        <f t="shared" si="9"/>
        <v>235.69</v>
      </c>
      <c r="E20" s="13">
        <f t="shared" si="10"/>
        <v>31.59</v>
      </c>
      <c r="F20" s="13">
        <f t="shared" si="11"/>
        <v>1.8055555555555556</v>
      </c>
      <c r="G20" s="13">
        <f t="shared" si="12"/>
        <v>1.513888888888889</v>
      </c>
      <c r="H20" s="13">
        <f t="shared" si="13"/>
        <v>10.833333333333334</v>
      </c>
      <c r="I20" s="13">
        <f t="shared" si="14"/>
        <v>21.666666666666668</v>
      </c>
      <c r="J20" s="13">
        <f t="shared" si="15"/>
        <v>327.40944444444443</v>
      </c>
    </row>
    <row r="21" spans="1:10" ht="15">
      <c r="A21" s="13" t="s">
        <v>98</v>
      </c>
      <c r="B21" s="13">
        <f t="shared" si="7"/>
        <v>312</v>
      </c>
      <c r="C21" s="13">
        <f t="shared" si="8"/>
        <v>29.171999999999997</v>
      </c>
      <c r="D21" s="13">
        <f t="shared" si="9"/>
        <v>282.828</v>
      </c>
      <c r="E21" s="13">
        <f t="shared" si="10"/>
        <v>37.908</v>
      </c>
      <c r="F21" s="13">
        <f t="shared" si="11"/>
        <v>2.1666666666666665</v>
      </c>
      <c r="G21" s="13">
        <f t="shared" si="12"/>
        <v>1.513888888888889</v>
      </c>
      <c r="H21" s="13">
        <f t="shared" si="13"/>
        <v>13</v>
      </c>
      <c r="I21" s="13">
        <f t="shared" si="14"/>
        <v>26</v>
      </c>
      <c r="J21" s="13">
        <f t="shared" si="15"/>
        <v>392.5885555555556</v>
      </c>
    </row>
    <row r="22" spans="1:10" ht="15">
      <c r="A22" s="13" t="s">
        <v>99</v>
      </c>
      <c r="B22" s="13">
        <f t="shared" si="7"/>
        <v>312</v>
      </c>
      <c r="C22" s="13">
        <f t="shared" si="8"/>
        <v>29.171999999999997</v>
      </c>
      <c r="D22" s="13">
        <f t="shared" si="9"/>
        <v>282.828</v>
      </c>
      <c r="E22" s="13">
        <f t="shared" si="10"/>
        <v>37.908</v>
      </c>
      <c r="F22" s="13">
        <f t="shared" si="11"/>
        <v>2.1666666666666665</v>
      </c>
      <c r="G22" s="13">
        <f t="shared" si="12"/>
        <v>1.513888888888889</v>
      </c>
      <c r="H22" s="13">
        <f t="shared" si="13"/>
        <v>13</v>
      </c>
      <c r="I22" s="13">
        <f t="shared" si="14"/>
        <v>26</v>
      </c>
      <c r="J22" s="13">
        <f t="shared" si="15"/>
        <v>392.5885555555556</v>
      </c>
    </row>
    <row r="23" spans="1:10" ht="15">
      <c r="A23" s="13" t="s">
        <v>100</v>
      </c>
      <c r="B23" s="13">
        <f t="shared" si="7"/>
        <v>312</v>
      </c>
      <c r="C23" s="13">
        <f t="shared" si="8"/>
        <v>29.171999999999997</v>
      </c>
      <c r="D23" s="13">
        <f>B23-C23</f>
        <v>282.828</v>
      </c>
      <c r="E23" s="13">
        <f>B23*12.15/100</f>
        <v>37.908</v>
      </c>
      <c r="F23" s="13">
        <f>+(B23/12)/12</f>
        <v>2.1666666666666665</v>
      </c>
      <c r="G23" s="13">
        <f t="shared" si="12"/>
        <v>1.513888888888889</v>
      </c>
      <c r="H23" s="13">
        <f>B23/24</f>
        <v>13</v>
      </c>
      <c r="I23" s="13">
        <f>B23/12</f>
        <v>26</v>
      </c>
      <c r="J23" s="13">
        <f>B23+E23+F23+G23+H23+I23</f>
        <v>392.5885555555556</v>
      </c>
    </row>
    <row r="24" spans="1:10" ht="15">
      <c r="A24" s="13" t="s">
        <v>97</v>
      </c>
      <c r="B24" s="13">
        <f t="shared" si="7"/>
        <v>312</v>
      </c>
      <c r="C24" s="13">
        <f t="shared" si="8"/>
        <v>29.171999999999997</v>
      </c>
      <c r="D24" s="13">
        <f>B24-C24</f>
        <v>282.828</v>
      </c>
      <c r="E24" s="13">
        <f>B24*12.15/100</f>
        <v>37.908</v>
      </c>
      <c r="F24" s="13">
        <f>+(B24/12)/12</f>
        <v>2.1666666666666665</v>
      </c>
      <c r="G24" s="13">
        <f t="shared" si="12"/>
        <v>1.513888888888889</v>
      </c>
      <c r="H24" s="13">
        <f>B24/24</f>
        <v>13</v>
      </c>
      <c r="I24" s="13">
        <f>B24/12</f>
        <v>26</v>
      </c>
      <c r="J24" s="13">
        <f>B24+E24+F24+G24+H24+I24</f>
        <v>392.5885555555556</v>
      </c>
    </row>
    <row r="25" spans="1:10" ht="15">
      <c r="A25" s="43"/>
      <c r="B25" s="44">
        <f>SUM(B16:B24)</f>
        <v>2964</v>
      </c>
      <c r="C25" s="44">
        <f aca="true" t="shared" si="16" ref="C25:J25">SUM(C16:C24)</f>
        <v>277.134</v>
      </c>
      <c r="D25" s="44">
        <f t="shared" si="16"/>
        <v>2686.866</v>
      </c>
      <c r="E25" s="44">
        <f t="shared" si="16"/>
        <v>360.12600000000003</v>
      </c>
      <c r="F25" s="44">
        <f t="shared" si="16"/>
        <v>20.583333333333336</v>
      </c>
      <c r="G25" s="44">
        <f t="shared" si="16"/>
        <v>13.625000000000002</v>
      </c>
      <c r="H25" s="44">
        <f t="shared" si="16"/>
        <v>123.5</v>
      </c>
      <c r="I25" s="44">
        <f t="shared" si="16"/>
        <v>247</v>
      </c>
      <c r="J25" s="44">
        <f t="shared" si="16"/>
        <v>3728.8343333333332</v>
      </c>
    </row>
    <row r="27" spans="1:10" s="10" customFormat="1" ht="49.5" customHeight="1">
      <c r="A27" s="45" t="s">
        <v>114</v>
      </c>
      <c r="B27" s="12" t="s">
        <v>86</v>
      </c>
      <c r="C27" s="12" t="s">
        <v>105</v>
      </c>
      <c r="D27" s="12" t="s">
        <v>106</v>
      </c>
      <c r="E27" s="12" t="s">
        <v>117</v>
      </c>
      <c r="F27" s="12" t="s">
        <v>107</v>
      </c>
      <c r="G27" s="12" t="s">
        <v>108</v>
      </c>
      <c r="H27" s="12" t="s">
        <v>109</v>
      </c>
      <c r="I27" s="12" t="s">
        <v>110</v>
      </c>
      <c r="J27" s="12" t="s">
        <v>111</v>
      </c>
    </row>
    <row r="28" spans="1:10" ht="15">
      <c r="A28" s="13" t="s">
        <v>95</v>
      </c>
      <c r="B28" s="13">
        <f aca="true" t="shared" si="17" ref="B28:B36">B16*1.04</f>
        <v>540.8000000000001</v>
      </c>
      <c r="C28" s="13">
        <f>B28*9.35/100</f>
        <v>50.564800000000005</v>
      </c>
      <c r="D28" s="13">
        <f>B28-C28</f>
        <v>490.2352000000001</v>
      </c>
      <c r="E28" s="13">
        <f>B28*12.15/100</f>
        <v>65.70720000000001</v>
      </c>
      <c r="F28" s="13">
        <f>+(B28/12)/12</f>
        <v>3.755555555555556</v>
      </c>
      <c r="G28" s="13">
        <f>(218/12)/12</f>
        <v>1.513888888888889</v>
      </c>
      <c r="H28" s="13">
        <f>B28/24</f>
        <v>22.533333333333335</v>
      </c>
      <c r="I28" s="13">
        <f>B28/12</f>
        <v>45.06666666666667</v>
      </c>
      <c r="J28" s="13">
        <f>B28+E28+F28+G28+H28+I28</f>
        <v>679.3766444444447</v>
      </c>
    </row>
    <row r="29" spans="1:10" ht="15">
      <c r="A29" s="13" t="s">
        <v>94</v>
      </c>
      <c r="B29" s="13">
        <f t="shared" si="17"/>
        <v>270.40000000000003</v>
      </c>
      <c r="C29" s="13">
        <f aca="true" t="shared" si="18" ref="C29:C36">B29*9.35/100</f>
        <v>25.282400000000003</v>
      </c>
      <c r="D29" s="13">
        <f aca="true" t="shared" si="19" ref="D29:D35">B29-C29</f>
        <v>245.11760000000004</v>
      </c>
      <c r="E29" s="13">
        <f aca="true" t="shared" si="20" ref="E29:E35">B29*12.15/100</f>
        <v>32.85360000000001</v>
      </c>
      <c r="F29" s="13">
        <f aca="true" t="shared" si="21" ref="F29:F35">+(B29/12)/12</f>
        <v>1.877777777777778</v>
      </c>
      <c r="G29" s="13">
        <f aca="true" t="shared" si="22" ref="G29:G36">(218/12)/12</f>
        <v>1.513888888888889</v>
      </c>
      <c r="H29" s="13">
        <f aca="true" t="shared" si="23" ref="H29:H35">B29/24</f>
        <v>11.266666666666667</v>
      </c>
      <c r="I29" s="13">
        <f aca="true" t="shared" si="24" ref="I29:I35">B29/12</f>
        <v>22.533333333333335</v>
      </c>
      <c r="J29" s="13">
        <f aca="true" t="shared" si="25" ref="J29:J35">B29+E29+F29+G29+H29+I29</f>
        <v>340.4452666666668</v>
      </c>
    </row>
    <row r="30" spans="1:10" ht="15">
      <c r="A30" s="13" t="s">
        <v>96</v>
      </c>
      <c r="B30" s="13">
        <f t="shared" si="17"/>
        <v>432.64</v>
      </c>
      <c r="C30" s="13">
        <f t="shared" si="18"/>
        <v>40.45184</v>
      </c>
      <c r="D30" s="13">
        <f t="shared" si="19"/>
        <v>392.18816</v>
      </c>
      <c r="E30" s="13">
        <f t="shared" si="20"/>
        <v>52.56576</v>
      </c>
      <c r="F30" s="13">
        <f t="shared" si="21"/>
        <v>3.0044444444444447</v>
      </c>
      <c r="G30" s="13">
        <f t="shared" si="22"/>
        <v>1.513888888888889</v>
      </c>
      <c r="H30" s="13">
        <f t="shared" si="23"/>
        <v>18.026666666666667</v>
      </c>
      <c r="I30" s="13">
        <f t="shared" si="24"/>
        <v>36.053333333333335</v>
      </c>
      <c r="J30" s="13">
        <f t="shared" si="25"/>
        <v>543.8040933333333</v>
      </c>
    </row>
    <row r="31" spans="1:10" ht="15">
      <c r="A31" s="13" t="s">
        <v>101</v>
      </c>
      <c r="B31" s="13">
        <f t="shared" si="17"/>
        <v>270.40000000000003</v>
      </c>
      <c r="C31" s="13">
        <f t="shared" si="18"/>
        <v>25.282400000000003</v>
      </c>
      <c r="D31" s="13">
        <f t="shared" si="19"/>
        <v>245.11760000000004</v>
      </c>
      <c r="E31" s="13">
        <f t="shared" si="20"/>
        <v>32.85360000000001</v>
      </c>
      <c r="F31" s="13">
        <f t="shared" si="21"/>
        <v>1.877777777777778</v>
      </c>
      <c r="G31" s="13">
        <f t="shared" si="22"/>
        <v>1.513888888888889</v>
      </c>
      <c r="H31" s="13">
        <f t="shared" si="23"/>
        <v>11.266666666666667</v>
      </c>
      <c r="I31" s="13">
        <f t="shared" si="24"/>
        <v>22.533333333333335</v>
      </c>
      <c r="J31" s="13">
        <f t="shared" si="25"/>
        <v>340.4452666666668</v>
      </c>
    </row>
    <row r="32" spans="1:10" ht="15">
      <c r="A32" s="13" t="s">
        <v>102</v>
      </c>
      <c r="B32" s="13">
        <f t="shared" si="17"/>
        <v>270.40000000000003</v>
      </c>
      <c r="C32" s="13">
        <f t="shared" si="18"/>
        <v>25.282400000000003</v>
      </c>
      <c r="D32" s="13">
        <f t="shared" si="19"/>
        <v>245.11760000000004</v>
      </c>
      <c r="E32" s="13">
        <f t="shared" si="20"/>
        <v>32.85360000000001</v>
      </c>
      <c r="F32" s="13">
        <f t="shared" si="21"/>
        <v>1.877777777777778</v>
      </c>
      <c r="G32" s="13">
        <f t="shared" si="22"/>
        <v>1.513888888888889</v>
      </c>
      <c r="H32" s="13">
        <f t="shared" si="23"/>
        <v>11.266666666666667</v>
      </c>
      <c r="I32" s="13">
        <f t="shared" si="24"/>
        <v>22.533333333333335</v>
      </c>
      <c r="J32" s="13">
        <f t="shared" si="25"/>
        <v>340.4452666666668</v>
      </c>
    </row>
    <row r="33" spans="1:10" ht="15">
      <c r="A33" s="13" t="s">
        <v>98</v>
      </c>
      <c r="B33" s="13">
        <f t="shared" si="17"/>
        <v>324.48</v>
      </c>
      <c r="C33" s="13">
        <f t="shared" si="18"/>
        <v>30.33888</v>
      </c>
      <c r="D33" s="13">
        <f t="shared" si="19"/>
        <v>294.14112</v>
      </c>
      <c r="E33" s="13">
        <f t="shared" si="20"/>
        <v>39.42432</v>
      </c>
      <c r="F33" s="13">
        <f t="shared" si="21"/>
        <v>2.2533333333333334</v>
      </c>
      <c r="G33" s="13">
        <f t="shared" si="22"/>
        <v>1.513888888888889</v>
      </c>
      <c r="H33" s="13">
        <f t="shared" si="23"/>
        <v>13.520000000000001</v>
      </c>
      <c r="I33" s="13">
        <f t="shared" si="24"/>
        <v>27.040000000000003</v>
      </c>
      <c r="J33" s="13">
        <f t="shared" si="25"/>
        <v>408.2315422222223</v>
      </c>
    </row>
    <row r="34" spans="1:10" ht="15">
      <c r="A34" s="13" t="s">
        <v>99</v>
      </c>
      <c r="B34" s="13">
        <f t="shared" si="17"/>
        <v>324.48</v>
      </c>
      <c r="C34" s="13">
        <f t="shared" si="18"/>
        <v>30.33888</v>
      </c>
      <c r="D34" s="13">
        <f t="shared" si="19"/>
        <v>294.14112</v>
      </c>
      <c r="E34" s="13">
        <f t="shared" si="20"/>
        <v>39.42432</v>
      </c>
      <c r="F34" s="13">
        <f t="shared" si="21"/>
        <v>2.2533333333333334</v>
      </c>
      <c r="G34" s="13">
        <f t="shared" si="22"/>
        <v>1.513888888888889</v>
      </c>
      <c r="H34" s="13">
        <f t="shared" si="23"/>
        <v>13.520000000000001</v>
      </c>
      <c r="I34" s="13">
        <f t="shared" si="24"/>
        <v>27.040000000000003</v>
      </c>
      <c r="J34" s="13">
        <f t="shared" si="25"/>
        <v>408.2315422222223</v>
      </c>
    </row>
    <row r="35" spans="1:10" ht="15">
      <c r="A35" s="13" t="s">
        <v>100</v>
      </c>
      <c r="B35" s="13">
        <f t="shared" si="17"/>
        <v>324.48</v>
      </c>
      <c r="C35" s="13">
        <f t="shared" si="18"/>
        <v>30.33888</v>
      </c>
      <c r="D35" s="13">
        <f t="shared" si="19"/>
        <v>294.14112</v>
      </c>
      <c r="E35" s="13">
        <f t="shared" si="20"/>
        <v>39.42432</v>
      </c>
      <c r="F35" s="13">
        <f t="shared" si="21"/>
        <v>2.2533333333333334</v>
      </c>
      <c r="G35" s="13">
        <f t="shared" si="22"/>
        <v>1.513888888888889</v>
      </c>
      <c r="H35" s="13">
        <f t="shared" si="23"/>
        <v>13.520000000000001</v>
      </c>
      <c r="I35" s="13">
        <f t="shared" si="24"/>
        <v>27.040000000000003</v>
      </c>
      <c r="J35" s="13">
        <f t="shared" si="25"/>
        <v>408.2315422222223</v>
      </c>
    </row>
    <row r="36" spans="1:10" ht="15">
      <c r="A36" s="13" t="s">
        <v>97</v>
      </c>
      <c r="B36" s="13">
        <f t="shared" si="17"/>
        <v>324.48</v>
      </c>
      <c r="C36" s="13">
        <f t="shared" si="18"/>
        <v>30.33888</v>
      </c>
      <c r="D36" s="13">
        <f>B36-C36</f>
        <v>294.14112</v>
      </c>
      <c r="E36" s="13">
        <f>B36*12.15/100</f>
        <v>39.42432</v>
      </c>
      <c r="F36" s="13">
        <f>+(B36/12)/12</f>
        <v>2.2533333333333334</v>
      </c>
      <c r="G36" s="13">
        <f t="shared" si="22"/>
        <v>1.513888888888889</v>
      </c>
      <c r="H36" s="13">
        <f>B36/24</f>
        <v>13.520000000000001</v>
      </c>
      <c r="I36" s="13">
        <f>B36/12</f>
        <v>27.040000000000003</v>
      </c>
      <c r="J36" s="13">
        <f>B36+E36+F36+G36+H36+I36</f>
        <v>408.2315422222223</v>
      </c>
    </row>
    <row r="37" spans="1:10" ht="15">
      <c r="A37" s="43"/>
      <c r="B37" s="44">
        <f>SUM(B28:B36)</f>
        <v>3082.5600000000004</v>
      </c>
      <c r="C37" s="44">
        <f aca="true" t="shared" si="26" ref="C37:J37">SUM(C28:C36)</f>
        <v>288.21936</v>
      </c>
      <c r="D37" s="44">
        <f t="shared" si="26"/>
        <v>2794.3406400000003</v>
      </c>
      <c r="E37" s="44">
        <f t="shared" si="26"/>
        <v>374.53104000000013</v>
      </c>
      <c r="F37" s="44">
        <f t="shared" si="26"/>
        <v>21.40666666666667</v>
      </c>
      <c r="G37" s="44">
        <f t="shared" si="26"/>
        <v>13.625000000000002</v>
      </c>
      <c r="H37" s="44">
        <f t="shared" si="26"/>
        <v>128.44</v>
      </c>
      <c r="I37" s="44">
        <f t="shared" si="26"/>
        <v>256.88</v>
      </c>
      <c r="J37" s="44">
        <f t="shared" si="26"/>
        <v>3877.4427066666676</v>
      </c>
    </row>
    <row r="39" spans="1:10" s="10" customFormat="1" ht="49.5" customHeight="1">
      <c r="A39" s="45" t="s">
        <v>115</v>
      </c>
      <c r="B39" s="12" t="s">
        <v>86</v>
      </c>
      <c r="C39" s="12" t="s">
        <v>105</v>
      </c>
      <c r="D39" s="12" t="s">
        <v>106</v>
      </c>
      <c r="E39" s="12" t="s">
        <v>117</v>
      </c>
      <c r="F39" s="12" t="s">
        <v>107</v>
      </c>
      <c r="G39" s="12" t="s">
        <v>108</v>
      </c>
      <c r="H39" s="12" t="s">
        <v>109</v>
      </c>
      <c r="I39" s="12" t="s">
        <v>110</v>
      </c>
      <c r="J39" s="12" t="s">
        <v>111</v>
      </c>
    </row>
    <row r="40" spans="1:10" ht="15">
      <c r="A40" s="13" t="s">
        <v>95</v>
      </c>
      <c r="B40" s="13">
        <f aca="true" t="shared" si="27" ref="B40:B48">B28*1.04</f>
        <v>562.4320000000001</v>
      </c>
      <c r="C40" s="13">
        <f>B40*9.35/100</f>
        <v>52.58739200000001</v>
      </c>
      <c r="D40" s="13">
        <f>B40-C40</f>
        <v>509.8446080000001</v>
      </c>
      <c r="E40" s="13">
        <f>B40*12.15/100</f>
        <v>68.33548800000001</v>
      </c>
      <c r="F40" s="13">
        <f>+(B40/12)/12</f>
        <v>3.9057777777777787</v>
      </c>
      <c r="G40" s="13">
        <f>(218/12)/12</f>
        <v>1.513888888888889</v>
      </c>
      <c r="H40" s="13">
        <f>B40/24</f>
        <v>23.434666666666672</v>
      </c>
      <c r="I40" s="13">
        <f>B40/12</f>
        <v>46.869333333333344</v>
      </c>
      <c r="J40" s="13">
        <f>B40+E40+F40+G40+H40+I40</f>
        <v>706.4911546666668</v>
      </c>
    </row>
    <row r="41" spans="1:10" ht="15">
      <c r="A41" s="13" t="s">
        <v>94</v>
      </c>
      <c r="B41" s="13">
        <f t="shared" si="27"/>
        <v>281.21600000000007</v>
      </c>
      <c r="C41" s="13">
        <f aca="true" t="shared" si="28" ref="C41:C48">B41*9.35/100</f>
        <v>26.293696000000004</v>
      </c>
      <c r="D41" s="13">
        <f aca="true" t="shared" si="29" ref="D41:D48">B41-C41</f>
        <v>254.92230400000005</v>
      </c>
      <c r="E41" s="13">
        <f aca="true" t="shared" si="30" ref="E41:E48">B41*12.15/100</f>
        <v>34.167744000000006</v>
      </c>
      <c r="F41" s="13">
        <f aca="true" t="shared" si="31" ref="F41:F48">+(B41/12)/12</f>
        <v>1.9528888888888893</v>
      </c>
      <c r="G41" s="13">
        <f aca="true" t="shared" si="32" ref="G41:G48">(218/12)/12</f>
        <v>1.513888888888889</v>
      </c>
      <c r="H41" s="13">
        <f aca="true" t="shared" si="33" ref="H41:H48">B41/24</f>
        <v>11.717333333333336</v>
      </c>
      <c r="I41" s="13">
        <f aca="true" t="shared" si="34" ref="I41:I48">B41/12</f>
        <v>23.434666666666672</v>
      </c>
      <c r="J41" s="13">
        <f aca="true" t="shared" si="35" ref="J41:J48">B41+E41+F41+G41+H41+I41</f>
        <v>354.0025217777779</v>
      </c>
    </row>
    <row r="42" spans="1:10" ht="15">
      <c r="A42" s="13" t="s">
        <v>96</v>
      </c>
      <c r="B42" s="13">
        <f t="shared" si="27"/>
        <v>449.9456</v>
      </c>
      <c r="C42" s="13">
        <f t="shared" si="28"/>
        <v>42.0699136</v>
      </c>
      <c r="D42" s="13">
        <f t="shared" si="29"/>
        <v>407.8756864</v>
      </c>
      <c r="E42" s="13">
        <f t="shared" si="30"/>
        <v>54.66839040000001</v>
      </c>
      <c r="F42" s="13">
        <f t="shared" si="31"/>
        <v>3.124622222222222</v>
      </c>
      <c r="G42" s="13">
        <f t="shared" si="32"/>
        <v>1.513888888888889</v>
      </c>
      <c r="H42" s="13">
        <f t="shared" si="33"/>
        <v>18.747733333333333</v>
      </c>
      <c r="I42" s="13">
        <f t="shared" si="34"/>
        <v>37.495466666666665</v>
      </c>
      <c r="J42" s="13">
        <f t="shared" si="35"/>
        <v>565.4957015111112</v>
      </c>
    </row>
    <row r="43" spans="1:10" ht="15">
      <c r="A43" s="13" t="s">
        <v>101</v>
      </c>
      <c r="B43" s="13">
        <f t="shared" si="27"/>
        <v>281.21600000000007</v>
      </c>
      <c r="C43" s="13">
        <f t="shared" si="28"/>
        <v>26.293696000000004</v>
      </c>
      <c r="D43" s="13">
        <f t="shared" si="29"/>
        <v>254.92230400000005</v>
      </c>
      <c r="E43" s="13">
        <f t="shared" si="30"/>
        <v>34.167744000000006</v>
      </c>
      <c r="F43" s="13">
        <f t="shared" si="31"/>
        <v>1.9528888888888893</v>
      </c>
      <c r="G43" s="13">
        <f t="shared" si="32"/>
        <v>1.513888888888889</v>
      </c>
      <c r="H43" s="13">
        <f t="shared" si="33"/>
        <v>11.717333333333336</v>
      </c>
      <c r="I43" s="13">
        <f t="shared" si="34"/>
        <v>23.434666666666672</v>
      </c>
      <c r="J43" s="13">
        <f t="shared" si="35"/>
        <v>354.0025217777779</v>
      </c>
    </row>
    <row r="44" spans="1:10" ht="15">
      <c r="A44" s="13" t="s">
        <v>102</v>
      </c>
      <c r="B44" s="13">
        <f t="shared" si="27"/>
        <v>281.21600000000007</v>
      </c>
      <c r="C44" s="13">
        <f t="shared" si="28"/>
        <v>26.293696000000004</v>
      </c>
      <c r="D44" s="13">
        <f t="shared" si="29"/>
        <v>254.92230400000005</v>
      </c>
      <c r="E44" s="13">
        <f t="shared" si="30"/>
        <v>34.167744000000006</v>
      </c>
      <c r="F44" s="13">
        <f t="shared" si="31"/>
        <v>1.9528888888888893</v>
      </c>
      <c r="G44" s="13">
        <f t="shared" si="32"/>
        <v>1.513888888888889</v>
      </c>
      <c r="H44" s="13">
        <f t="shared" si="33"/>
        <v>11.717333333333336</v>
      </c>
      <c r="I44" s="13">
        <f t="shared" si="34"/>
        <v>23.434666666666672</v>
      </c>
      <c r="J44" s="13">
        <f t="shared" si="35"/>
        <v>354.0025217777779</v>
      </c>
    </row>
    <row r="45" spans="1:10" ht="15">
      <c r="A45" s="13" t="s">
        <v>98</v>
      </c>
      <c r="B45" s="13">
        <f t="shared" si="27"/>
        <v>337.4592</v>
      </c>
      <c r="C45" s="13">
        <f t="shared" si="28"/>
        <v>31.5524352</v>
      </c>
      <c r="D45" s="13">
        <f t="shared" si="29"/>
        <v>305.9067648</v>
      </c>
      <c r="E45" s="13">
        <f t="shared" si="30"/>
        <v>41.0012928</v>
      </c>
      <c r="F45" s="13">
        <f t="shared" si="31"/>
        <v>2.3434666666666666</v>
      </c>
      <c r="G45" s="13">
        <f t="shared" si="32"/>
        <v>1.513888888888889</v>
      </c>
      <c r="H45" s="13">
        <f t="shared" si="33"/>
        <v>14.0608</v>
      </c>
      <c r="I45" s="13">
        <f t="shared" si="34"/>
        <v>28.1216</v>
      </c>
      <c r="J45" s="13">
        <f t="shared" si="35"/>
        <v>424.5002483555556</v>
      </c>
    </row>
    <row r="46" spans="1:10" ht="15">
      <c r="A46" s="13" t="s">
        <v>99</v>
      </c>
      <c r="B46" s="13">
        <f t="shared" si="27"/>
        <v>337.4592</v>
      </c>
      <c r="C46" s="13">
        <f t="shared" si="28"/>
        <v>31.5524352</v>
      </c>
      <c r="D46" s="13">
        <f t="shared" si="29"/>
        <v>305.9067648</v>
      </c>
      <c r="E46" s="13">
        <f t="shared" si="30"/>
        <v>41.0012928</v>
      </c>
      <c r="F46" s="13">
        <f t="shared" si="31"/>
        <v>2.3434666666666666</v>
      </c>
      <c r="G46" s="13">
        <f t="shared" si="32"/>
        <v>1.513888888888889</v>
      </c>
      <c r="H46" s="13">
        <f t="shared" si="33"/>
        <v>14.0608</v>
      </c>
      <c r="I46" s="13">
        <f t="shared" si="34"/>
        <v>28.1216</v>
      </c>
      <c r="J46" s="13">
        <f t="shared" si="35"/>
        <v>424.5002483555556</v>
      </c>
    </row>
    <row r="47" spans="1:10" ht="15">
      <c r="A47" s="13" t="s">
        <v>100</v>
      </c>
      <c r="B47" s="13">
        <f t="shared" si="27"/>
        <v>337.4592</v>
      </c>
      <c r="C47" s="13">
        <f t="shared" si="28"/>
        <v>31.5524352</v>
      </c>
      <c r="D47" s="13">
        <f t="shared" si="29"/>
        <v>305.9067648</v>
      </c>
      <c r="E47" s="13">
        <f t="shared" si="30"/>
        <v>41.0012928</v>
      </c>
      <c r="F47" s="13">
        <f t="shared" si="31"/>
        <v>2.3434666666666666</v>
      </c>
      <c r="G47" s="13">
        <f t="shared" si="32"/>
        <v>1.513888888888889</v>
      </c>
      <c r="H47" s="13">
        <f t="shared" si="33"/>
        <v>14.0608</v>
      </c>
      <c r="I47" s="13">
        <f t="shared" si="34"/>
        <v>28.1216</v>
      </c>
      <c r="J47" s="13">
        <f t="shared" si="35"/>
        <v>424.5002483555556</v>
      </c>
    </row>
    <row r="48" spans="1:10" ht="15">
      <c r="A48" s="13" t="s">
        <v>97</v>
      </c>
      <c r="B48" s="13">
        <f t="shared" si="27"/>
        <v>337.4592</v>
      </c>
      <c r="C48" s="13">
        <f t="shared" si="28"/>
        <v>31.5524352</v>
      </c>
      <c r="D48" s="13">
        <f t="shared" si="29"/>
        <v>305.9067648</v>
      </c>
      <c r="E48" s="13">
        <f t="shared" si="30"/>
        <v>41.0012928</v>
      </c>
      <c r="F48" s="13">
        <f t="shared" si="31"/>
        <v>2.3434666666666666</v>
      </c>
      <c r="G48" s="13">
        <f t="shared" si="32"/>
        <v>1.513888888888889</v>
      </c>
      <c r="H48" s="13">
        <f t="shared" si="33"/>
        <v>14.0608</v>
      </c>
      <c r="I48" s="13">
        <f t="shared" si="34"/>
        <v>28.1216</v>
      </c>
      <c r="J48" s="13">
        <f t="shared" si="35"/>
        <v>424.5002483555556</v>
      </c>
    </row>
    <row r="49" spans="1:10" ht="15">
      <c r="A49" s="43"/>
      <c r="B49" s="44">
        <f>SUM(B40:B48)</f>
        <v>3205.862400000001</v>
      </c>
      <c r="C49" s="44">
        <f aca="true" t="shared" si="36" ref="C49:J49">SUM(C40:C48)</f>
        <v>299.7481344</v>
      </c>
      <c r="D49" s="44">
        <f t="shared" si="36"/>
        <v>2906.1142656000006</v>
      </c>
      <c r="E49" s="44">
        <f t="shared" si="36"/>
        <v>389.5122816</v>
      </c>
      <c r="F49" s="44">
        <f t="shared" si="36"/>
        <v>22.262933333333336</v>
      </c>
      <c r="G49" s="44">
        <f t="shared" si="36"/>
        <v>13.625000000000002</v>
      </c>
      <c r="H49" s="44">
        <f t="shared" si="36"/>
        <v>133.57760000000002</v>
      </c>
      <c r="I49" s="44">
        <f t="shared" si="36"/>
        <v>267.15520000000004</v>
      </c>
      <c r="J49" s="44">
        <f t="shared" si="36"/>
        <v>4031.9954149333334</v>
      </c>
    </row>
    <row r="51" spans="1:10" s="10" customFormat="1" ht="49.5" customHeight="1">
      <c r="A51" s="45" t="s">
        <v>116</v>
      </c>
      <c r="B51" s="12" t="s">
        <v>86</v>
      </c>
      <c r="C51" s="12" t="s">
        <v>105</v>
      </c>
      <c r="D51" s="12" t="s">
        <v>106</v>
      </c>
      <c r="E51" s="12" t="s">
        <v>117</v>
      </c>
      <c r="F51" s="12" t="s">
        <v>107</v>
      </c>
      <c r="G51" s="12" t="s">
        <v>108</v>
      </c>
      <c r="H51" s="12" t="s">
        <v>109</v>
      </c>
      <c r="I51" s="12" t="s">
        <v>110</v>
      </c>
      <c r="J51" s="12" t="s">
        <v>111</v>
      </c>
    </row>
    <row r="52" spans="1:10" ht="15">
      <c r="A52" s="13" t="s">
        <v>95</v>
      </c>
      <c r="B52" s="13">
        <f aca="true" t="shared" si="37" ref="B52:B60">B40*1.04</f>
        <v>584.9292800000002</v>
      </c>
      <c r="C52" s="13">
        <f>B52*9.35/100</f>
        <v>54.69088768000002</v>
      </c>
      <c r="D52" s="13">
        <f>B52-C52</f>
        <v>530.2383923200001</v>
      </c>
      <c r="E52" s="13">
        <f>B52*12.15/100</f>
        <v>71.06890752000002</v>
      </c>
      <c r="F52" s="13">
        <f>+(B52/12)/12</f>
        <v>4.06200888888889</v>
      </c>
      <c r="G52" s="13">
        <f>(218/12)/12</f>
        <v>1.513888888888889</v>
      </c>
      <c r="H52" s="13">
        <f>B52/24</f>
        <v>24.37205333333334</v>
      </c>
      <c r="I52" s="13">
        <f>B52/12</f>
        <v>48.74410666666668</v>
      </c>
      <c r="J52" s="13">
        <f>B52+E52+F52+G52+H52+I52</f>
        <v>734.690245297778</v>
      </c>
    </row>
    <row r="53" spans="1:10" ht="15">
      <c r="A53" s="13" t="s">
        <v>94</v>
      </c>
      <c r="B53" s="13">
        <f t="shared" si="37"/>
        <v>292.4646400000001</v>
      </c>
      <c r="C53" s="13">
        <f aca="true" t="shared" si="38" ref="C53:C61">B53*9.35/100</f>
        <v>27.34544384000001</v>
      </c>
      <c r="D53" s="13">
        <f aca="true" t="shared" si="39" ref="D53:D60">B53-C53</f>
        <v>265.11919616000006</v>
      </c>
      <c r="E53" s="13">
        <f aca="true" t="shared" si="40" ref="E53:E60">B53*12.15/100</f>
        <v>35.53445376000001</v>
      </c>
      <c r="F53" s="13">
        <f aca="true" t="shared" si="41" ref="F53:F60">+(B53/12)/12</f>
        <v>2.031004444444445</v>
      </c>
      <c r="G53" s="13">
        <f aca="true" t="shared" si="42" ref="G53:G61">(218/12)/12</f>
        <v>1.513888888888889</v>
      </c>
      <c r="H53" s="13">
        <f aca="true" t="shared" si="43" ref="H53:H60">B53/24</f>
        <v>12.18602666666667</v>
      </c>
      <c r="I53" s="13">
        <f aca="true" t="shared" si="44" ref="I53:I60">B53/12</f>
        <v>24.37205333333334</v>
      </c>
      <c r="J53" s="13">
        <f aca="true" t="shared" si="45" ref="J53:J60">B53+E53+F53+G53+H53+I53</f>
        <v>368.10206709333346</v>
      </c>
    </row>
    <row r="54" spans="1:10" ht="15">
      <c r="A54" s="13" t="s">
        <v>96</v>
      </c>
      <c r="B54" s="13">
        <f t="shared" si="37"/>
        <v>467.94342400000005</v>
      </c>
      <c r="C54" s="13">
        <f t="shared" si="38"/>
        <v>43.752710144000005</v>
      </c>
      <c r="D54" s="13">
        <f t="shared" si="39"/>
        <v>424.19071385600006</v>
      </c>
      <c r="E54" s="13">
        <f t="shared" si="40"/>
        <v>56.85512601600001</v>
      </c>
      <c r="F54" s="13">
        <f t="shared" si="41"/>
        <v>3.249607111111111</v>
      </c>
      <c r="G54" s="13">
        <f t="shared" si="42"/>
        <v>1.513888888888889</v>
      </c>
      <c r="H54" s="13">
        <f t="shared" si="43"/>
        <v>19.497642666666668</v>
      </c>
      <c r="I54" s="13">
        <f t="shared" si="44"/>
        <v>38.995285333333335</v>
      </c>
      <c r="J54" s="13">
        <f t="shared" si="45"/>
        <v>588.0549740160001</v>
      </c>
    </row>
    <row r="55" spans="1:10" ht="15">
      <c r="A55" s="13" t="s">
        <v>101</v>
      </c>
      <c r="B55" s="13">
        <f t="shared" si="37"/>
        <v>292.4646400000001</v>
      </c>
      <c r="C55" s="13">
        <f t="shared" si="38"/>
        <v>27.34544384000001</v>
      </c>
      <c r="D55" s="13">
        <f t="shared" si="39"/>
        <v>265.11919616000006</v>
      </c>
      <c r="E55" s="13">
        <f t="shared" si="40"/>
        <v>35.53445376000001</v>
      </c>
      <c r="F55" s="13">
        <f t="shared" si="41"/>
        <v>2.031004444444445</v>
      </c>
      <c r="G55" s="13">
        <f t="shared" si="42"/>
        <v>1.513888888888889</v>
      </c>
      <c r="H55" s="13">
        <f t="shared" si="43"/>
        <v>12.18602666666667</v>
      </c>
      <c r="I55" s="13">
        <f t="shared" si="44"/>
        <v>24.37205333333334</v>
      </c>
      <c r="J55" s="13">
        <f t="shared" si="45"/>
        <v>368.10206709333346</v>
      </c>
    </row>
    <row r="56" spans="1:10" ht="15">
      <c r="A56" s="13" t="s">
        <v>102</v>
      </c>
      <c r="B56" s="13">
        <f t="shared" si="37"/>
        <v>292.4646400000001</v>
      </c>
      <c r="C56" s="13">
        <f t="shared" si="38"/>
        <v>27.34544384000001</v>
      </c>
      <c r="D56" s="13">
        <f t="shared" si="39"/>
        <v>265.11919616000006</v>
      </c>
      <c r="E56" s="13">
        <f t="shared" si="40"/>
        <v>35.53445376000001</v>
      </c>
      <c r="F56" s="13">
        <f t="shared" si="41"/>
        <v>2.031004444444445</v>
      </c>
      <c r="G56" s="13">
        <f t="shared" si="42"/>
        <v>1.513888888888889</v>
      </c>
      <c r="H56" s="13">
        <f t="shared" si="43"/>
        <v>12.18602666666667</v>
      </c>
      <c r="I56" s="13">
        <f t="shared" si="44"/>
        <v>24.37205333333334</v>
      </c>
      <c r="J56" s="13">
        <f t="shared" si="45"/>
        <v>368.10206709333346</v>
      </c>
    </row>
    <row r="57" spans="1:10" ht="15">
      <c r="A57" s="13" t="s">
        <v>98</v>
      </c>
      <c r="B57" s="13">
        <f t="shared" si="37"/>
        <v>350.95756800000004</v>
      </c>
      <c r="C57" s="13">
        <f t="shared" si="38"/>
        <v>32.81453260800001</v>
      </c>
      <c r="D57" s="13">
        <f t="shared" si="39"/>
        <v>318.143035392</v>
      </c>
      <c r="E57" s="13">
        <f t="shared" si="40"/>
        <v>42.641344512</v>
      </c>
      <c r="F57" s="13">
        <f t="shared" si="41"/>
        <v>2.4372053333333334</v>
      </c>
      <c r="G57" s="13">
        <f t="shared" si="42"/>
        <v>1.513888888888889</v>
      </c>
      <c r="H57" s="13">
        <f t="shared" si="43"/>
        <v>14.623232000000002</v>
      </c>
      <c r="I57" s="13">
        <f t="shared" si="44"/>
        <v>29.246464000000003</v>
      </c>
      <c r="J57" s="13">
        <f t="shared" si="45"/>
        <v>441.4197027342223</v>
      </c>
    </row>
    <row r="58" spans="1:10" ht="15">
      <c r="A58" s="13" t="s">
        <v>99</v>
      </c>
      <c r="B58" s="13">
        <f t="shared" si="37"/>
        <v>350.95756800000004</v>
      </c>
      <c r="C58" s="13">
        <f t="shared" si="38"/>
        <v>32.81453260800001</v>
      </c>
      <c r="D58" s="13">
        <f t="shared" si="39"/>
        <v>318.143035392</v>
      </c>
      <c r="E58" s="13">
        <f t="shared" si="40"/>
        <v>42.641344512</v>
      </c>
      <c r="F58" s="13">
        <f t="shared" si="41"/>
        <v>2.4372053333333334</v>
      </c>
      <c r="G58" s="13">
        <f t="shared" si="42"/>
        <v>1.513888888888889</v>
      </c>
      <c r="H58" s="13">
        <f t="shared" si="43"/>
        <v>14.623232000000002</v>
      </c>
      <c r="I58" s="13">
        <f t="shared" si="44"/>
        <v>29.246464000000003</v>
      </c>
      <c r="J58" s="13">
        <f t="shared" si="45"/>
        <v>441.4197027342223</v>
      </c>
    </row>
    <row r="59" spans="1:10" ht="15">
      <c r="A59" s="13" t="s">
        <v>100</v>
      </c>
      <c r="B59" s="13">
        <f t="shared" si="37"/>
        <v>350.95756800000004</v>
      </c>
      <c r="C59" s="13">
        <f t="shared" si="38"/>
        <v>32.81453260800001</v>
      </c>
      <c r="D59" s="13">
        <f t="shared" si="39"/>
        <v>318.143035392</v>
      </c>
      <c r="E59" s="13">
        <f t="shared" si="40"/>
        <v>42.641344512</v>
      </c>
      <c r="F59" s="13">
        <f t="shared" si="41"/>
        <v>2.4372053333333334</v>
      </c>
      <c r="G59" s="13">
        <f t="shared" si="42"/>
        <v>1.513888888888889</v>
      </c>
      <c r="H59" s="13">
        <f t="shared" si="43"/>
        <v>14.623232000000002</v>
      </c>
      <c r="I59" s="13">
        <f t="shared" si="44"/>
        <v>29.246464000000003</v>
      </c>
      <c r="J59" s="13">
        <f t="shared" si="45"/>
        <v>441.4197027342223</v>
      </c>
    </row>
    <row r="60" spans="1:10" ht="15">
      <c r="A60" s="13" t="s">
        <v>97</v>
      </c>
      <c r="B60" s="13">
        <f t="shared" si="37"/>
        <v>350.95756800000004</v>
      </c>
      <c r="C60" s="13">
        <f t="shared" si="38"/>
        <v>32.81453260800001</v>
      </c>
      <c r="D60" s="13">
        <f t="shared" si="39"/>
        <v>318.143035392</v>
      </c>
      <c r="E60" s="13">
        <f t="shared" si="40"/>
        <v>42.641344512</v>
      </c>
      <c r="F60" s="13">
        <f t="shared" si="41"/>
        <v>2.4372053333333334</v>
      </c>
      <c r="G60" s="13">
        <f t="shared" si="42"/>
        <v>1.513888888888889</v>
      </c>
      <c r="H60" s="13">
        <f t="shared" si="43"/>
        <v>14.623232000000002</v>
      </c>
      <c r="I60" s="13">
        <f t="shared" si="44"/>
        <v>29.246464000000003</v>
      </c>
      <c r="J60" s="13">
        <f t="shared" si="45"/>
        <v>441.4197027342223</v>
      </c>
    </row>
    <row r="61" spans="1:10" ht="15">
      <c r="A61" s="13" t="s">
        <v>246</v>
      </c>
      <c r="B61" s="13">
        <v>300</v>
      </c>
      <c r="C61" s="13">
        <f t="shared" si="38"/>
        <v>28.05</v>
      </c>
      <c r="D61" s="13">
        <f>B61-C61</f>
        <v>271.95</v>
      </c>
      <c r="E61" s="13">
        <f>B61*12.15/100</f>
        <v>36.45</v>
      </c>
      <c r="F61" s="13">
        <f>+(B61/12)/12</f>
        <v>2.0833333333333335</v>
      </c>
      <c r="G61" s="13">
        <f t="shared" si="42"/>
        <v>1.513888888888889</v>
      </c>
      <c r="H61" s="13">
        <f>B61/24</f>
        <v>12.5</v>
      </c>
      <c r="I61" s="13">
        <f>B61/12</f>
        <v>25</v>
      </c>
      <c r="J61" s="13">
        <f>B61+E61+F61+G61+H61+I61</f>
        <v>377.5472222222222</v>
      </c>
    </row>
    <row r="62" spans="1:10" ht="15">
      <c r="A62" s="43"/>
      <c r="B62" s="44">
        <f>SUM(B52:B61)</f>
        <v>3634.096896</v>
      </c>
      <c r="C62" s="44">
        <f aca="true" t="shared" si="46" ref="C62:J62">SUM(C52:C61)</f>
        <v>339.7880597760001</v>
      </c>
      <c r="D62" s="44">
        <f t="shared" si="46"/>
        <v>3294.308836224</v>
      </c>
      <c r="E62" s="44">
        <f t="shared" si="46"/>
        <v>441.542772864</v>
      </c>
      <c r="F62" s="44">
        <f t="shared" si="46"/>
        <v>25.236784000000004</v>
      </c>
      <c r="G62" s="44">
        <f t="shared" si="46"/>
        <v>15.138888888888891</v>
      </c>
      <c r="H62" s="44">
        <f t="shared" si="46"/>
        <v>151.42070400000003</v>
      </c>
      <c r="I62" s="44">
        <f t="shared" si="46"/>
        <v>302.84140800000006</v>
      </c>
      <c r="J62" s="44">
        <f t="shared" si="46"/>
        <v>4570.27745375289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Gustavo Caceres</cp:lastModifiedBy>
  <dcterms:created xsi:type="dcterms:W3CDTF">2009-05-03T15:31:18Z</dcterms:created>
  <dcterms:modified xsi:type="dcterms:W3CDTF">2009-05-27T14:09:09Z</dcterms:modified>
  <cp:category/>
  <cp:version/>
  <cp:contentType/>
  <cp:contentStatus/>
</cp:coreProperties>
</file>