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195" windowHeight="9720"/>
  </bookViews>
  <sheets>
    <sheet name="gastos" sheetId="1" r:id="rId1"/>
    <sheet name="Hoja2" sheetId="2" r:id="rId2"/>
    <sheet name="cap trab" sheetId="8" r:id="rId3"/>
    <sheet name="tasa descuento" sheetId="5" r:id="rId4"/>
    <sheet name="flujo de caja" sheetId="4" r:id="rId5"/>
    <sheet name="CB_DATA_" sheetId="10" state="veryHidden" r:id="rId6"/>
    <sheet name="CB" sheetId="9" r:id="rId7"/>
    <sheet name="payback" sheetId="6" r:id="rId8"/>
  </sheets>
  <externalReferences>
    <externalReference r:id="rId9"/>
  </externalReferences>
  <definedNames>
    <definedName name="CB_a2fd7c8eda3641d2bbfd52aefd6afa28" localSheetId="6" hidden="1">CB!$B$4</definedName>
    <definedName name="CB_cb9de7797f0f4aaeb62704ce8afb766f" localSheetId="6" hidden="1">CB!$B$8</definedName>
    <definedName name="CB_df08f457d9f94d5387885af4c7f99c41" localSheetId="6" hidden="1">CB!$B$5</definedName>
    <definedName name="CB_fd93332beb3a45c08587eabf4c4758c8" localSheetId="6" hidden="1">CB!$B$3</definedName>
    <definedName name="CBWorkbookPriority" hidden="1">-270427071</definedName>
    <definedName name="CBx_3bbdecddc27845a7a5400a892f88f98a" localSheetId="5" hidden="1">"'CB_DATA_'!$A$1"</definedName>
    <definedName name="CBx_4331a6d8dd6a4bb7a4d54a94c7090bec" localSheetId="5" hidden="1">"'CB'!$A$1"</definedName>
    <definedName name="CBx_Sheet_Guid" localSheetId="6" hidden="1">"'4331a6d8-dd6a-4bb7-a4d5-4a94c7090bec"</definedName>
    <definedName name="CBx_Sheet_Guid" localSheetId="5" hidden="1">"'3bbdecdd-c278-45a7-a540-0a892f88f98a"</definedName>
    <definedName name="CBx_StorageType" localSheetId="6" hidden="1">1</definedName>
    <definedName name="CBx_StorageType" localSheetId="5" hidden="1">1</definedName>
    <definedName name="P">CB!$B$4</definedName>
    <definedName name="Q">CB!$B$5</definedName>
    <definedName name="TD">CB!$B$3</definedName>
  </definedNames>
  <calcPr calcId="114210"/>
</workbook>
</file>

<file path=xl/calcChain.xml><?xml version="1.0" encoding="utf-8"?>
<calcChain xmlns="http://schemas.openxmlformats.org/spreadsheetml/2006/main">
  <c r="E6" i="6"/>
  <c r="F6"/>
  <c r="C7"/>
  <c r="E7"/>
  <c r="F7"/>
  <c r="C8"/>
  <c r="E8"/>
  <c r="F8"/>
  <c r="C9"/>
  <c r="E9"/>
  <c r="F9"/>
  <c r="C10"/>
  <c r="E10"/>
  <c r="F10"/>
  <c r="I34" i="2"/>
  <c r="I35"/>
  <c r="G36"/>
  <c r="G35"/>
  <c r="G9" i="4"/>
  <c r="G11"/>
  <c r="C10"/>
  <c r="D10"/>
  <c r="E10"/>
  <c r="F10"/>
  <c r="O45" i="2"/>
  <c r="O44"/>
  <c r="B25" i="1"/>
  <c r="B84"/>
  <c r="B7" i="4"/>
  <c r="B29" i="8"/>
  <c r="B30"/>
  <c r="C29"/>
  <c r="C30"/>
  <c r="C31"/>
  <c r="D29"/>
  <c r="D30"/>
  <c r="D31"/>
  <c r="E29"/>
  <c r="E30"/>
  <c r="E31"/>
  <c r="B6" i="4"/>
  <c r="B31"/>
  <c r="C13"/>
  <c r="C14"/>
  <c r="C21"/>
  <c r="C9"/>
  <c r="C11"/>
  <c r="C22"/>
  <c r="C23"/>
  <c r="C24"/>
  <c r="C25"/>
  <c r="C26"/>
  <c r="C27"/>
  <c r="C31"/>
  <c r="D13"/>
  <c r="D14"/>
  <c r="D21"/>
  <c r="D9"/>
  <c r="D11"/>
  <c r="D22"/>
  <c r="D23"/>
  <c r="D24"/>
  <c r="D25"/>
  <c r="D26"/>
  <c r="D27"/>
  <c r="D31"/>
  <c r="E13"/>
  <c r="E14"/>
  <c r="E21"/>
  <c r="E9"/>
  <c r="E11"/>
  <c r="E22"/>
  <c r="E23"/>
  <c r="E24"/>
  <c r="E25"/>
  <c r="E26"/>
  <c r="E27"/>
  <c r="E31"/>
  <c r="F13"/>
  <c r="F14"/>
  <c r="F21"/>
  <c r="F9"/>
  <c r="F11"/>
  <c r="F22"/>
  <c r="F23"/>
  <c r="F24"/>
  <c r="F25"/>
  <c r="F26"/>
  <c r="F27"/>
  <c r="F31"/>
  <c r="G13"/>
  <c r="G14"/>
  <c r="G21"/>
  <c r="G22"/>
  <c r="G23"/>
  <c r="G24"/>
  <c r="G25"/>
  <c r="G26"/>
  <c r="G30"/>
  <c r="G27"/>
  <c r="G31"/>
  <c r="B33"/>
  <c r="E90" i="1"/>
  <c r="B91"/>
  <c r="C91"/>
  <c r="D91"/>
  <c r="E91"/>
  <c r="C92"/>
  <c r="B92"/>
  <c r="D92"/>
  <c r="E92"/>
  <c r="C93"/>
  <c r="B93"/>
  <c r="D93"/>
  <c r="E93"/>
  <c r="C94"/>
  <c r="B94"/>
  <c r="D94"/>
  <c r="E94"/>
  <c r="C95"/>
  <c r="B95"/>
  <c r="D7" i="8"/>
  <c r="D8"/>
  <c r="D9"/>
  <c r="D10"/>
  <c r="D11"/>
  <c r="D12"/>
  <c r="B13"/>
  <c r="D13"/>
  <c r="D6"/>
  <c r="B18"/>
  <c r="B20"/>
  <c r="C18"/>
  <c r="C20"/>
  <c r="C23"/>
  <c r="D18"/>
  <c r="D20"/>
  <c r="D23"/>
  <c r="E18"/>
  <c r="E20"/>
  <c r="E23"/>
  <c r="B35" i="4"/>
  <c r="B34"/>
  <c r="B8" i="9"/>
  <c r="C8" i="5"/>
  <c r="D47" i="2"/>
  <c r="B26" i="5"/>
  <c r="B28"/>
  <c r="F23" i="8"/>
  <c r="G23"/>
  <c r="H23"/>
  <c r="I23"/>
  <c r="J23"/>
  <c r="K23"/>
  <c r="L23"/>
  <c r="M23"/>
  <c r="C22"/>
  <c r="D22"/>
  <c r="E22"/>
  <c r="F22"/>
  <c r="G22"/>
  <c r="H22"/>
  <c r="I22"/>
  <c r="J22"/>
  <c r="K22"/>
  <c r="L22"/>
  <c r="M22"/>
  <c r="D3"/>
  <c r="D4"/>
  <c r="D5"/>
  <c r="F18"/>
  <c r="F20"/>
  <c r="G18"/>
  <c r="G20"/>
  <c r="H18"/>
  <c r="H20"/>
  <c r="I18"/>
  <c r="I20"/>
  <c r="J18"/>
  <c r="J20"/>
  <c r="K18"/>
  <c r="K20"/>
  <c r="L18"/>
  <c r="L20"/>
  <c r="M18"/>
  <c r="M20"/>
  <c r="N20"/>
  <c r="G17" i="4"/>
  <c r="D17"/>
  <c r="E17"/>
  <c r="F17"/>
  <c r="D19" i="5"/>
  <c r="E71" i="1"/>
  <c r="G60"/>
  <c r="C4" i="5"/>
  <c r="C10"/>
  <c r="C5" i="1"/>
  <c r="G75"/>
  <c r="G76"/>
  <c r="G77"/>
  <c r="F78"/>
  <c r="G78"/>
  <c r="G79"/>
  <c r="F79"/>
  <c r="C75"/>
  <c r="C76"/>
  <c r="C77"/>
  <c r="C78"/>
  <c r="C79"/>
  <c r="C80"/>
  <c r="C81"/>
  <c r="B81"/>
  <c r="D58"/>
  <c r="D59"/>
  <c r="D60"/>
  <c r="D61"/>
  <c r="D62"/>
  <c r="D63"/>
  <c r="D64"/>
  <c r="D71"/>
  <c r="E58"/>
  <c r="E59"/>
  <c r="E60"/>
  <c r="E61"/>
  <c r="E62"/>
  <c r="E63"/>
  <c r="E64"/>
  <c r="E66"/>
  <c r="E67"/>
  <c r="E68"/>
  <c r="E69"/>
  <c r="E70"/>
  <c r="D44"/>
  <c r="D52"/>
  <c r="C39"/>
  <c r="D53"/>
  <c r="O46" i="2"/>
  <c r="E47"/>
  <c r="F47"/>
  <c r="G47"/>
  <c r="H47"/>
  <c r="I47"/>
  <c r="J47"/>
  <c r="K47"/>
  <c r="L47"/>
  <c r="M47"/>
  <c r="N47"/>
  <c r="O47"/>
  <c r="C47"/>
  <c r="O43"/>
  <c r="C47" i="1"/>
  <c r="C48"/>
  <c r="C43"/>
  <c r="C44"/>
  <c r="C45"/>
  <c r="C46"/>
  <c r="C49"/>
  <c r="C51"/>
  <c r="C52"/>
  <c r="F39"/>
  <c r="E39" i="2"/>
  <c r="J36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E8"/>
  <c r="E9"/>
  <c r="E10"/>
  <c r="E11"/>
  <c r="E12"/>
  <c r="E13"/>
  <c r="E14"/>
  <c r="E7"/>
  <c r="G7"/>
  <c r="E16"/>
  <c r="E17"/>
  <c r="E15"/>
  <c r="G15"/>
  <c r="E19"/>
  <c r="E20"/>
  <c r="E21"/>
  <c r="E22"/>
  <c r="E23"/>
  <c r="E24"/>
  <c r="E25"/>
  <c r="E18"/>
  <c r="G18"/>
  <c r="E27"/>
  <c r="E28"/>
  <c r="E29"/>
  <c r="E30"/>
  <c r="E31"/>
  <c r="E32"/>
  <c r="E33"/>
  <c r="E26"/>
  <c r="G26"/>
  <c r="G8"/>
  <c r="G9"/>
  <c r="G10"/>
  <c r="G11"/>
  <c r="G12"/>
  <c r="G13"/>
  <c r="G14"/>
  <c r="G16"/>
  <c r="G17"/>
  <c r="G19"/>
  <c r="G20"/>
  <c r="G21"/>
  <c r="G22"/>
  <c r="G23"/>
  <c r="G24"/>
  <c r="G25"/>
  <c r="G27"/>
  <c r="G28"/>
  <c r="G29"/>
  <c r="G30"/>
  <c r="G31"/>
  <c r="G32"/>
  <c r="G33"/>
  <c r="C13" i="1"/>
  <c r="B31" i="8"/>
  <c r="F29"/>
  <c r="F30"/>
  <c r="G29"/>
  <c r="G30"/>
  <c r="H29"/>
  <c r="H30"/>
  <c r="I29"/>
  <c r="I30"/>
  <c r="J29"/>
  <c r="J30"/>
  <c r="K29"/>
  <c r="K30"/>
  <c r="L29"/>
  <c r="L30"/>
  <c r="M29"/>
  <c r="M30"/>
  <c r="F31"/>
  <c r="G31"/>
  <c r="H31"/>
  <c r="I31"/>
  <c r="J31"/>
  <c r="K31"/>
  <c r="L31"/>
  <c r="M31"/>
  <c r="N29"/>
  <c r="F91" i="1"/>
  <c r="D95"/>
  <c r="E95"/>
  <c r="E96"/>
  <c r="F95"/>
  <c r="F94"/>
  <c r="F93"/>
  <c r="F92"/>
</calcChain>
</file>

<file path=xl/comments1.xml><?xml version="1.0" encoding="utf-8"?>
<comments xmlns="http://schemas.openxmlformats.org/spreadsheetml/2006/main">
  <authors>
    <author>windowsxp</author>
  </authors>
  <commentList>
    <comment ref="C39" authorId="0">
      <text>
        <r>
          <rPr>
            <b/>
            <sz val="8"/>
            <color indexed="81"/>
            <rFont val="Tahoma"/>
            <family val="2"/>
          </rPr>
          <t>windowsxp:</t>
        </r>
        <r>
          <rPr>
            <sz val="8"/>
            <color indexed="81"/>
            <rFont val="Tahoma"/>
            <family val="2"/>
          </rPr>
          <t xml:space="preserve">
Menos el seguros  puesto que no se debe amortizar</t>
        </r>
      </text>
    </comment>
  </commentList>
</comments>
</file>

<file path=xl/sharedStrings.xml><?xml version="1.0" encoding="utf-8"?>
<sst xmlns="http://schemas.openxmlformats.org/spreadsheetml/2006/main" count="350" uniqueCount="298">
  <si>
    <t>inversiones varias</t>
  </si>
  <si>
    <t>concepto</t>
  </si>
  <si>
    <t>subtotal</t>
  </si>
  <si>
    <t>total</t>
  </si>
  <si>
    <t>gastos de puesta en marcha</t>
  </si>
  <si>
    <t>seguro</t>
  </si>
  <si>
    <t>linea telefonica</t>
  </si>
  <si>
    <t>otros</t>
  </si>
  <si>
    <t>gastos de constitucion</t>
  </si>
  <si>
    <t>inversion inicial</t>
  </si>
  <si>
    <t>edificio</t>
  </si>
  <si>
    <t>muebles y enceres</t>
  </si>
  <si>
    <t>Equipos de Computación</t>
  </si>
  <si>
    <t>Equipos de Oficina</t>
  </si>
  <si>
    <t>Gastos de Puesta en Marcha</t>
  </si>
  <si>
    <t>Gastos de Constitución</t>
  </si>
  <si>
    <t>equipos varios</t>
  </si>
  <si>
    <t>programas</t>
  </si>
  <si>
    <t>Gastos de Publicidad</t>
  </si>
  <si>
    <t>Acciones de Lanzamiento</t>
  </si>
  <si>
    <t xml:space="preserve">Diario El Universo 1/2 página </t>
  </si>
  <si>
    <t xml:space="preserve">Mailing masivo </t>
  </si>
  <si>
    <t>Web site</t>
  </si>
  <si>
    <t>Mailing Masivo</t>
  </si>
  <si>
    <t>Se mantendrá un costo de publicidad anual de</t>
  </si>
  <si>
    <t>comercial de tv</t>
  </si>
  <si>
    <t>Vistazo</t>
  </si>
  <si>
    <t>facebook</t>
  </si>
  <si>
    <t>messenger</t>
  </si>
  <si>
    <t>intercambio de banners en paginas web</t>
  </si>
  <si>
    <t>indefinida</t>
  </si>
  <si>
    <t>revista</t>
  </si>
  <si>
    <t>post en bolg ecuatoriano</t>
  </si>
  <si>
    <t xml:space="preserve">advertirse en facebook el dia($20) </t>
  </si>
  <si>
    <t>el universo (la revista)</t>
  </si>
  <si>
    <t>DEPRECIACIÓN</t>
  </si>
  <si>
    <t>Activo</t>
  </si>
  <si>
    <t>Vida contable</t>
  </si>
  <si>
    <t>Depreciación anual</t>
  </si>
  <si>
    <t>Años 
depreciándose</t>
  </si>
  <si>
    <t>Depreciación acumulada</t>
  </si>
  <si>
    <t>Valor en libros</t>
  </si>
  <si>
    <t>VALOR DE DESECHO</t>
  </si>
  <si>
    <t>Concepto</t>
  </si>
  <si>
    <t>Valor</t>
  </si>
  <si>
    <t>Amortización</t>
  </si>
  <si>
    <t>Amortización
Anual</t>
  </si>
  <si>
    <t>Puesta en Marcha y constitución</t>
  </si>
  <si>
    <t>equipos de oficina</t>
  </si>
  <si>
    <t>Samsung CLP-315 Laser Printer</t>
  </si>
  <si>
    <t>telefonos Panasonic KX-TG9344T 1.9 GHz</t>
  </si>
  <si>
    <t>infocus</t>
  </si>
  <si>
    <t>dispensador de agua</t>
  </si>
  <si>
    <t>equipo de audio</t>
  </si>
  <si>
    <t>aire acodicionado central</t>
  </si>
  <si>
    <t>lcds</t>
  </si>
  <si>
    <t>equipos de computacion</t>
  </si>
  <si>
    <t>computadoras</t>
  </si>
  <si>
    <t>avid pc</t>
  </si>
  <si>
    <t>otros equipos</t>
  </si>
  <si>
    <t>Canon PowerShot SX10 IS Camera</t>
  </si>
  <si>
    <t>Sony HDR-FX7 Mini DV Videocámara</t>
  </si>
  <si>
    <t>American Audio MX-1400 DSP 4-Channel with Effects</t>
  </si>
  <si>
    <t>switcher</t>
  </si>
  <si>
    <t>monitores</t>
  </si>
  <si>
    <t>luces reflectores</t>
  </si>
  <si>
    <t>tripodes</t>
  </si>
  <si>
    <t>muebles de oficinas</t>
  </si>
  <si>
    <t>escritorios</t>
  </si>
  <si>
    <t>percheros</t>
  </si>
  <si>
    <t>sillas</t>
  </si>
  <si>
    <t>recepcion</t>
  </si>
  <si>
    <t>mesa de reunion</t>
  </si>
  <si>
    <t>sillas de reunion</t>
  </si>
  <si>
    <t>juego de sala</t>
  </si>
  <si>
    <t>cantidad</t>
  </si>
  <si>
    <t>depreciacion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</si>
  <si>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</si>
  <si>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</si>
  <si>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</si>
  <si>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</si>
  <si>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</si>
  <si>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</si>
  <si>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</si>
  <si>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</si>
  <si>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</si>
  <si>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TOTAL ANUAL</t>
  </si>
  <si>
    <t>EGRESOS</t>
  </si>
  <si>
    <t>SALDO ACUMULADO</t>
  </si>
  <si>
    <t>CONTENIDO</t>
  </si>
  <si>
    <t>VALOR</t>
  </si>
  <si>
    <t>CAMPANA COMPLETA</t>
  </si>
  <si>
    <t>marketing de buscadores</t>
  </si>
  <si>
    <t>estudio de mercado</t>
  </si>
  <si>
    <t>spot de television y pantalla interactivas</t>
  </si>
  <si>
    <t>sitio web, alta en buscadores y posicionamiento</t>
  </si>
  <si>
    <t>emailing</t>
  </si>
  <si>
    <t>banner en facebook</t>
  </si>
  <si>
    <t>banner en hi5</t>
  </si>
  <si>
    <t>advertirse en facebook todo el ano</t>
  </si>
  <si>
    <t>post en blog ecuatoriano</t>
  </si>
  <si>
    <t>COSTO</t>
  </si>
  <si>
    <t>internet</t>
  </si>
  <si>
    <t>buscadores en google</t>
  </si>
  <si>
    <t>posicionamiento de la pag web</t>
  </si>
  <si>
    <t>honorarios por campaña</t>
  </si>
  <si>
    <t>medios</t>
  </si>
  <si>
    <t>precio</t>
  </si>
  <si>
    <t>precio mensual</t>
  </si>
  <si>
    <t>precio anual</t>
  </si>
  <si>
    <t>cantidad de campanas</t>
  </si>
  <si>
    <t>utilidad</t>
  </si>
  <si>
    <t>ingreso por campaña</t>
  </si>
  <si>
    <t>Sept</t>
  </si>
  <si>
    <t>Oct</t>
  </si>
  <si>
    <t>Nov</t>
  </si>
  <si>
    <t>Dic</t>
  </si>
  <si>
    <t>Feb</t>
  </si>
  <si>
    <t>Ago</t>
  </si>
  <si>
    <t>1% por trab</t>
  </si>
  <si>
    <t>produccion</t>
  </si>
  <si>
    <t>gastos financieros</t>
  </si>
  <si>
    <t>AÑOS</t>
  </si>
  <si>
    <t>Año 1</t>
  </si>
  <si>
    <t>Año 2</t>
  </si>
  <si>
    <t>Año 3</t>
  </si>
  <si>
    <t>Año 4</t>
  </si>
  <si>
    <t>Año 5</t>
  </si>
  <si>
    <t>(-) Inversion fija</t>
  </si>
  <si>
    <t>(-) Gastos pre-operativos</t>
  </si>
  <si>
    <t>(-) Capital de trabajo</t>
  </si>
  <si>
    <t>(+) Prestamos</t>
  </si>
  <si>
    <t>Ingresos por ventas</t>
  </si>
  <si>
    <t xml:space="preserve">Precio </t>
  </si>
  <si>
    <t>Cantidad</t>
  </si>
  <si>
    <t>(+) Total ingresos por ventas</t>
  </si>
  <si>
    <t>Egresos</t>
  </si>
  <si>
    <t>(-) Costos de produccion o de ventas</t>
  </si>
  <si>
    <t>(-) Gastos de ventas (publicidad)</t>
  </si>
  <si>
    <t>(-) Gastos de sueldos y salarios</t>
  </si>
  <si>
    <t>(-) Gastos de servicios Basicos</t>
  </si>
  <si>
    <t>(-) Gastos de depreciacion</t>
  </si>
  <si>
    <t>(-) Gastos Generales y de Adm.</t>
  </si>
  <si>
    <t>Total de Egresos</t>
  </si>
  <si>
    <t>UTILIDAD NETA ANTES PAT</t>
  </si>
  <si>
    <t>(-)15% PAT</t>
  </si>
  <si>
    <t>Utilidad antes IR</t>
  </si>
  <si>
    <t>(-) 25% IR</t>
  </si>
  <si>
    <t>Utilidad neta</t>
  </si>
  <si>
    <t>(+) depreciacion</t>
  </si>
  <si>
    <t>(-) amortizaciones por prestamo</t>
  </si>
  <si>
    <t>Valor de desecho</t>
  </si>
  <si>
    <t>Capital de trabajo</t>
  </si>
  <si>
    <t>Flujo de Efectivo Neto</t>
  </si>
  <si>
    <t>TIR</t>
  </si>
  <si>
    <t>VAN=</t>
  </si>
  <si>
    <t>CAPM</t>
  </si>
  <si>
    <t>gastos sueldos</t>
  </si>
  <si>
    <t>personal administrativo</t>
  </si>
  <si>
    <t>numero de puestos</t>
  </si>
  <si>
    <t>unitario</t>
  </si>
  <si>
    <t>mensual</t>
  </si>
  <si>
    <t>anual</t>
  </si>
  <si>
    <t>Gerente General</t>
  </si>
  <si>
    <t>Gerente Administrativo Financiero</t>
  </si>
  <si>
    <t>Gerente Comercial</t>
  </si>
  <si>
    <t>director marketing y publicidad</t>
  </si>
  <si>
    <t>director multimedia</t>
  </si>
  <si>
    <t>director creativo</t>
  </si>
  <si>
    <t>Fuerza de Ventas</t>
  </si>
  <si>
    <t xml:space="preserve">personal tecnico </t>
  </si>
  <si>
    <t>asistente creativo</t>
  </si>
  <si>
    <t>editor</t>
  </si>
  <si>
    <t>programador</t>
  </si>
  <si>
    <t>asitente publicista</t>
  </si>
  <si>
    <t>recepcionista</t>
  </si>
  <si>
    <t>servicos basicos</t>
  </si>
  <si>
    <t xml:space="preserve">luz </t>
  </si>
  <si>
    <t>agua</t>
  </si>
  <si>
    <t>telefono</t>
  </si>
  <si>
    <t>limpieza</t>
  </si>
  <si>
    <t>seguridad</t>
  </si>
  <si>
    <t>Prestamo</t>
  </si>
  <si>
    <t>Tasa de Interés</t>
  </si>
  <si>
    <t>Plazo</t>
  </si>
  <si>
    <t>años</t>
  </si>
  <si>
    <t>periodo</t>
  </si>
  <si>
    <t>pago anual</t>
  </si>
  <si>
    <t>interes</t>
  </si>
  <si>
    <t>capital amortizado</t>
  </si>
  <si>
    <t>saldo absoluto</t>
  </si>
  <si>
    <t>pago mensual</t>
  </si>
  <si>
    <t xml:space="preserve"> gastos generales y de administracion</t>
  </si>
  <si>
    <t>Mensual</t>
  </si>
  <si>
    <t>Anual</t>
  </si>
  <si>
    <t>Gastos mantenimiento de equipo y oficina</t>
  </si>
  <si>
    <t>Gastos de seguro</t>
  </si>
  <si>
    <t>Suministros de Oficina</t>
  </si>
  <si>
    <t>Imprevistos 5%</t>
  </si>
  <si>
    <t xml:space="preserve">Total </t>
  </si>
  <si>
    <t>(-) Gastos financieros</t>
  </si>
  <si>
    <t>patente</t>
  </si>
  <si>
    <t>instalaciones y cableado</t>
  </si>
  <si>
    <t>ESTIMACION DE LA TASA DE DESCUENTO</t>
  </si>
  <si>
    <t>BONOS DEL TESORO DE ESTADOS UNIDOS - TNA (TASA NOMINAL ANUAL)</t>
  </si>
  <si>
    <t>CAPM Re = Rf + B(Prima de Riesgo)</t>
  </si>
  <si>
    <t>Tiempo</t>
  </si>
  <si>
    <t> </t>
  </si>
  <si>
    <t>Beta promedio del sector (EUA)</t>
  </si>
  <si>
    <t>3 meses</t>
  </si>
  <si>
    <t>4,61</t>
  </si>
  <si>
    <t>Prima de riesgo = Rm - Rf</t>
  </si>
  <si>
    <t>6 meses</t>
  </si>
  <si>
    <t>4,79</t>
  </si>
  <si>
    <t xml:space="preserve">Ibbotson histórico señala prima de riesgo = </t>
  </si>
  <si>
    <t>2 años</t>
  </si>
  <si>
    <t>4,76</t>
  </si>
  <si>
    <t>Rf bonos del tesoro EU=</t>
  </si>
  <si>
    <t>5 años</t>
  </si>
  <si>
    <t>2,30</t>
  </si>
  <si>
    <t>2,39</t>
  </si>
  <si>
    <t>2,55</t>
  </si>
  <si>
    <t>1,66</t>
  </si>
  <si>
    <t>1,51</t>
  </si>
  <si>
    <t>2,98</t>
  </si>
  <si>
    <t>3,32</t>
  </si>
  <si>
    <t>Re calculado =</t>
  </si>
  <si>
    <t>10 años</t>
  </si>
  <si>
    <t>3,34</t>
  </si>
  <si>
    <t>3,40</t>
  </si>
  <si>
    <t>3,53</t>
  </si>
  <si>
    <t>2,66</t>
  </si>
  <si>
    <t>2,13</t>
  </si>
  <si>
    <t>3,84</t>
  </si>
  <si>
    <t>3,96</t>
  </si>
  <si>
    <t>Riesgo Pais Asociado al Mercado Ecuatoriano BCE</t>
  </si>
  <si>
    <t>30 años</t>
  </si>
  <si>
    <t>4,16</t>
  </si>
  <si>
    <t>4,18</t>
  </si>
  <si>
    <t>4,33</t>
  </si>
  <si>
    <t>3,54</t>
  </si>
  <si>
    <t>2,59</t>
  </si>
  <si>
    <t>4,32</t>
  </si>
  <si>
    <t>4,52</t>
  </si>
  <si>
    <t>Re ECU= Re calculado + Riesgo Mercado Ecuatoriano</t>
  </si>
  <si>
    <t>Compañias</t>
  </si>
  <si>
    <t>BETA</t>
  </si>
  <si>
    <t>Promedio de beta por sector</t>
  </si>
  <si>
    <t>Costo Promedio Ponderado de Capital</t>
  </si>
  <si>
    <t>CCPP= kd(D/P)+ ke(1- D/P)</t>
  </si>
  <si>
    <t>kd</t>
  </si>
  <si>
    <t>D/P</t>
  </si>
  <si>
    <t>ke</t>
  </si>
  <si>
    <t>(1- D/P)</t>
  </si>
  <si>
    <t xml:space="preserve">CCPP= </t>
  </si>
  <si>
    <t>Período de Recuperación de la Inversión (Payback)</t>
  </si>
  <si>
    <t>Periodo</t>
  </si>
  <si>
    <t>Saldo</t>
  </si>
  <si>
    <t>Flujo</t>
  </si>
  <si>
    <t>Rentabilidad</t>
  </si>
  <si>
    <t>Recuperación</t>
  </si>
  <si>
    <t>(años)</t>
  </si>
  <si>
    <t>inversión</t>
  </si>
  <si>
    <t>de caja</t>
  </si>
  <si>
    <t>exigida</t>
  </si>
  <si>
    <t>Inversión</t>
  </si>
  <si>
    <t>ace marketing and promotions</t>
  </si>
  <si>
    <t>klever marketing inc</t>
  </si>
  <si>
    <t>marketing acquisition corp</t>
  </si>
  <si>
    <t>marketing worldwide corp</t>
  </si>
  <si>
    <t>organic sales and amrketing</t>
  </si>
  <si>
    <t>FLUJO DE EFECTIVO NETO (Capital de Trabajo)</t>
  </si>
  <si>
    <t>MES</t>
  </si>
  <si>
    <t>INGRESOS POR VENTAS</t>
  </si>
  <si>
    <t>Precio</t>
  </si>
  <si>
    <t>(+) TOTAL ingresos por ventas</t>
  </si>
  <si>
    <t>(-) COSTOS de produccion o de venta</t>
  </si>
  <si>
    <t>(-) GASTOS de ventas (Publicidad)</t>
  </si>
  <si>
    <t>(-) GASTOS de sueldos y salarios</t>
  </si>
  <si>
    <t>(-) GASTOS por servicios basicos</t>
  </si>
  <si>
    <t>(-) GASTOS generales y administrativos</t>
  </si>
  <si>
    <t>(-) GASTOS de intereses por prestamo</t>
  </si>
  <si>
    <t xml:space="preserve">(-) TOTAL  de egresos </t>
  </si>
  <si>
    <t>UTILIDAD O PERDIDA</t>
  </si>
  <si>
    <t>honorarios por campañas</t>
  </si>
  <si>
    <t>Ene</t>
  </si>
  <si>
    <t>Mar</t>
  </si>
  <si>
    <t>variables</t>
  </si>
  <si>
    <t>tasa de descuento</t>
  </si>
  <si>
    <t>P</t>
  </si>
  <si>
    <t>Q</t>
  </si>
  <si>
    <t>TD</t>
  </si>
  <si>
    <t>VAN</t>
  </si>
  <si>
    <t>HONORARIOS 3,5%</t>
  </si>
  <si>
    <t>edicicios</t>
  </si>
  <si>
    <t>departamento</t>
  </si>
  <si>
    <t>Valor unitario</t>
  </si>
  <si>
    <t>Valor total</t>
  </si>
</sst>
</file>

<file path=xl/styles.xml><?xml version="1.0" encoding="utf-8"?>
<styleSheet xmlns="http://schemas.openxmlformats.org/spreadsheetml/2006/main">
  <numFmts count="16">
    <numFmt numFmtId="41" formatCode="_-* #,##0\ _€_-;\-* #,##0\ _€_-;_-* &quot;-&quot;\ _€_-;_-@_-"/>
    <numFmt numFmtId="43" formatCode="_-* #,##0.00\ _€_-;\-* #,##0.00\ _€_-;_-* &quot;-&quot;??\ _€_-;_-@_-"/>
    <numFmt numFmtId="165" formatCode="[$$-300A]\ #,##0"/>
    <numFmt numFmtId="166" formatCode="&quot;$&quot;\ #,##0;[Red]&quot;$&quot;\ \-#,##0"/>
    <numFmt numFmtId="167" formatCode="[$$-300A]\ #,##0.00"/>
    <numFmt numFmtId="168" formatCode="0.00_ ;\-0.00\ "/>
    <numFmt numFmtId="169" formatCode="#,##0.00\ _€"/>
    <numFmt numFmtId="176" formatCode="_-* #,##0\ _€_-;\-* #,##0\ _€_-;_-* \-??\ _€_-;_-@_-"/>
    <numFmt numFmtId="177" formatCode="[$$-300A]#,##0.00;[Red][$$-300A]\-#,##0.00"/>
    <numFmt numFmtId="178" formatCode="_ [$$-2C0A]\ * #,##0.00_ ;_ [$$-2C0A]\ * \-#,##0.00_ ;_ [$$-2C0A]\ * &quot;-&quot;??_ ;_ @_ "/>
    <numFmt numFmtId="179" formatCode="0_ ;[Red]\-0\ "/>
    <numFmt numFmtId="180" formatCode="#,##0_ ;\-#,##0\ "/>
    <numFmt numFmtId="182" formatCode="dd/mm/yy"/>
    <numFmt numFmtId="186" formatCode="_(* #,##0_);_(* \(#,##0\);_(* &quot;-&quot;??_);_(@_)"/>
    <numFmt numFmtId="187" formatCode="_(* #,##0.00_);_(* \(#,##0.00\);_(* &quot;-&quot;??_);_(@_)"/>
    <numFmt numFmtId="189" formatCode="_ [$$-2C0A]\ * #,##0_ ;_ [$$-2C0A]\ * \-#,##0_ ;_ [$$-2C0A]\ * \-??_ ;_ @_ "/>
  </numFmts>
  <fonts count="26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Arial"/>
    </font>
    <font>
      <b/>
      <sz val="10"/>
      <name val="Arial"/>
      <family val="2"/>
    </font>
    <font>
      <b/>
      <sz val="11"/>
      <color indexed="8"/>
      <name val="Tahoma"/>
      <family val="2"/>
    </font>
    <font>
      <b/>
      <sz val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8"/>
      <name val="Tahoma"/>
      <family val="2"/>
    </font>
    <font>
      <b/>
      <sz val="8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10"/>
      <color indexed="10"/>
      <name val="Tahoma"/>
      <family val="2"/>
    </font>
    <font>
      <b/>
      <u/>
      <sz val="10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4"/>
      <name val="Tahoma"/>
      <family val="2"/>
    </font>
    <font>
      <b/>
      <sz val="10"/>
      <color indexed="10"/>
      <name val="Tahoma"/>
      <family val="2"/>
    </font>
    <font>
      <sz val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41"/>
      </patternFill>
    </fill>
    <fill>
      <patternFill patternType="solid">
        <fgColor indexed="13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13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NumberFormat="1" applyFont="1" applyFill="1" applyBorder="1"/>
    <xf numFmtId="0" fontId="2" fillId="2" borderId="3" xfId="0" applyNumberFormat="1" applyFont="1" applyFill="1" applyBorder="1"/>
    <xf numFmtId="0" fontId="2" fillId="2" borderId="5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67" fontId="2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/>
    <xf numFmtId="0" fontId="0" fillId="0" borderId="1" xfId="0" applyFill="1" applyBorder="1" applyAlignment="1"/>
    <xf numFmtId="0" fontId="4" fillId="3" borderId="1" xfId="0" applyFont="1" applyFill="1" applyBorder="1"/>
    <xf numFmtId="166" fontId="6" fillId="5" borderId="6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2" fillId="3" borderId="1" xfId="0" applyFont="1" applyFill="1" applyBorder="1"/>
    <xf numFmtId="0" fontId="2" fillId="3" borderId="2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3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6" borderId="1" xfId="0" applyNumberFormat="1" applyFont="1" applyFill="1" applyBorder="1"/>
    <xf numFmtId="1" fontId="10" fillId="3" borderId="1" xfId="0" applyNumberFormat="1" applyFont="1" applyFill="1" applyBorder="1" applyAlignment="1"/>
    <xf numFmtId="0" fontId="6" fillId="3" borderId="1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67" fontId="12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" fontId="3" fillId="7" borderId="1" xfId="0" applyNumberFormat="1" applyFont="1" applyFill="1" applyBorder="1" applyAlignment="1">
      <alignment vertical="center" wrapText="1" shrinkToFit="1"/>
    </xf>
    <xf numFmtId="167" fontId="2" fillId="0" borderId="8" xfId="0" applyNumberFormat="1" applyFont="1" applyFill="1" applyBorder="1"/>
    <xf numFmtId="167" fontId="14" fillId="0" borderId="8" xfId="0" applyNumberFormat="1" applyFont="1" applyFill="1" applyBorder="1"/>
    <xf numFmtId="167" fontId="15" fillId="8" borderId="0" xfId="0" applyNumberFormat="1" applyFont="1" applyFill="1" applyBorder="1"/>
    <xf numFmtId="176" fontId="15" fillId="8" borderId="0" xfId="1" applyNumberFormat="1" applyFont="1" applyFill="1" applyBorder="1" applyAlignment="1" applyProtection="1"/>
    <xf numFmtId="167" fontId="2" fillId="8" borderId="0" xfId="0" applyNumberFormat="1" applyFont="1" applyFill="1" applyBorder="1"/>
    <xf numFmtId="176" fontId="6" fillId="8" borderId="0" xfId="1" applyNumberFormat="1" applyFont="1" applyFill="1" applyBorder="1" applyAlignment="1" applyProtection="1"/>
    <xf numFmtId="10" fontId="2" fillId="8" borderId="0" xfId="0" applyNumberFormat="1" applyFont="1" applyFill="1" applyBorder="1"/>
    <xf numFmtId="10" fontId="6" fillId="8" borderId="9" xfId="3" applyNumberFormat="1" applyFont="1" applyFill="1" applyBorder="1" applyAlignment="1" applyProtection="1">
      <alignment horizontal="center"/>
    </xf>
    <xf numFmtId="167" fontId="2" fillId="8" borderId="0" xfId="0" applyNumberFormat="1" applyFont="1" applyFill="1"/>
    <xf numFmtId="177" fontId="2" fillId="8" borderId="0" xfId="0" applyNumberFormat="1" applyFont="1" applyFill="1"/>
    <xf numFmtId="0" fontId="2" fillId="2" borderId="1" xfId="0" applyNumberFormat="1" applyFont="1" applyFill="1" applyBorder="1" applyAlignment="1"/>
    <xf numFmtId="0" fontId="0" fillId="3" borderId="0" xfId="0" applyFill="1"/>
    <xf numFmtId="0" fontId="4" fillId="3" borderId="10" xfId="0" applyFont="1" applyFill="1" applyBorder="1" applyAlignment="1"/>
    <xf numFmtId="0" fontId="16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justify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7" fillId="0" borderId="1" xfId="0" applyFont="1" applyFill="1" applyBorder="1" applyAlignment="1">
      <alignment horizontal="justify" wrapText="1"/>
    </xf>
    <xf numFmtId="0" fontId="0" fillId="0" borderId="2" xfId="0" applyBorder="1" applyAlignment="1">
      <alignment horizontal="center"/>
    </xf>
    <xf numFmtId="178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9" fontId="0" fillId="0" borderId="0" xfId="0" applyNumberFormat="1" applyFill="1" applyBorder="1"/>
    <xf numFmtId="179" fontId="0" fillId="0" borderId="1" xfId="0" applyNumberFormat="1" applyBorder="1"/>
    <xf numFmtId="1" fontId="0" fillId="0" borderId="1" xfId="0" applyNumberFormat="1" applyBorder="1"/>
    <xf numFmtId="0" fontId="6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178" fontId="2" fillId="0" borderId="1" xfId="0" applyNumberFormat="1" applyFont="1" applyBorder="1" applyAlignment="1">
      <alignment horizontal="left" wrapText="1"/>
    </xf>
    <xf numFmtId="180" fontId="2" fillId="0" borderId="1" xfId="0" applyNumberFormat="1" applyFont="1" applyFill="1" applyBorder="1" applyAlignment="1">
      <alignment horizontal="center"/>
    </xf>
    <xf numFmtId="180" fontId="2" fillId="0" borderId="1" xfId="0" applyNumberFormat="1" applyFont="1" applyBorder="1"/>
    <xf numFmtId="178" fontId="2" fillId="0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/>
    <xf numFmtId="180" fontId="2" fillId="0" borderId="5" xfId="0" applyNumberFormat="1" applyFont="1" applyFill="1" applyBorder="1" applyAlignment="1">
      <alignment horizontal="center"/>
    </xf>
    <xf numFmtId="180" fontId="2" fillId="0" borderId="5" xfId="0" applyNumberFormat="1" applyFont="1" applyBorder="1"/>
    <xf numFmtId="178" fontId="6" fillId="3" borderId="3" xfId="0" applyNumberFormat="1" applyFont="1" applyFill="1" applyBorder="1" applyAlignment="1">
      <alignment horizontal="center"/>
    </xf>
    <xf numFmtId="41" fontId="6" fillId="3" borderId="15" xfId="0" applyNumberFormat="1" applyFont="1" applyFill="1" applyBorder="1" applyAlignment="1">
      <alignment horizontal="center"/>
    </xf>
    <xf numFmtId="1" fontId="6" fillId="3" borderId="15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9" xfId="0" applyFont="1" applyBorder="1"/>
    <xf numFmtId="0" fontId="0" fillId="0" borderId="9" xfId="0" applyBorder="1"/>
    <xf numFmtId="0" fontId="17" fillId="0" borderId="9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 vertical="top" wrapText="1"/>
    </xf>
    <xf numFmtId="10" fontId="0" fillId="0" borderId="9" xfId="0" applyNumberFormat="1" applyBorder="1" applyAlignment="1">
      <alignment horizontal="center"/>
    </xf>
    <xf numFmtId="0" fontId="16" fillId="0" borderId="9" xfId="0" applyFont="1" applyBorder="1"/>
    <xf numFmtId="9" fontId="0" fillId="0" borderId="9" xfId="3" applyFont="1" applyFill="1" applyBorder="1" applyAlignment="1" applyProtection="1">
      <alignment horizontal="center" vertical="top" wrapText="1"/>
    </xf>
    <xf numFmtId="10" fontId="21" fillId="0" borderId="9" xfId="3" applyNumberFormat="1" applyFont="1" applyFill="1" applyBorder="1" applyAlignment="1" applyProtection="1">
      <alignment horizontal="center"/>
    </xf>
    <xf numFmtId="10" fontId="0" fillId="0" borderId="0" xfId="0" applyNumberFormat="1"/>
    <xf numFmtId="0" fontId="1" fillId="0" borderId="0" xfId="0" applyFont="1"/>
    <xf numFmtId="10" fontId="1" fillId="0" borderId="0" xfId="3" applyNumberFormat="1" applyFont="1"/>
    <xf numFmtId="0" fontId="22" fillId="2" borderId="11" xfId="0" applyFont="1" applyFill="1" applyBorder="1" applyAlignment="1">
      <alignment horizontal="center" wrapText="1"/>
    </xf>
    <xf numFmtId="3" fontId="22" fillId="2" borderId="1" xfId="0" applyNumberFormat="1" applyFont="1" applyFill="1" applyBorder="1" applyAlignment="1">
      <alignment horizontal="center" wrapText="1"/>
    </xf>
    <xf numFmtId="186" fontId="22" fillId="2" borderId="13" xfId="2" applyNumberFormat="1" applyFont="1" applyFill="1" applyBorder="1" applyAlignment="1">
      <alignment horizontal="center" wrapText="1"/>
    </xf>
    <xf numFmtId="186" fontId="22" fillId="2" borderId="1" xfId="2" applyNumberFormat="1" applyFont="1" applyFill="1" applyBorder="1" applyAlignment="1">
      <alignment horizontal="center" wrapText="1"/>
    </xf>
    <xf numFmtId="186" fontId="22" fillId="2" borderId="16" xfId="0" applyNumberFormat="1" applyFont="1" applyFill="1" applyBorder="1" applyAlignment="1">
      <alignment horizontal="center" wrapText="1"/>
    </xf>
    <xf numFmtId="0" fontId="16" fillId="9" borderId="9" xfId="0" applyFont="1" applyFill="1" applyBorder="1"/>
    <xf numFmtId="0" fontId="16" fillId="9" borderId="9" xfId="0" applyFont="1" applyFill="1" applyBorder="1" applyAlignment="1">
      <alignment horizontal="center"/>
    </xf>
    <xf numFmtId="0" fontId="0" fillId="0" borderId="0" xfId="0" applyFill="1"/>
    <xf numFmtId="0" fontId="17" fillId="0" borderId="17" xfId="0" applyFont="1" applyBorder="1"/>
    <xf numFmtId="0" fontId="0" fillId="0" borderId="17" xfId="0" applyBorder="1"/>
    <xf numFmtId="0" fontId="16" fillId="0" borderId="18" xfId="0" applyFont="1" applyFill="1" applyBorder="1"/>
    <xf numFmtId="0" fontId="0" fillId="0" borderId="19" xfId="0" applyFill="1" applyBorder="1"/>
    <xf numFmtId="0" fontId="4" fillId="9" borderId="9" xfId="0" applyFont="1" applyFill="1" applyBorder="1" applyAlignment="1">
      <alignment horizontal="center"/>
    </xf>
    <xf numFmtId="0" fontId="4" fillId="9" borderId="9" xfId="0" applyFont="1" applyFill="1" applyBorder="1"/>
    <xf numFmtId="0" fontId="4" fillId="10" borderId="9" xfId="0" applyFont="1" applyFill="1" applyBorder="1" applyAlignment="1">
      <alignment horizontal="center"/>
    </xf>
    <xf numFmtId="0" fontId="0" fillId="3" borderId="9" xfId="0" applyFill="1" applyBorder="1"/>
    <xf numFmtId="182" fontId="16" fillId="9" borderId="9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 vertical="top" wrapText="1"/>
    </xf>
    <xf numFmtId="182" fontId="16" fillId="9" borderId="20" xfId="0" applyNumberFormat="1" applyFont="1" applyFill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0" xfId="0" applyFont="1" applyBorder="1" applyAlignment="1">
      <alignment horizontal="center" vertical="top" wrapText="1"/>
    </xf>
    <xf numFmtId="0" fontId="4" fillId="10" borderId="9" xfId="0" applyFont="1" applyFill="1" applyBorder="1"/>
    <xf numFmtId="10" fontId="19" fillId="10" borderId="9" xfId="0" applyNumberFormat="1" applyFont="1" applyFill="1" applyBorder="1" applyAlignment="1">
      <alignment horizontal="center"/>
    </xf>
    <xf numFmtId="0" fontId="17" fillId="10" borderId="9" xfId="0" applyFont="1" applyFill="1" applyBorder="1" applyAlignment="1">
      <alignment horizontal="center" wrapText="1"/>
    </xf>
    <xf numFmtId="9" fontId="19" fillId="10" borderId="9" xfId="3" applyFont="1" applyFill="1" applyBorder="1" applyAlignment="1" applyProtection="1">
      <alignment horizontal="center" vertical="top" wrapText="1"/>
    </xf>
    <xf numFmtId="0" fontId="17" fillId="10" borderId="9" xfId="0" applyFont="1" applyFill="1" applyBorder="1" applyAlignment="1">
      <alignment horizontal="center" vertical="top" wrapText="1"/>
    </xf>
    <xf numFmtId="0" fontId="17" fillId="10" borderId="20" xfId="0" applyFont="1" applyFill="1" applyBorder="1" applyAlignment="1">
      <alignment horizontal="center" vertical="top" wrapText="1"/>
    </xf>
    <xf numFmtId="10" fontId="20" fillId="10" borderId="9" xfId="3" applyNumberFormat="1" applyFont="1" applyFill="1" applyBorder="1" applyAlignment="1" applyProtection="1">
      <alignment horizontal="center"/>
    </xf>
    <xf numFmtId="2" fontId="4" fillId="0" borderId="9" xfId="0" applyNumberFormat="1" applyFont="1" applyBorder="1" applyAlignment="1">
      <alignment horizontal="center"/>
    </xf>
    <xf numFmtId="168" fontId="23" fillId="0" borderId="0" xfId="0" applyNumberFormat="1" applyFont="1" applyFill="1"/>
    <xf numFmtId="0" fontId="2" fillId="0" borderId="0" xfId="0" applyFont="1" applyFill="1"/>
    <xf numFmtId="9" fontId="2" fillId="0" borderId="0" xfId="0" applyNumberFormat="1" applyFont="1" applyFill="1"/>
    <xf numFmtId="0" fontId="22" fillId="3" borderId="21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0" xfId="0" applyFont="1" applyFill="1" applyBorder="1" applyAlignment="1">
      <alignment horizontal="center" wrapText="1"/>
    </xf>
    <xf numFmtId="0" fontId="22" fillId="3" borderId="22" xfId="0" applyFont="1" applyFill="1" applyBorder="1" applyAlignment="1">
      <alignment horizontal="center" wrapText="1"/>
    </xf>
    <xf numFmtId="0" fontId="22" fillId="3" borderId="23" xfId="0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3" borderId="24" xfId="0" applyFont="1" applyFill="1" applyBorder="1" applyAlignment="1">
      <alignment horizontal="center" wrapText="1"/>
    </xf>
    <xf numFmtId="0" fontId="22" fillId="3" borderId="1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" fontId="25" fillId="8" borderId="17" xfId="0" applyNumberFormat="1" applyFont="1" applyFill="1" applyBorder="1" applyAlignment="1">
      <alignment vertical="center" wrapText="1"/>
    </xf>
    <xf numFmtId="0" fontId="25" fillId="8" borderId="17" xfId="0" applyNumberFormat="1" applyFont="1" applyFill="1" applyBorder="1" applyAlignment="1">
      <alignment horizontal="center" vertical="center" wrapText="1"/>
    </xf>
    <xf numFmtId="4" fontId="25" fillId="8" borderId="9" xfId="0" applyNumberFormat="1" applyFont="1" applyFill="1" applyBorder="1" applyAlignment="1">
      <alignment vertical="center" wrapText="1"/>
    </xf>
    <xf numFmtId="0" fontId="25" fillId="8" borderId="9" xfId="0" applyNumberFormat="1" applyFont="1" applyFill="1" applyBorder="1" applyAlignment="1">
      <alignment horizontal="center" vertical="center" wrapText="1"/>
    </xf>
    <xf numFmtId="0" fontId="25" fillId="8" borderId="2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10" fontId="17" fillId="0" borderId="9" xfId="3" applyNumberFormat="1" applyFont="1" applyFill="1" applyBorder="1" applyAlignment="1" applyProtection="1">
      <alignment horizontal="center"/>
    </xf>
    <xf numFmtId="168" fontId="2" fillId="8" borderId="9" xfId="0" applyNumberFormat="1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0" fontId="0" fillId="11" borderId="0" xfId="0" applyFill="1"/>
    <xf numFmtId="10" fontId="0" fillId="11" borderId="0" xfId="0" applyNumberFormat="1" applyFill="1"/>
    <xf numFmtId="1" fontId="0" fillId="5" borderId="0" xfId="0" applyNumberFormat="1" applyFill="1"/>
    <xf numFmtId="3" fontId="22" fillId="0" borderId="1" xfId="0" applyNumberFormat="1" applyFont="1" applyFill="1" applyBorder="1" applyAlignment="1">
      <alignment horizontal="center" wrapText="1"/>
    </xf>
    <xf numFmtId="186" fontId="22" fillId="0" borderId="13" xfId="2" applyNumberFormat="1" applyFont="1" applyFill="1" applyBorder="1" applyAlignment="1">
      <alignment horizontal="center" wrapText="1"/>
    </xf>
    <xf numFmtId="186" fontId="22" fillId="0" borderId="1" xfId="2" applyNumberFormat="1" applyFont="1" applyFill="1" applyBorder="1" applyAlignment="1">
      <alignment horizontal="center" wrapText="1"/>
    </xf>
    <xf numFmtId="186" fontId="22" fillId="0" borderId="16" xfId="0" applyNumberFormat="1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wrapText="1"/>
    </xf>
    <xf numFmtId="186" fontId="10" fillId="3" borderId="13" xfId="2" applyNumberFormat="1" applyFont="1" applyFill="1" applyBorder="1" applyAlignment="1">
      <alignment horizontal="center" wrapText="1"/>
    </xf>
    <xf numFmtId="186" fontId="10" fillId="3" borderId="1" xfId="2" applyNumberFormat="1" applyFont="1" applyFill="1" applyBorder="1" applyAlignment="1">
      <alignment horizontal="center" wrapText="1"/>
    </xf>
    <xf numFmtId="186" fontId="10" fillId="3" borderId="16" xfId="0" applyNumberFormat="1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3" fontId="2" fillId="0" borderId="17" xfId="0" applyNumberFormat="1" applyFont="1" applyFill="1" applyBorder="1" applyAlignment="1"/>
    <xf numFmtId="4" fontId="2" fillId="8" borderId="9" xfId="0" applyNumberFormat="1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4" fontId="6" fillId="8" borderId="9" xfId="0" applyNumberFormat="1" applyFont="1" applyFill="1" applyBorder="1" applyAlignment="1">
      <alignment vertical="center" wrapText="1"/>
    </xf>
    <xf numFmtId="169" fontId="2" fillId="8" borderId="9" xfId="0" applyNumberFormat="1" applyFont="1" applyFill="1" applyBorder="1" applyAlignment="1">
      <alignment vertical="center" wrapText="1"/>
    </xf>
    <xf numFmtId="169" fontId="6" fillId="8" borderId="9" xfId="0" applyNumberFormat="1" applyFont="1" applyFill="1" applyBorder="1" applyAlignment="1">
      <alignment vertical="center" wrapText="1"/>
    </xf>
    <xf numFmtId="169" fontId="6" fillId="9" borderId="9" xfId="0" applyNumberFormat="1" applyFont="1" applyFill="1" applyBorder="1" applyAlignment="1">
      <alignment vertical="center" wrapText="1"/>
    </xf>
    <xf numFmtId="167" fontId="6" fillId="9" borderId="9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165" fontId="2" fillId="8" borderId="9" xfId="0" applyNumberFormat="1" applyFont="1" applyFill="1" applyBorder="1" applyAlignment="1">
      <alignment vertical="center" wrapText="1"/>
    </xf>
    <xf numFmtId="167" fontId="2" fillId="0" borderId="0" xfId="0" applyNumberFormat="1" applyFont="1" applyFill="1" applyBorder="1" applyAlignment="1">
      <alignment vertical="center" wrapText="1"/>
    </xf>
    <xf numFmtId="165" fontId="2" fillId="8" borderId="9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89" fontId="2" fillId="8" borderId="9" xfId="0" applyNumberFormat="1" applyFont="1" applyFill="1" applyBorder="1" applyAlignment="1">
      <alignment horizontal="center" vertical="center" wrapText="1"/>
    </xf>
    <xf numFmtId="189" fontId="2" fillId="8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 wrapText="1"/>
    </xf>
    <xf numFmtId="165" fontId="2" fillId="8" borderId="26" xfId="0" applyNumberFormat="1" applyFont="1" applyFill="1" applyBorder="1" applyAlignment="1">
      <alignment horizontal="center" vertical="center" wrapText="1"/>
    </xf>
    <xf numFmtId="165" fontId="6" fillId="10" borderId="9" xfId="0" applyNumberFormat="1" applyFont="1" applyFill="1" applyBorder="1" applyAlignment="1">
      <alignment horizontal="center" vertical="center" wrapText="1"/>
    </xf>
    <xf numFmtId="165" fontId="24" fillId="10" borderId="9" xfId="0" applyNumberFormat="1" applyFont="1" applyFill="1" applyBorder="1" applyAlignment="1">
      <alignment horizontal="center" vertical="center" wrapText="1"/>
    </xf>
    <xf numFmtId="165" fontId="24" fillId="12" borderId="9" xfId="0" applyNumberFormat="1" applyFont="1" applyFill="1" applyBorder="1" applyAlignment="1">
      <alignment horizontal="center" vertical="center" wrapText="1"/>
    </xf>
    <xf numFmtId="165" fontId="24" fillId="13" borderId="9" xfId="0" applyNumberFormat="1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vertical="center" wrapText="1"/>
    </xf>
    <xf numFmtId="165" fontId="2" fillId="8" borderId="28" xfId="0" applyNumberFormat="1" applyFont="1" applyFill="1" applyBorder="1" applyAlignment="1">
      <alignment horizontal="center" vertical="center" wrapText="1"/>
    </xf>
    <xf numFmtId="165" fontId="2" fillId="8" borderId="17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89" fontId="2" fillId="8" borderId="27" xfId="0" applyNumberFormat="1" applyFont="1" applyFill="1" applyBorder="1" applyAlignment="1">
      <alignment horizontal="center" vertical="center" wrapText="1"/>
    </xf>
    <xf numFmtId="165" fontId="2" fillId="8" borderId="29" xfId="0" applyNumberFormat="1" applyFont="1" applyFill="1" applyBorder="1" applyAlignment="1">
      <alignment horizontal="center" vertical="center" wrapText="1"/>
    </xf>
    <xf numFmtId="165" fontId="2" fillId="8" borderId="27" xfId="0" applyNumberFormat="1" applyFont="1" applyFill="1" applyBorder="1" applyAlignment="1">
      <alignment horizontal="center" vertical="center" wrapText="1"/>
    </xf>
    <xf numFmtId="165" fontId="6" fillId="10" borderId="28" xfId="0" applyNumberFormat="1" applyFont="1" applyFill="1" applyBorder="1" applyAlignment="1">
      <alignment horizontal="center" vertical="center" wrapText="1"/>
    </xf>
    <xf numFmtId="165" fontId="6" fillId="10" borderId="17" xfId="0" applyNumberFormat="1" applyFont="1" applyFill="1" applyBorder="1" applyAlignment="1">
      <alignment horizontal="center" vertical="center" wrapText="1"/>
    </xf>
    <xf numFmtId="165" fontId="2" fillId="8" borderId="30" xfId="0" applyNumberFormat="1" applyFont="1" applyFill="1" applyBorder="1" applyAlignment="1">
      <alignment horizontal="center" vertical="center" wrapText="1"/>
    </xf>
    <xf numFmtId="165" fontId="2" fillId="8" borderId="31" xfId="0" applyNumberFormat="1" applyFont="1" applyFill="1" applyBorder="1" applyAlignment="1">
      <alignment horizontal="center" vertical="center" wrapText="1"/>
    </xf>
    <xf numFmtId="165" fontId="2" fillId="8" borderId="32" xfId="0" applyNumberFormat="1" applyFont="1" applyFill="1" applyBorder="1" applyAlignment="1">
      <alignment horizontal="center" vertical="center" wrapText="1"/>
    </xf>
    <xf numFmtId="189" fontId="2" fillId="8" borderId="33" xfId="0" applyNumberFormat="1" applyFont="1" applyFill="1" applyBorder="1" applyAlignment="1">
      <alignment horizontal="center" vertical="center" wrapText="1"/>
    </xf>
    <xf numFmtId="165" fontId="2" fillId="8" borderId="33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5" borderId="34" xfId="0" applyFill="1" applyBorder="1" applyAlignment="1"/>
    <xf numFmtId="0" fontId="0" fillId="5" borderId="35" xfId="0" applyFill="1" applyBorder="1"/>
    <xf numFmtId="0" fontId="0" fillId="0" borderId="1" xfId="0" applyFill="1" applyBorder="1"/>
    <xf numFmtId="0" fontId="0" fillId="3" borderId="1" xfId="0" applyFill="1" applyBorder="1" applyAlignment="1"/>
    <xf numFmtId="0" fontId="0" fillId="0" borderId="0" xfId="0" applyFill="1" applyBorder="1" applyAlignment="1">
      <alignment horizontal="center"/>
    </xf>
    <xf numFmtId="0" fontId="4" fillId="5" borderId="36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" fontId="6" fillId="9" borderId="9" xfId="0" applyNumberFormat="1" applyFont="1" applyFill="1" applyBorder="1" applyAlignment="1">
      <alignment horizontal="center"/>
    </xf>
    <xf numFmtId="1" fontId="2" fillId="8" borderId="9" xfId="0" applyNumberFormat="1" applyFont="1" applyFill="1" applyBorder="1" applyAlignment="1">
      <alignment vertical="center" wrapText="1"/>
    </xf>
    <xf numFmtId="1" fontId="2" fillId="8" borderId="9" xfId="0" applyNumberFormat="1" applyFont="1" applyFill="1" applyBorder="1" applyAlignment="1">
      <alignment horizontal="right"/>
    </xf>
    <xf numFmtId="1" fontId="22" fillId="8" borderId="9" xfId="0" quotePrefix="1" applyNumberFormat="1" applyFont="1" applyFill="1" applyBorder="1" applyAlignment="1">
      <alignment horizontal="right"/>
    </xf>
    <xf numFmtId="1" fontId="2" fillId="8" borderId="37" xfId="0" applyNumberFormat="1" applyFont="1" applyFill="1" applyBorder="1" applyAlignment="1">
      <alignment horizontal="right"/>
    </xf>
    <xf numFmtId="1" fontId="6" fillId="8" borderId="9" xfId="0" applyNumberFormat="1" applyFont="1" applyFill="1" applyBorder="1" applyAlignment="1">
      <alignment vertical="center" wrapText="1"/>
    </xf>
    <xf numFmtId="1" fontId="6" fillId="8" borderId="9" xfId="0" applyNumberFormat="1" applyFont="1" applyFill="1" applyBorder="1" applyAlignment="1">
      <alignment horizontal="right"/>
    </xf>
    <xf numFmtId="1" fontId="2" fillId="8" borderId="17" xfId="0" applyNumberFormat="1" applyFont="1" applyFill="1" applyBorder="1" applyAlignment="1">
      <alignment horizontal="right"/>
    </xf>
    <xf numFmtId="1" fontId="6" fillId="8" borderId="17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6" fillId="8" borderId="25" xfId="0" applyNumberFormat="1" applyFont="1" applyFill="1" applyBorder="1" applyAlignment="1">
      <alignment horizontal="right"/>
    </xf>
    <xf numFmtId="1" fontId="14" fillId="8" borderId="17" xfId="0" applyNumberFormat="1" applyFont="1" applyFill="1" applyBorder="1" applyAlignment="1">
      <alignment horizontal="right"/>
    </xf>
    <xf numFmtId="1" fontId="6" fillId="8" borderId="26" xfId="0" applyNumberFormat="1" applyFont="1" applyFill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6" fillId="8" borderId="37" xfId="0" applyNumberFormat="1" applyFont="1" applyFill="1" applyBorder="1" applyAlignment="1">
      <alignment horizontal="right"/>
    </xf>
    <xf numFmtId="1" fontId="6" fillId="9" borderId="9" xfId="0" applyNumberFormat="1" applyFont="1" applyFill="1" applyBorder="1" applyAlignment="1">
      <alignment vertical="center" wrapText="1"/>
    </xf>
    <xf numFmtId="1" fontId="6" fillId="10" borderId="17" xfId="0" applyNumberFormat="1" applyFont="1" applyFill="1" applyBorder="1" applyAlignment="1">
      <alignment horizontal="right"/>
    </xf>
    <xf numFmtId="2" fontId="6" fillId="8" borderId="9" xfId="0" applyNumberFormat="1" applyFont="1" applyFill="1" applyBorder="1"/>
    <xf numFmtId="1" fontId="6" fillId="8" borderId="9" xfId="0" applyNumberFormat="1" applyFont="1" applyFill="1" applyBorder="1" applyAlignment="1"/>
    <xf numFmtId="0" fontId="5" fillId="0" borderId="0" xfId="0" applyFont="1" applyAlignment="1">
      <alignment horizont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7" fillId="0" borderId="9" xfId="0" applyFont="1" applyBorder="1" applyAlignment="1">
      <alignment horizontal="center" vertical="top" wrapText="1"/>
    </xf>
    <xf numFmtId="0" fontId="16" fillId="9" borderId="27" xfId="0" applyFont="1" applyFill="1" applyBorder="1" applyAlignment="1">
      <alignment horizontal="center" wrapText="1"/>
    </xf>
    <xf numFmtId="0" fontId="16" fillId="9" borderId="43" xfId="0" applyFont="1" applyFill="1" applyBorder="1" applyAlignment="1">
      <alignment horizontal="center" wrapText="1"/>
    </xf>
    <xf numFmtId="0" fontId="16" fillId="9" borderId="44" xfId="0" applyFont="1" applyFill="1" applyBorder="1" applyAlignment="1">
      <alignment horizontal="center" wrapText="1"/>
    </xf>
    <xf numFmtId="0" fontId="18" fillId="9" borderId="11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182" fontId="16" fillId="9" borderId="9" xfId="0" applyNumberFormat="1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4" fillId="9" borderId="41" xfId="0" applyFont="1" applyFill="1" applyBorder="1" applyAlignment="1">
      <alignment horizontal="center"/>
    </xf>
    <xf numFmtId="0" fontId="4" fillId="9" borderId="42" xfId="0" applyFont="1" applyFill="1" applyBorder="1" applyAlignment="1">
      <alignment horizontal="center"/>
    </xf>
    <xf numFmtId="0" fontId="17" fillId="10" borderId="9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/>
    </xf>
  </cellXfs>
  <cellStyles count="4">
    <cellStyle name="Comma" xfId="1" builtinId="3"/>
    <cellStyle name="Millares_13. Caso Picapiedra I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9525</xdr:colOff>
      <xdr:row>1</xdr:row>
      <xdr:rowOff>9525</xdr:rowOff>
    </xdr:to>
    <xdr:pic>
      <xdr:nvPicPr>
        <xdr:cNvPr id="3073" name="http://www.portfoliopersonal.com/grafica/dummi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24925" y="1619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0</xdr:colOff>
      <xdr:row>1</xdr:row>
      <xdr:rowOff>161925</xdr:rowOff>
    </xdr:from>
    <xdr:to>
      <xdr:col>4</xdr:col>
      <xdr:colOff>9525</xdr:colOff>
      <xdr:row>2</xdr:row>
      <xdr:rowOff>0</xdr:rowOff>
    </xdr:to>
    <xdr:pic>
      <xdr:nvPicPr>
        <xdr:cNvPr id="3074" name="http://www.portfoliopersonal.com/grafica/dummie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05475" y="32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Escritorio/balances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stos Variables"/>
      <sheetName val="Cotos Fijos"/>
      <sheetName val="personal adm"/>
      <sheetName val="servicios basi"/>
      <sheetName val="Alquiler"/>
      <sheetName val="Publicidad"/>
      <sheetName val="desecho"/>
      <sheetName val="inversioin"/>
      <sheetName val="dem np2"/>
      <sheetName val="dem np"/>
      <sheetName val="dem proy"/>
      <sheetName val="dem real"/>
      <sheetName val="DEMANMENSUAL"/>
      <sheetName val="amortiza"/>
      <sheetName val="cap trab"/>
      <sheetName val="tasa desc"/>
      <sheetName val="flujo de caja"/>
    </sheetNames>
    <sheetDataSet>
      <sheetData sheetId="0" refreshError="1"/>
      <sheetData sheetId="1" refreshError="1"/>
      <sheetData sheetId="2" refreshError="1"/>
      <sheetData sheetId="3">
        <row r="7">
          <cell r="C7">
            <v>1980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6"/>
  <sheetViews>
    <sheetView tabSelected="1" topLeftCell="A64" workbookViewId="0">
      <selection activeCell="D91" sqref="D91:D95"/>
    </sheetView>
  </sheetViews>
  <sheetFormatPr defaultColWidth="11.42578125" defaultRowHeight="12.75"/>
  <cols>
    <col min="1" max="1" width="28.85546875" customWidth="1"/>
    <col min="2" max="2" width="18.42578125" customWidth="1"/>
    <col min="3" max="3" width="12" customWidth="1"/>
    <col min="5" max="5" width="20" customWidth="1"/>
    <col min="6" max="6" width="20.5703125" customWidth="1"/>
  </cols>
  <sheetData>
    <row r="2" spans="1:3">
      <c r="B2" t="s">
        <v>0</v>
      </c>
    </row>
    <row r="4" spans="1:3">
      <c r="A4" s="6" t="s">
        <v>1</v>
      </c>
      <c r="B4" s="6" t="s">
        <v>2</v>
      </c>
      <c r="C4" s="6" t="s">
        <v>3</v>
      </c>
    </row>
    <row r="5" spans="1:3">
      <c r="A5" s="2" t="s">
        <v>4</v>
      </c>
      <c r="B5" s="2"/>
      <c r="C5" s="2">
        <f>SUM(B6:B11)</f>
        <v>5800</v>
      </c>
    </row>
    <row r="6" spans="1:3">
      <c r="A6" s="2" t="s">
        <v>5</v>
      </c>
      <c r="B6" s="2">
        <v>2000</v>
      </c>
      <c r="C6" s="5"/>
    </row>
    <row r="7" spans="1:3">
      <c r="A7" s="2" t="s">
        <v>201</v>
      </c>
      <c r="B7" s="2">
        <v>1000</v>
      </c>
      <c r="C7" s="5"/>
    </row>
    <row r="8" spans="1:3">
      <c r="A8" s="2" t="s">
        <v>202</v>
      </c>
      <c r="B8" s="2">
        <v>1000</v>
      </c>
      <c r="C8" s="5"/>
    </row>
    <row r="9" spans="1:3">
      <c r="A9" s="2" t="s">
        <v>102</v>
      </c>
      <c r="B9" s="2">
        <v>200</v>
      </c>
      <c r="C9" s="5"/>
    </row>
    <row r="10" spans="1:3">
      <c r="A10" s="2" t="s">
        <v>6</v>
      </c>
      <c r="B10" s="2">
        <v>600</v>
      </c>
      <c r="C10" s="5"/>
    </row>
    <row r="11" spans="1:3">
      <c r="A11" s="2" t="s">
        <v>7</v>
      </c>
      <c r="B11" s="2">
        <v>1000</v>
      </c>
      <c r="C11" s="5"/>
    </row>
    <row r="12" spans="1:3" ht="13.5" thickBot="1">
      <c r="A12" s="2" t="s">
        <v>8</v>
      </c>
      <c r="B12" s="2"/>
      <c r="C12" s="4">
        <v>2500</v>
      </c>
    </row>
    <row r="13" spans="1:3" ht="13.5" thickBot="1">
      <c r="B13" s="45" t="s">
        <v>3</v>
      </c>
      <c r="C13" s="44">
        <f>SUM(C5:C12)</f>
        <v>8300</v>
      </c>
    </row>
    <row r="15" spans="1:3" ht="13.5" thickBot="1"/>
    <row r="16" spans="1:3" ht="13.5" thickBot="1">
      <c r="A16" s="7" t="s">
        <v>9</v>
      </c>
    </row>
    <row r="17" spans="1:3">
      <c r="A17" s="3" t="s">
        <v>10</v>
      </c>
      <c r="B17" s="2">
        <v>60000</v>
      </c>
    </row>
    <row r="18" spans="1:3">
      <c r="A18" s="2" t="s">
        <v>11</v>
      </c>
      <c r="B18" s="2">
        <v>3420</v>
      </c>
    </row>
    <row r="19" spans="1:3">
      <c r="A19" s="1" t="s">
        <v>12</v>
      </c>
      <c r="B19" s="2">
        <v>7000</v>
      </c>
    </row>
    <row r="20" spans="1:3">
      <c r="A20" s="1" t="s">
        <v>13</v>
      </c>
      <c r="B20" s="2">
        <v>6670</v>
      </c>
    </row>
    <row r="21" spans="1:3">
      <c r="A21" s="1" t="s">
        <v>16</v>
      </c>
      <c r="B21" s="2">
        <v>8768</v>
      </c>
    </row>
    <row r="22" spans="1:3">
      <c r="A22" s="1" t="s">
        <v>17</v>
      </c>
      <c r="B22" s="2">
        <v>2750</v>
      </c>
    </row>
    <row r="23" spans="1:3">
      <c r="A23" s="1" t="s">
        <v>14</v>
      </c>
      <c r="B23" s="2">
        <v>5800</v>
      </c>
    </row>
    <row r="24" spans="1:3" ht="13.5" thickBot="1">
      <c r="A24" s="1" t="s">
        <v>15</v>
      </c>
      <c r="B24" s="4">
        <v>2500</v>
      </c>
    </row>
    <row r="25" spans="1:3" ht="13.5" thickBot="1">
      <c r="A25" s="35" t="s">
        <v>3</v>
      </c>
      <c r="B25" s="44">
        <f>SUM(B17:B24)</f>
        <v>96908</v>
      </c>
    </row>
    <row r="27" spans="1:3" ht="14.25">
      <c r="A27" s="249" t="s">
        <v>18</v>
      </c>
      <c r="B27" s="249"/>
      <c r="C27" s="249"/>
    </row>
    <row r="28" spans="1:3">
      <c r="A28" s="8"/>
      <c r="B28" s="8"/>
      <c r="C28" s="8"/>
    </row>
    <row r="29" spans="1:3" ht="14.25">
      <c r="A29" s="9" t="s">
        <v>19</v>
      </c>
      <c r="B29" s="10"/>
      <c r="C29" s="10"/>
    </row>
    <row r="30" spans="1:3" ht="14.25">
      <c r="A30" s="33" t="s">
        <v>106</v>
      </c>
      <c r="B30" s="33" t="s">
        <v>75</v>
      </c>
      <c r="C30" s="33" t="s">
        <v>107</v>
      </c>
    </row>
    <row r="31" spans="1:3">
      <c r="A31" s="1" t="s">
        <v>20</v>
      </c>
      <c r="B31" s="11">
        <v>1</v>
      </c>
      <c r="C31" s="14">
        <v>2500</v>
      </c>
    </row>
    <row r="32" spans="1:3">
      <c r="A32" s="1" t="s">
        <v>21</v>
      </c>
      <c r="B32" s="12">
        <v>30000</v>
      </c>
      <c r="C32" s="14">
        <v>5</v>
      </c>
    </row>
    <row r="33" spans="1:6">
      <c r="A33" s="1" t="s">
        <v>25</v>
      </c>
      <c r="B33" s="11">
        <v>1</v>
      </c>
      <c r="C33" s="14">
        <v>6000</v>
      </c>
    </row>
    <row r="34" spans="1:6">
      <c r="A34" s="1" t="s">
        <v>26</v>
      </c>
      <c r="B34" s="11">
        <v>1</v>
      </c>
      <c r="C34" s="15">
        <v>3000</v>
      </c>
    </row>
    <row r="35" spans="1:6">
      <c r="A35" s="1" t="s">
        <v>32</v>
      </c>
      <c r="B35" s="11">
        <v>1</v>
      </c>
      <c r="C35" s="15">
        <v>80</v>
      </c>
    </row>
    <row r="36" spans="1:6">
      <c r="A36" s="1" t="s">
        <v>28</v>
      </c>
      <c r="B36" s="11">
        <v>1</v>
      </c>
      <c r="C36" s="15">
        <v>2000</v>
      </c>
    </row>
    <row r="37" spans="1:6">
      <c r="A37" s="1" t="s">
        <v>27</v>
      </c>
      <c r="B37" s="11">
        <v>1</v>
      </c>
      <c r="C37" s="15">
        <v>2500</v>
      </c>
    </row>
    <row r="38" spans="1:6" ht="13.5" thickBot="1">
      <c r="A38" s="1" t="s">
        <v>22</v>
      </c>
      <c r="B38" s="11">
        <v>1</v>
      </c>
      <c r="C38" s="16">
        <v>160</v>
      </c>
    </row>
    <row r="39" spans="1:6" ht="15" thickTop="1">
      <c r="A39" s="34" t="s">
        <v>3</v>
      </c>
      <c r="B39" s="35"/>
      <c r="C39" s="36">
        <f>SUM(C31:C38)</f>
        <v>16245</v>
      </c>
      <c r="F39" s="32">
        <f>C39+C52</f>
        <v>27403.78787878788</v>
      </c>
    </row>
    <row r="40" spans="1:6">
      <c r="A40" s="13"/>
      <c r="B40" s="13"/>
      <c r="C40" s="13"/>
    </row>
    <row r="41" spans="1:6" ht="14.25">
      <c r="A41" s="9"/>
      <c r="B41" s="9"/>
      <c r="C41" s="10"/>
    </row>
    <row r="42" spans="1:6" ht="28.5">
      <c r="A42" s="37" t="s">
        <v>106</v>
      </c>
      <c r="B42" s="37" t="s">
        <v>75</v>
      </c>
      <c r="C42" s="37" t="s">
        <v>108</v>
      </c>
      <c r="D42" s="37" t="s">
        <v>109</v>
      </c>
    </row>
    <row r="43" spans="1:6">
      <c r="A43" s="1" t="s">
        <v>25</v>
      </c>
      <c r="B43" s="11">
        <v>260</v>
      </c>
      <c r="C43" s="31">
        <f>D43/11</f>
        <v>545.4545454545455</v>
      </c>
      <c r="D43" s="14">
        <v>6000</v>
      </c>
    </row>
    <row r="44" spans="1:6" ht="25.5">
      <c r="A44" s="18" t="s">
        <v>33</v>
      </c>
      <c r="B44" s="11">
        <v>365</v>
      </c>
      <c r="C44" s="31">
        <f t="shared" ref="C44:C49" si="0">D44/12</f>
        <v>608.33333333333337</v>
      </c>
      <c r="D44" s="14">
        <f>B44*20</f>
        <v>7300</v>
      </c>
    </row>
    <row r="45" spans="1:6">
      <c r="A45" s="18" t="s">
        <v>34</v>
      </c>
      <c r="B45" s="11">
        <v>12</v>
      </c>
      <c r="C45" s="11">
        <f t="shared" si="0"/>
        <v>2000</v>
      </c>
      <c r="D45" s="14">
        <v>24000</v>
      </c>
    </row>
    <row r="46" spans="1:6">
      <c r="A46" s="18" t="s">
        <v>28</v>
      </c>
      <c r="B46" s="11">
        <v>12</v>
      </c>
      <c r="C46" s="11">
        <f t="shared" si="0"/>
        <v>2000</v>
      </c>
      <c r="D46" s="14">
        <v>24000</v>
      </c>
    </row>
    <row r="47" spans="1:6">
      <c r="A47" s="18" t="s">
        <v>104</v>
      </c>
      <c r="B47" s="11">
        <v>12</v>
      </c>
      <c r="C47" s="11">
        <f t="shared" si="0"/>
        <v>1000</v>
      </c>
      <c r="D47" s="14">
        <v>12000</v>
      </c>
    </row>
    <row r="48" spans="1:6">
      <c r="A48" s="18" t="s">
        <v>103</v>
      </c>
      <c r="B48" s="11">
        <v>12</v>
      </c>
      <c r="C48" s="11">
        <f t="shared" si="0"/>
        <v>2000</v>
      </c>
      <c r="D48" s="14">
        <v>24000</v>
      </c>
    </row>
    <row r="49" spans="1:7">
      <c r="A49" s="18" t="s">
        <v>31</v>
      </c>
      <c r="B49" s="11">
        <v>12</v>
      </c>
      <c r="C49" s="11">
        <f t="shared" si="0"/>
        <v>2000</v>
      </c>
      <c r="D49" s="14">
        <v>24000</v>
      </c>
    </row>
    <row r="50" spans="1:7" ht="25.5">
      <c r="A50" s="17" t="s">
        <v>29</v>
      </c>
      <c r="B50" s="11" t="s">
        <v>30</v>
      </c>
      <c r="C50" s="11">
        <v>1000</v>
      </c>
      <c r="D50" s="14">
        <v>12000</v>
      </c>
    </row>
    <row r="51" spans="1:7">
      <c r="A51" s="38" t="s">
        <v>23</v>
      </c>
      <c r="B51" s="39">
        <v>30000</v>
      </c>
      <c r="C51" s="40">
        <f>D51/12</f>
        <v>5</v>
      </c>
      <c r="D51" s="15">
        <v>60</v>
      </c>
    </row>
    <row r="52" spans="1:7" ht="14.25">
      <c r="A52" s="253" t="s">
        <v>3</v>
      </c>
      <c r="B52" s="254"/>
      <c r="C52" s="42">
        <f>SUM(C43:C51)</f>
        <v>11158.78787878788</v>
      </c>
      <c r="D52" s="43">
        <f>SUM(D43:D51)</f>
        <v>133360</v>
      </c>
    </row>
    <row r="53" spans="1:7" ht="26.25" customHeight="1">
      <c r="A53" s="250" t="s">
        <v>24</v>
      </c>
      <c r="B53" s="251"/>
      <c r="C53" s="252"/>
      <c r="D53" s="41">
        <f>D52+C39</f>
        <v>149605</v>
      </c>
    </row>
    <row r="56" spans="1:7">
      <c r="A56" t="s">
        <v>157</v>
      </c>
    </row>
    <row r="57" spans="1:7">
      <c r="A57" s="6" t="s">
        <v>158</v>
      </c>
      <c r="B57" s="6" t="s">
        <v>159</v>
      </c>
      <c r="C57" s="6" t="s">
        <v>160</v>
      </c>
      <c r="D57" s="6" t="s">
        <v>161</v>
      </c>
      <c r="E57" s="6" t="s">
        <v>162</v>
      </c>
    </row>
    <row r="58" spans="1:7">
      <c r="A58" s="1" t="s">
        <v>163</v>
      </c>
      <c r="B58" s="11">
        <v>1</v>
      </c>
      <c r="C58" s="61">
        <v>800</v>
      </c>
      <c r="D58" s="14">
        <f t="shared" ref="D58:D64" si="1">+C58*B58</f>
        <v>800</v>
      </c>
      <c r="E58" s="14">
        <f t="shared" ref="E58:E64" si="2">+D58*12</f>
        <v>9600</v>
      </c>
    </row>
    <row r="59" spans="1:7">
      <c r="A59" s="1" t="s">
        <v>164</v>
      </c>
      <c r="B59" s="11">
        <v>1</v>
      </c>
      <c r="C59" s="61">
        <v>700</v>
      </c>
      <c r="D59" s="14">
        <f t="shared" si="1"/>
        <v>700</v>
      </c>
      <c r="E59" s="14">
        <f t="shared" si="2"/>
        <v>8400</v>
      </c>
      <c r="G59">
        <v>73000</v>
      </c>
    </row>
    <row r="60" spans="1:7">
      <c r="A60" s="1" t="s">
        <v>165</v>
      </c>
      <c r="B60" s="11">
        <v>1</v>
      </c>
      <c r="C60" s="61">
        <v>700</v>
      </c>
      <c r="D60" s="14">
        <f t="shared" si="1"/>
        <v>700</v>
      </c>
      <c r="E60" s="14">
        <f t="shared" si="2"/>
        <v>8400</v>
      </c>
      <c r="G60">
        <f>G59*10%</f>
        <v>7300</v>
      </c>
    </row>
    <row r="61" spans="1:7">
      <c r="A61" s="1" t="s">
        <v>166</v>
      </c>
      <c r="B61" s="11">
        <v>1</v>
      </c>
      <c r="C61" s="61">
        <v>700</v>
      </c>
      <c r="D61" s="14">
        <f>C61*B61</f>
        <v>700</v>
      </c>
      <c r="E61" s="14">
        <f t="shared" si="2"/>
        <v>8400</v>
      </c>
    </row>
    <row r="62" spans="1:7">
      <c r="A62" s="1" t="s">
        <v>167</v>
      </c>
      <c r="B62" s="11">
        <v>1</v>
      </c>
      <c r="C62" s="61">
        <v>700</v>
      </c>
      <c r="D62" s="14">
        <f>C62*B62</f>
        <v>700</v>
      </c>
      <c r="E62" s="14">
        <f t="shared" si="2"/>
        <v>8400</v>
      </c>
    </row>
    <row r="63" spans="1:7">
      <c r="A63" s="1" t="s">
        <v>168</v>
      </c>
      <c r="B63" s="11">
        <v>1</v>
      </c>
      <c r="C63" s="61">
        <v>700</v>
      </c>
      <c r="D63" s="14">
        <f t="shared" si="1"/>
        <v>700</v>
      </c>
      <c r="E63" s="14">
        <f t="shared" si="2"/>
        <v>8400</v>
      </c>
    </row>
    <row r="64" spans="1:7">
      <c r="A64" s="1" t="s">
        <v>169</v>
      </c>
      <c r="B64" s="11">
        <v>2</v>
      </c>
      <c r="C64" s="61">
        <v>500</v>
      </c>
      <c r="D64" s="15">
        <f t="shared" si="1"/>
        <v>1000</v>
      </c>
      <c r="E64" s="15">
        <f t="shared" si="2"/>
        <v>12000</v>
      </c>
    </row>
    <row r="65" spans="1:7">
      <c r="A65" s="6" t="s">
        <v>170</v>
      </c>
      <c r="B65" s="6"/>
      <c r="C65" s="6"/>
      <c r="D65" s="6"/>
      <c r="E65" s="6"/>
    </row>
    <row r="66" spans="1:7">
      <c r="A66" s="2" t="s">
        <v>171</v>
      </c>
      <c r="B66" s="24">
        <v>1</v>
      </c>
      <c r="C66" s="24">
        <v>400</v>
      </c>
      <c r="D66" s="24">
        <v>400</v>
      </c>
      <c r="E66" s="2">
        <f>12*D66</f>
        <v>4800</v>
      </c>
    </row>
    <row r="67" spans="1:7">
      <c r="A67" s="2" t="s">
        <v>172</v>
      </c>
      <c r="B67" s="24">
        <v>1</v>
      </c>
      <c r="C67" s="24">
        <v>400</v>
      </c>
      <c r="D67" s="24">
        <v>400</v>
      </c>
      <c r="E67" s="2">
        <f>12*D67</f>
        <v>4800</v>
      </c>
    </row>
    <row r="68" spans="1:7">
      <c r="A68" s="2" t="s">
        <v>173</v>
      </c>
      <c r="B68" s="24">
        <v>1</v>
      </c>
      <c r="C68" s="24">
        <v>400</v>
      </c>
      <c r="D68" s="24">
        <v>400</v>
      </c>
      <c r="E68" s="2">
        <f>12*D68</f>
        <v>4800</v>
      </c>
    </row>
    <row r="69" spans="1:7">
      <c r="A69" s="2" t="s">
        <v>174</v>
      </c>
      <c r="B69" s="24">
        <v>1</v>
      </c>
      <c r="C69" s="24">
        <v>400</v>
      </c>
      <c r="D69" s="24">
        <v>400</v>
      </c>
      <c r="E69" s="2">
        <f>12*D69</f>
        <v>4800</v>
      </c>
    </row>
    <row r="70" spans="1:7">
      <c r="A70" s="2" t="s">
        <v>175</v>
      </c>
      <c r="B70" s="22">
        <v>1</v>
      </c>
      <c r="C70" s="24">
        <v>500</v>
      </c>
      <c r="D70" s="24">
        <v>500</v>
      </c>
      <c r="E70" s="2">
        <f>12*D70</f>
        <v>6000</v>
      </c>
    </row>
    <row r="71" spans="1:7">
      <c r="A71" s="255" t="s">
        <v>3</v>
      </c>
      <c r="B71" s="255"/>
      <c r="C71" s="255"/>
      <c r="D71" s="63">
        <f>SUM(D58:D70)</f>
        <v>7400</v>
      </c>
      <c r="E71" s="62">
        <f>SUM(E58:E70)</f>
        <v>88800</v>
      </c>
    </row>
    <row r="73" spans="1:7" ht="15.75" customHeight="1"/>
    <row r="74" spans="1:7" ht="27" customHeight="1" thickBot="1">
      <c r="A74" s="64" t="s">
        <v>176</v>
      </c>
      <c r="B74" s="65" t="s">
        <v>161</v>
      </c>
      <c r="C74" s="6" t="s">
        <v>162</v>
      </c>
      <c r="E74" s="80" t="s">
        <v>192</v>
      </c>
      <c r="F74" s="81" t="s">
        <v>193</v>
      </c>
      <c r="G74" s="80" t="s">
        <v>194</v>
      </c>
    </row>
    <row r="75" spans="1:7" ht="30.75" customHeight="1">
      <c r="A75" s="66" t="s">
        <v>177</v>
      </c>
      <c r="B75" s="67">
        <v>300</v>
      </c>
      <c r="C75" s="68">
        <f>12*B75</f>
        <v>3600</v>
      </c>
      <c r="E75" s="82" t="s">
        <v>195</v>
      </c>
      <c r="F75" s="83">
        <v>300</v>
      </c>
      <c r="G75" s="84">
        <f>+F75*12</f>
        <v>3600</v>
      </c>
    </row>
    <row r="76" spans="1:7" ht="13.5" thickBot="1">
      <c r="A76" s="66" t="s">
        <v>178</v>
      </c>
      <c r="B76" s="69">
        <v>30</v>
      </c>
      <c r="C76" s="68">
        <f>12*B76</f>
        <v>360</v>
      </c>
      <c r="E76" s="85" t="s">
        <v>196</v>
      </c>
      <c r="F76" s="83">
        <v>80</v>
      </c>
      <c r="G76" s="84">
        <f>+F76*12</f>
        <v>960</v>
      </c>
    </row>
    <row r="77" spans="1:7">
      <c r="A77" s="70" t="s">
        <v>179</v>
      </c>
      <c r="B77" s="71">
        <v>50</v>
      </c>
      <c r="C77" s="22">
        <f>12*B77</f>
        <v>600</v>
      </c>
      <c r="E77" s="86" t="s">
        <v>197</v>
      </c>
      <c r="F77" s="83">
        <v>200</v>
      </c>
      <c r="G77" s="84">
        <f>+F77*12</f>
        <v>2400</v>
      </c>
    </row>
    <row r="78" spans="1:7" ht="13.5" thickBot="1">
      <c r="A78" s="70" t="s">
        <v>102</v>
      </c>
      <c r="B78" s="71">
        <v>110</v>
      </c>
      <c r="C78" s="22">
        <f>B78*12</f>
        <v>1320</v>
      </c>
      <c r="E78" s="86" t="s">
        <v>198</v>
      </c>
      <c r="F78" s="87">
        <f>(F72+SUM(F75:F77))*5%</f>
        <v>29</v>
      </c>
      <c r="G78" s="88">
        <f>+F78*12</f>
        <v>348</v>
      </c>
    </row>
    <row r="79" spans="1:7" ht="13.5" thickTop="1">
      <c r="A79" s="70" t="s">
        <v>180</v>
      </c>
      <c r="B79" s="22">
        <v>230</v>
      </c>
      <c r="C79" s="22">
        <f>12*B79</f>
        <v>2760</v>
      </c>
      <c r="E79" s="89" t="s">
        <v>199</v>
      </c>
      <c r="F79" s="90">
        <f>SUM(F75:F78)</f>
        <v>609</v>
      </c>
      <c r="G79" s="91">
        <f>SUM(G75:G78)</f>
        <v>7308</v>
      </c>
    </row>
    <row r="80" spans="1:7">
      <c r="A80" s="70" t="s">
        <v>181</v>
      </c>
      <c r="B80" s="22">
        <v>500</v>
      </c>
      <c r="C80" s="22">
        <f>12*B80</f>
        <v>6000</v>
      </c>
    </row>
    <row r="81" spans="1:6">
      <c r="A81" s="64" t="s">
        <v>3</v>
      </c>
      <c r="B81" s="6">
        <f>SUM(B75:B80)</f>
        <v>1220</v>
      </c>
      <c r="C81" s="6">
        <f>SUM(C75:C80)</f>
        <v>14640</v>
      </c>
    </row>
    <row r="83" spans="1:6">
      <c r="A83" s="72" t="s">
        <v>121</v>
      </c>
      <c r="B83" s="73"/>
      <c r="C83" s="74"/>
      <c r="E83" s="75"/>
    </row>
    <row r="84" spans="1:6">
      <c r="A84" s="75" t="s">
        <v>182</v>
      </c>
      <c r="B84" s="76">
        <f>0.7*B25</f>
        <v>67835.599999999991</v>
      </c>
      <c r="C84" s="74"/>
      <c r="E84" s="75"/>
    </row>
    <row r="85" spans="1:6">
      <c r="A85" s="75" t="s">
        <v>183</v>
      </c>
      <c r="B85" s="77">
        <v>0.12</v>
      </c>
      <c r="C85" s="74"/>
      <c r="E85" s="75"/>
    </row>
    <row r="86" spans="1:6">
      <c r="A86" s="75" t="s">
        <v>184</v>
      </c>
      <c r="B86" s="76">
        <v>5</v>
      </c>
      <c r="C86" s="74" t="s">
        <v>185</v>
      </c>
      <c r="E86" s="75"/>
    </row>
    <row r="89" spans="1:6">
      <c r="A89" s="62" t="s">
        <v>186</v>
      </c>
      <c r="B89" s="62" t="s">
        <v>187</v>
      </c>
      <c r="C89" s="62" t="s">
        <v>188</v>
      </c>
      <c r="D89" s="62" t="s">
        <v>189</v>
      </c>
      <c r="E89" s="62" t="s">
        <v>190</v>
      </c>
      <c r="F89" s="62" t="s">
        <v>191</v>
      </c>
    </row>
    <row r="90" spans="1:6">
      <c r="A90" s="2">
        <v>0</v>
      </c>
      <c r="B90" s="2"/>
      <c r="C90" s="2"/>
      <c r="D90" s="2"/>
      <c r="E90" s="2">
        <f>B84</f>
        <v>67835.599999999991</v>
      </c>
    </row>
    <row r="91" spans="1:6">
      <c r="A91" s="2">
        <v>1</v>
      </c>
      <c r="B91" s="78">
        <f>PMT($B$85,$B$86,$E$90)</f>
        <v>-18818.255612060206</v>
      </c>
      <c r="C91" s="79">
        <f>E90*$B$85</f>
        <v>8140.271999999999</v>
      </c>
      <c r="D91" s="78">
        <f>SUM(B91:C91)</f>
        <v>-10677.983612060207</v>
      </c>
      <c r="E91" s="78">
        <f t="shared" ref="E91:E96" si="3">E90+D91</f>
        <v>57157.616387939786</v>
      </c>
      <c r="F91" s="32">
        <f>B91/12</f>
        <v>-1568.1879676716837</v>
      </c>
    </row>
    <row r="92" spans="1:6">
      <c r="A92" s="2">
        <v>2</v>
      </c>
      <c r="B92" s="78">
        <f>PMT($B$85,$B$86,$E$90)</f>
        <v>-18818.255612060206</v>
      </c>
      <c r="C92" s="79">
        <f>E91*$B$85</f>
        <v>6858.9139665527737</v>
      </c>
      <c r="D92" s="78">
        <f>SUM(B92:C92)</f>
        <v>-11959.341645507433</v>
      </c>
      <c r="E92" s="78">
        <f t="shared" si="3"/>
        <v>45198.274742432353</v>
      </c>
      <c r="F92" s="32">
        <f>B92/12</f>
        <v>-1568.1879676716837</v>
      </c>
    </row>
    <row r="93" spans="1:6">
      <c r="A93" s="2">
        <v>3</v>
      </c>
      <c r="B93" s="78">
        <f>PMT($B$85,$B$86,$E$90)</f>
        <v>-18818.255612060206</v>
      </c>
      <c r="C93" s="79">
        <f>E92*$B$85</f>
        <v>5423.7929690918818</v>
      </c>
      <c r="D93" s="78">
        <f>SUM(B93:C93)</f>
        <v>-13394.462642968323</v>
      </c>
      <c r="E93" s="78">
        <f t="shared" si="3"/>
        <v>31803.81209946403</v>
      </c>
      <c r="F93" s="32">
        <f>B93/12</f>
        <v>-1568.1879676716837</v>
      </c>
    </row>
    <row r="94" spans="1:6">
      <c r="A94" s="2">
        <v>4</v>
      </c>
      <c r="B94" s="78">
        <f>PMT($B$85,$B$86,$E$90)</f>
        <v>-18818.255612060206</v>
      </c>
      <c r="C94" s="79">
        <f>E93*$B$85</f>
        <v>3816.4574519356834</v>
      </c>
      <c r="D94" s="78">
        <f>SUM(B94:C94)</f>
        <v>-15001.798160124523</v>
      </c>
      <c r="E94" s="78">
        <f t="shared" si="3"/>
        <v>16802.013939339507</v>
      </c>
      <c r="F94" s="32">
        <f>B94/12</f>
        <v>-1568.1879676716837</v>
      </c>
    </row>
    <row r="95" spans="1:6">
      <c r="A95" s="2">
        <v>5</v>
      </c>
      <c r="B95" s="78">
        <f>PMT($B$85,$B$86,$E$90)</f>
        <v>-18818.255612060206</v>
      </c>
      <c r="C95" s="79">
        <f>E94*$B$85</f>
        <v>2016.2416727207408</v>
      </c>
      <c r="D95" s="78">
        <f>SUM(B95:C95)</f>
        <v>-16802.013939339464</v>
      </c>
      <c r="E95" s="78">
        <f t="shared" si="3"/>
        <v>4.3655745685100555E-11</v>
      </c>
      <c r="F95" s="32">
        <f>B95/12</f>
        <v>-1568.1879676716837</v>
      </c>
    </row>
    <row r="96" spans="1:6">
      <c r="A96" s="2"/>
      <c r="B96" s="78"/>
      <c r="C96" s="79"/>
      <c r="D96" s="78"/>
      <c r="E96" s="78">
        <f t="shared" si="3"/>
        <v>4.3655745685100555E-11</v>
      </c>
    </row>
  </sheetData>
  <mergeCells count="4">
    <mergeCell ref="A27:C27"/>
    <mergeCell ref="A53:C53"/>
    <mergeCell ref="A52:B52"/>
    <mergeCell ref="A71:C71"/>
  </mergeCells>
  <phoneticPr fontId="3" type="noConversion"/>
  <pageMargins left="0.75" right="0.75" top="1" bottom="1" header="0" footer="0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O47"/>
  <sheetViews>
    <sheetView topLeftCell="A9" workbookViewId="0">
      <selection activeCell="H36" sqref="H36:I36"/>
    </sheetView>
  </sheetViews>
  <sheetFormatPr defaultColWidth="11.42578125" defaultRowHeight="12.75"/>
  <cols>
    <col min="1" max="1" width="5.140625" customWidth="1"/>
    <col min="2" max="2" width="23.5703125" customWidth="1"/>
    <col min="3" max="3" width="9" customWidth="1"/>
    <col min="4" max="4" width="9.28515625" customWidth="1"/>
    <col min="5" max="5" width="9" customWidth="1"/>
    <col min="6" max="6" width="8.85546875" customWidth="1"/>
    <col min="7" max="7" width="12.5703125" customWidth="1"/>
    <col min="8" max="8" width="14.42578125" customWidth="1"/>
    <col min="9" max="9" width="12.7109375" customWidth="1"/>
    <col min="10" max="10" width="6.140625" customWidth="1"/>
    <col min="11" max="13" width="6" customWidth="1"/>
    <col min="14" max="14" width="5.85546875" customWidth="1"/>
    <col min="15" max="15" width="6.85546875" customWidth="1"/>
  </cols>
  <sheetData>
    <row r="4" spans="2:10">
      <c r="B4" t="s">
        <v>76</v>
      </c>
    </row>
    <row r="6" spans="2:10" ht="38.25">
      <c r="B6" s="29" t="s">
        <v>36</v>
      </c>
      <c r="C6" s="29" t="s">
        <v>75</v>
      </c>
      <c r="D6" s="29" t="s">
        <v>296</v>
      </c>
      <c r="E6" s="29" t="s">
        <v>297</v>
      </c>
      <c r="F6" s="29" t="s">
        <v>37</v>
      </c>
      <c r="G6" s="29" t="s">
        <v>38</v>
      </c>
      <c r="H6" s="29" t="s">
        <v>39</v>
      </c>
      <c r="I6" s="29" t="s">
        <v>40</v>
      </c>
      <c r="J6" s="29" t="s">
        <v>41</v>
      </c>
    </row>
    <row r="7" spans="2:10">
      <c r="B7" s="223" t="s">
        <v>48</v>
      </c>
      <c r="E7" s="6">
        <f>SUM(E8:E14)</f>
        <v>6670</v>
      </c>
      <c r="F7" s="2">
        <v>10</v>
      </c>
      <c r="G7" s="6">
        <f>E7/F7</f>
        <v>667</v>
      </c>
      <c r="H7" s="2">
        <v>10</v>
      </c>
      <c r="I7" s="6">
        <f>SUM(I8:I14)</f>
        <v>6670</v>
      </c>
      <c r="J7" s="2">
        <v>0</v>
      </c>
    </row>
    <row r="8" spans="2:10" ht="25.5">
      <c r="B8" s="30" t="s">
        <v>49</v>
      </c>
      <c r="C8" s="22">
        <v>8</v>
      </c>
      <c r="D8" s="22">
        <v>120</v>
      </c>
      <c r="E8" s="23">
        <f t="shared" ref="E8:E14" si="0">D8*C8</f>
        <v>960</v>
      </c>
      <c r="F8" s="2">
        <v>10</v>
      </c>
      <c r="G8" s="2">
        <f t="shared" ref="G8:G35" si="1">E8/F8</f>
        <v>96</v>
      </c>
      <c r="H8" s="2">
        <v>10</v>
      </c>
      <c r="I8" s="23">
        <f t="shared" ref="I8:I14" si="2">H8*G8</f>
        <v>960</v>
      </c>
      <c r="J8" s="2">
        <v>0</v>
      </c>
    </row>
    <row r="9" spans="2:10" ht="25.5">
      <c r="B9" s="30" t="s">
        <v>50</v>
      </c>
      <c r="C9" s="22">
        <v>2</v>
      </c>
      <c r="D9" s="22">
        <v>80</v>
      </c>
      <c r="E9" s="23">
        <f t="shared" si="0"/>
        <v>160</v>
      </c>
      <c r="F9" s="2">
        <v>10</v>
      </c>
      <c r="G9" s="2">
        <f t="shared" si="1"/>
        <v>16</v>
      </c>
      <c r="H9" s="2">
        <v>10</v>
      </c>
      <c r="I9" s="23">
        <f t="shared" si="2"/>
        <v>160</v>
      </c>
      <c r="J9" s="2">
        <v>0</v>
      </c>
    </row>
    <row r="10" spans="2:10">
      <c r="B10" s="30" t="s">
        <v>51</v>
      </c>
      <c r="C10" s="22">
        <v>1</v>
      </c>
      <c r="D10" s="22">
        <v>500</v>
      </c>
      <c r="E10" s="23">
        <f t="shared" si="0"/>
        <v>500</v>
      </c>
      <c r="F10" s="2">
        <v>10</v>
      </c>
      <c r="G10" s="2">
        <f t="shared" si="1"/>
        <v>50</v>
      </c>
      <c r="H10" s="2">
        <v>10</v>
      </c>
      <c r="I10" s="23">
        <f t="shared" si="2"/>
        <v>500</v>
      </c>
      <c r="J10" s="2">
        <v>0</v>
      </c>
    </row>
    <row r="11" spans="2:10">
      <c r="B11" s="30" t="s">
        <v>52</v>
      </c>
      <c r="C11" s="22">
        <v>1</v>
      </c>
      <c r="D11" s="22">
        <v>200</v>
      </c>
      <c r="E11" s="23">
        <f t="shared" si="0"/>
        <v>200</v>
      </c>
      <c r="F11" s="2">
        <v>10</v>
      </c>
      <c r="G11" s="2">
        <f t="shared" si="1"/>
        <v>20</v>
      </c>
      <c r="H11" s="2">
        <v>10</v>
      </c>
      <c r="I11" s="23">
        <f t="shared" si="2"/>
        <v>200</v>
      </c>
      <c r="J11" s="2">
        <v>0</v>
      </c>
    </row>
    <row r="12" spans="2:10">
      <c r="B12" s="30" t="s">
        <v>53</v>
      </c>
      <c r="C12" s="22">
        <v>1</v>
      </c>
      <c r="D12" s="22">
        <v>450</v>
      </c>
      <c r="E12" s="23">
        <f t="shared" si="0"/>
        <v>450</v>
      </c>
      <c r="F12" s="2">
        <v>10</v>
      </c>
      <c r="G12" s="2">
        <f t="shared" si="1"/>
        <v>45</v>
      </c>
      <c r="H12" s="2">
        <v>10</v>
      </c>
      <c r="I12" s="23">
        <f t="shared" si="2"/>
        <v>450</v>
      </c>
      <c r="J12" s="2">
        <v>0</v>
      </c>
    </row>
    <row r="13" spans="2:10">
      <c r="B13" s="224" t="s">
        <v>54</v>
      </c>
      <c r="C13" s="22">
        <v>1</v>
      </c>
      <c r="D13" s="22">
        <v>2000</v>
      </c>
      <c r="E13" s="23">
        <f t="shared" si="0"/>
        <v>2000</v>
      </c>
      <c r="F13" s="2">
        <v>10</v>
      </c>
      <c r="G13" s="2">
        <f t="shared" si="1"/>
        <v>200</v>
      </c>
      <c r="H13" s="2">
        <v>10</v>
      </c>
      <c r="I13" s="23">
        <f t="shared" si="2"/>
        <v>2000</v>
      </c>
      <c r="J13" s="2">
        <v>0</v>
      </c>
    </row>
    <row r="14" spans="2:10">
      <c r="B14" s="225" t="s">
        <v>55</v>
      </c>
      <c r="C14" s="24">
        <v>3</v>
      </c>
      <c r="D14" s="24">
        <v>800</v>
      </c>
      <c r="E14" s="26">
        <f t="shared" si="0"/>
        <v>2400</v>
      </c>
      <c r="F14" s="2">
        <v>10</v>
      </c>
      <c r="G14" s="2">
        <f t="shared" si="1"/>
        <v>240</v>
      </c>
      <c r="H14" s="2">
        <v>10</v>
      </c>
      <c r="I14" s="26">
        <f t="shared" si="2"/>
        <v>2400</v>
      </c>
      <c r="J14" s="2">
        <v>0</v>
      </c>
    </row>
    <row r="15" spans="2:10" ht="25.5">
      <c r="B15" s="223" t="s">
        <v>56</v>
      </c>
      <c r="E15" s="6">
        <f>SUM(E16:E17)</f>
        <v>7000</v>
      </c>
      <c r="F15" s="2">
        <v>3</v>
      </c>
      <c r="G15" s="27">
        <f t="shared" si="1"/>
        <v>2333.3333333333335</v>
      </c>
      <c r="H15" s="2">
        <v>3</v>
      </c>
      <c r="I15" s="6">
        <f>SUM(I16:I17)</f>
        <v>7000</v>
      </c>
      <c r="J15" s="2">
        <v>0</v>
      </c>
    </row>
    <row r="16" spans="2:10">
      <c r="B16" s="30" t="s">
        <v>57</v>
      </c>
      <c r="C16" s="22">
        <v>10</v>
      </c>
      <c r="D16" s="22">
        <v>500</v>
      </c>
      <c r="E16" s="23">
        <f>D16*C16</f>
        <v>5000</v>
      </c>
      <c r="F16" s="2">
        <v>3</v>
      </c>
      <c r="G16" s="2">
        <f t="shared" si="1"/>
        <v>1666.6666666666667</v>
      </c>
      <c r="H16" s="2">
        <v>3</v>
      </c>
      <c r="I16" s="23">
        <f>H16*G16</f>
        <v>5000</v>
      </c>
      <c r="J16" s="2">
        <v>0</v>
      </c>
    </row>
    <row r="17" spans="2:10" ht="15.75" customHeight="1">
      <c r="B17" s="30" t="s">
        <v>58</v>
      </c>
      <c r="C17" s="22">
        <v>2</v>
      </c>
      <c r="D17" s="22">
        <v>1000</v>
      </c>
      <c r="E17" s="23">
        <f>D17*C17</f>
        <v>2000</v>
      </c>
      <c r="F17" s="2">
        <v>3</v>
      </c>
      <c r="G17" s="2">
        <f t="shared" si="1"/>
        <v>666.66666666666663</v>
      </c>
      <c r="H17" s="2">
        <v>3</v>
      </c>
      <c r="I17" s="23">
        <f>H17*G17</f>
        <v>2000</v>
      </c>
      <c r="J17" s="2">
        <v>0</v>
      </c>
    </row>
    <row r="18" spans="2:10" ht="17.25" customHeight="1">
      <c r="B18" s="223" t="s">
        <v>59</v>
      </c>
      <c r="E18" s="6">
        <f>SUM(E19:E25)</f>
        <v>8768</v>
      </c>
      <c r="F18" s="2">
        <v>10</v>
      </c>
      <c r="G18" s="6">
        <f t="shared" si="1"/>
        <v>876.8</v>
      </c>
      <c r="H18" s="2">
        <v>10</v>
      </c>
      <c r="I18" s="6">
        <f>SUM(I19:I25)</f>
        <v>8768</v>
      </c>
      <c r="J18" s="2">
        <v>0</v>
      </c>
    </row>
    <row r="19" spans="2:10" ht="25.5">
      <c r="B19" s="30" t="s">
        <v>60</v>
      </c>
      <c r="C19" s="22">
        <v>2</v>
      </c>
      <c r="D19" s="22">
        <v>338</v>
      </c>
      <c r="E19" s="23">
        <f t="shared" ref="E19:E25" si="3">D19*C19</f>
        <v>676</v>
      </c>
      <c r="F19" s="2">
        <v>10</v>
      </c>
      <c r="G19" s="2">
        <f t="shared" si="1"/>
        <v>67.599999999999994</v>
      </c>
      <c r="H19" s="2">
        <v>10</v>
      </c>
      <c r="I19" s="23">
        <f t="shared" ref="I19:I25" si="4">H19*G19</f>
        <v>676</v>
      </c>
      <c r="J19" s="2">
        <v>0</v>
      </c>
    </row>
    <row r="20" spans="2:10" ht="25.5">
      <c r="B20" s="30" t="s">
        <v>61</v>
      </c>
      <c r="C20" s="22">
        <v>3</v>
      </c>
      <c r="D20" s="22">
        <v>1900</v>
      </c>
      <c r="E20" s="23">
        <f t="shared" si="3"/>
        <v>5700</v>
      </c>
      <c r="F20" s="2">
        <v>10</v>
      </c>
      <c r="G20" s="2">
        <f t="shared" si="1"/>
        <v>570</v>
      </c>
      <c r="H20" s="2">
        <v>10</v>
      </c>
      <c r="I20" s="23">
        <f t="shared" si="4"/>
        <v>5700</v>
      </c>
      <c r="J20" s="2">
        <v>0</v>
      </c>
    </row>
    <row r="21" spans="2:10" ht="38.25">
      <c r="B21" s="30" t="s">
        <v>62</v>
      </c>
      <c r="C21" s="22">
        <v>1</v>
      </c>
      <c r="D21" s="22">
        <v>400</v>
      </c>
      <c r="E21" s="23">
        <f t="shared" si="3"/>
        <v>400</v>
      </c>
      <c r="F21" s="2">
        <v>10</v>
      </c>
      <c r="G21" s="2">
        <f t="shared" si="1"/>
        <v>40</v>
      </c>
      <c r="H21" s="2">
        <v>10</v>
      </c>
      <c r="I21" s="23">
        <f t="shared" si="4"/>
        <v>400</v>
      </c>
      <c r="J21" s="2">
        <v>0</v>
      </c>
    </row>
    <row r="22" spans="2:10">
      <c r="B22" s="30" t="s">
        <v>63</v>
      </c>
      <c r="C22" s="22">
        <v>1</v>
      </c>
      <c r="D22" s="22">
        <v>522</v>
      </c>
      <c r="E22" s="23">
        <f t="shared" si="3"/>
        <v>522</v>
      </c>
      <c r="F22" s="2">
        <v>10</v>
      </c>
      <c r="G22" s="2">
        <f t="shared" si="1"/>
        <v>52.2</v>
      </c>
      <c r="H22" s="2">
        <v>10</v>
      </c>
      <c r="I22" s="23">
        <f t="shared" si="4"/>
        <v>522</v>
      </c>
      <c r="J22" s="2">
        <v>0</v>
      </c>
    </row>
    <row r="23" spans="2:10">
      <c r="B23" s="30" t="s">
        <v>64</v>
      </c>
      <c r="C23" s="22">
        <v>5</v>
      </c>
      <c r="D23" s="22">
        <v>90</v>
      </c>
      <c r="E23" s="23">
        <f t="shared" si="3"/>
        <v>450</v>
      </c>
      <c r="F23" s="2">
        <v>10</v>
      </c>
      <c r="G23" s="2">
        <f t="shared" si="1"/>
        <v>45</v>
      </c>
      <c r="H23" s="2">
        <v>10</v>
      </c>
      <c r="I23" s="23">
        <f t="shared" si="4"/>
        <v>450</v>
      </c>
      <c r="J23" s="2">
        <v>0</v>
      </c>
    </row>
    <row r="24" spans="2:10">
      <c r="B24" s="30" t="s">
        <v>65</v>
      </c>
      <c r="C24" s="22">
        <v>6</v>
      </c>
      <c r="D24" s="22">
        <v>80</v>
      </c>
      <c r="E24" s="23">
        <f t="shared" si="3"/>
        <v>480</v>
      </c>
      <c r="F24" s="2">
        <v>10</v>
      </c>
      <c r="G24" s="2">
        <f t="shared" si="1"/>
        <v>48</v>
      </c>
      <c r="H24" s="2">
        <v>10</v>
      </c>
      <c r="I24" s="23">
        <f t="shared" si="4"/>
        <v>480</v>
      </c>
      <c r="J24" s="2">
        <v>0</v>
      </c>
    </row>
    <row r="25" spans="2:10">
      <c r="B25" s="30" t="s">
        <v>66</v>
      </c>
      <c r="C25" s="22">
        <v>3</v>
      </c>
      <c r="D25" s="22">
        <v>180</v>
      </c>
      <c r="E25" s="23">
        <f t="shared" si="3"/>
        <v>540</v>
      </c>
      <c r="F25" s="2">
        <v>10</v>
      </c>
      <c r="G25" s="2">
        <f t="shared" si="1"/>
        <v>54</v>
      </c>
      <c r="H25" s="2">
        <v>10</v>
      </c>
      <c r="I25" s="23">
        <f t="shared" si="4"/>
        <v>540</v>
      </c>
      <c r="J25" s="2">
        <v>0</v>
      </c>
    </row>
    <row r="26" spans="2:10">
      <c r="B26" s="226" t="s">
        <v>67</v>
      </c>
      <c r="E26" s="6">
        <f>SUM(E27:E33)</f>
        <v>3420</v>
      </c>
      <c r="F26" s="2">
        <v>10</v>
      </c>
      <c r="G26" s="6">
        <f t="shared" si="1"/>
        <v>342</v>
      </c>
      <c r="H26" s="2">
        <v>10</v>
      </c>
      <c r="I26" s="6">
        <f>SUM(I27:I33)</f>
        <v>3420</v>
      </c>
      <c r="J26" s="2">
        <v>0</v>
      </c>
    </row>
    <row r="27" spans="2:10">
      <c r="B27" s="30" t="s">
        <v>68</v>
      </c>
      <c r="C27" s="22">
        <v>8</v>
      </c>
      <c r="D27" s="22">
        <v>140</v>
      </c>
      <c r="E27" s="23">
        <f t="shared" ref="E27:E33" si="5">D27*C27</f>
        <v>1120</v>
      </c>
      <c r="F27" s="2">
        <v>10</v>
      </c>
      <c r="G27" s="2">
        <f t="shared" si="1"/>
        <v>112</v>
      </c>
      <c r="H27" s="2">
        <v>10</v>
      </c>
      <c r="I27" s="23">
        <f t="shared" ref="I27:I35" si="6">H27*G27</f>
        <v>1120</v>
      </c>
      <c r="J27" s="2">
        <v>0</v>
      </c>
    </row>
    <row r="28" spans="2:10">
      <c r="B28" s="30" t="s">
        <v>69</v>
      </c>
      <c r="C28" s="22">
        <v>10</v>
      </c>
      <c r="D28" s="22">
        <v>30</v>
      </c>
      <c r="E28" s="23">
        <f t="shared" si="5"/>
        <v>300</v>
      </c>
      <c r="F28" s="2">
        <v>10</v>
      </c>
      <c r="G28" s="2">
        <f t="shared" si="1"/>
        <v>30</v>
      </c>
      <c r="H28" s="2">
        <v>10</v>
      </c>
      <c r="I28" s="23">
        <f t="shared" si="6"/>
        <v>300</v>
      </c>
      <c r="J28" s="2">
        <v>0</v>
      </c>
    </row>
    <row r="29" spans="2:10">
      <c r="B29" s="30" t="s">
        <v>70</v>
      </c>
      <c r="C29" s="22">
        <v>10</v>
      </c>
      <c r="D29" s="22">
        <v>20</v>
      </c>
      <c r="E29" s="23">
        <f t="shared" si="5"/>
        <v>200</v>
      </c>
      <c r="F29" s="2">
        <v>10</v>
      </c>
      <c r="G29" s="2">
        <f t="shared" si="1"/>
        <v>20</v>
      </c>
      <c r="H29" s="2">
        <v>10</v>
      </c>
      <c r="I29" s="23">
        <f t="shared" si="6"/>
        <v>200</v>
      </c>
      <c r="J29" s="2">
        <v>0</v>
      </c>
    </row>
    <row r="30" spans="2:10">
      <c r="B30" s="30" t="s">
        <v>71</v>
      </c>
      <c r="C30" s="22">
        <v>1</v>
      </c>
      <c r="D30" s="22">
        <v>500</v>
      </c>
      <c r="E30" s="23">
        <f t="shared" si="5"/>
        <v>500</v>
      </c>
      <c r="F30" s="2">
        <v>10</v>
      </c>
      <c r="G30" s="2">
        <f t="shared" si="1"/>
        <v>50</v>
      </c>
      <c r="H30" s="2">
        <v>10</v>
      </c>
      <c r="I30" s="23">
        <f t="shared" si="6"/>
        <v>500</v>
      </c>
      <c r="J30" s="2">
        <v>0</v>
      </c>
    </row>
    <row r="31" spans="2:10">
      <c r="B31" s="30" t="s">
        <v>72</v>
      </c>
      <c r="C31" s="22">
        <v>1</v>
      </c>
      <c r="D31" s="22">
        <v>200</v>
      </c>
      <c r="E31" s="23">
        <f t="shared" si="5"/>
        <v>200</v>
      </c>
      <c r="F31" s="2">
        <v>10</v>
      </c>
      <c r="G31" s="2">
        <f t="shared" si="1"/>
        <v>20</v>
      </c>
      <c r="H31" s="2">
        <v>10</v>
      </c>
      <c r="I31" s="23">
        <f t="shared" si="6"/>
        <v>200</v>
      </c>
      <c r="J31" s="2">
        <v>0</v>
      </c>
    </row>
    <row r="32" spans="2:10">
      <c r="B32" s="30" t="s">
        <v>73</v>
      </c>
      <c r="C32" s="22">
        <v>12</v>
      </c>
      <c r="D32" s="22">
        <v>25</v>
      </c>
      <c r="E32" s="23">
        <f t="shared" si="5"/>
        <v>300</v>
      </c>
      <c r="F32" s="2">
        <v>10</v>
      </c>
      <c r="G32" s="2">
        <f t="shared" si="1"/>
        <v>30</v>
      </c>
      <c r="H32" s="2">
        <v>10</v>
      </c>
      <c r="I32" s="23">
        <f t="shared" si="6"/>
        <v>300</v>
      </c>
      <c r="J32" s="2">
        <v>0</v>
      </c>
    </row>
    <row r="33" spans="1:15">
      <c r="B33" s="227" t="s">
        <v>74</v>
      </c>
      <c r="C33" s="24">
        <v>1</v>
      </c>
      <c r="D33" s="24">
        <v>800</v>
      </c>
      <c r="E33" s="25">
        <f t="shared" si="5"/>
        <v>800</v>
      </c>
      <c r="F33" s="4">
        <v>10</v>
      </c>
      <c r="G33" s="4">
        <f t="shared" si="1"/>
        <v>80</v>
      </c>
      <c r="H33" s="4">
        <v>10</v>
      </c>
      <c r="I33" s="25">
        <f t="shared" si="6"/>
        <v>800</v>
      </c>
      <c r="J33" s="4">
        <v>0</v>
      </c>
    </row>
    <row r="34" spans="1:15">
      <c r="B34" s="228" t="s">
        <v>294</v>
      </c>
      <c r="C34" s="221"/>
      <c r="D34" s="221"/>
      <c r="E34" s="6">
        <v>60000</v>
      </c>
      <c r="F34" s="219">
        <v>20</v>
      </c>
      <c r="G34" s="6">
        <v>3000</v>
      </c>
      <c r="H34" s="2">
        <v>20</v>
      </c>
      <c r="I34" s="6">
        <f t="shared" si="6"/>
        <v>60000</v>
      </c>
      <c r="J34" s="4">
        <v>0</v>
      </c>
    </row>
    <row r="35" spans="1:15" ht="13.5" thickBot="1">
      <c r="B35" s="229" t="s">
        <v>295</v>
      </c>
      <c r="C35" s="24">
        <v>1</v>
      </c>
      <c r="D35" s="24">
        <v>60000</v>
      </c>
      <c r="E35" s="220">
        <v>60000</v>
      </c>
      <c r="F35" s="26">
        <v>20</v>
      </c>
      <c r="G35" s="2">
        <f t="shared" si="1"/>
        <v>3000</v>
      </c>
      <c r="H35" s="2">
        <v>20</v>
      </c>
      <c r="I35" s="26">
        <f t="shared" si="6"/>
        <v>60000</v>
      </c>
      <c r="J35" s="4">
        <v>0</v>
      </c>
    </row>
    <row r="36" spans="1:15" ht="13.5" thickBot="1">
      <c r="B36" s="256" t="s">
        <v>35</v>
      </c>
      <c r="C36" s="257"/>
      <c r="D36" s="258"/>
      <c r="E36" s="217"/>
      <c r="F36" s="218"/>
      <c r="G36" s="222">
        <f>G7+G15+G18+G26+G34</f>
        <v>7219.1333333333332</v>
      </c>
      <c r="H36" s="256" t="s">
        <v>42</v>
      </c>
      <c r="I36" s="257"/>
      <c r="J36" s="28">
        <f>SUM(J29:J33)</f>
        <v>0</v>
      </c>
    </row>
    <row r="38" spans="1:15" ht="38.25">
      <c r="B38" s="19" t="s">
        <v>43</v>
      </c>
      <c r="C38" s="19" t="s">
        <v>44</v>
      </c>
      <c r="D38" s="19" t="s">
        <v>45</v>
      </c>
      <c r="E38" s="19" t="s">
        <v>46</v>
      </c>
    </row>
    <row r="39" spans="1:15">
      <c r="B39" s="20" t="s">
        <v>47</v>
      </c>
      <c r="C39" s="21">
        <v>3200</v>
      </c>
      <c r="D39" s="20">
        <v>10</v>
      </c>
      <c r="E39" s="21">
        <f>+C39/D39</f>
        <v>320</v>
      </c>
    </row>
    <row r="42" spans="1:15">
      <c r="A42" s="46"/>
      <c r="B42" s="47" t="s">
        <v>120</v>
      </c>
      <c r="C42" s="48" t="s">
        <v>285</v>
      </c>
      <c r="D42" s="48" t="s">
        <v>117</v>
      </c>
      <c r="E42" s="48" t="s">
        <v>286</v>
      </c>
      <c r="F42" s="48" t="s">
        <v>80</v>
      </c>
      <c r="G42" s="48" t="s">
        <v>81</v>
      </c>
      <c r="H42" s="48" t="s">
        <v>82</v>
      </c>
      <c r="I42" s="48" t="s">
        <v>83</v>
      </c>
      <c r="J42" s="48" t="s">
        <v>118</v>
      </c>
      <c r="K42" s="48" t="s">
        <v>113</v>
      </c>
      <c r="L42" s="48" t="s">
        <v>114</v>
      </c>
      <c r="M42" s="48" t="s">
        <v>115</v>
      </c>
      <c r="N42" s="48" t="s">
        <v>116</v>
      </c>
      <c r="O42" s="48" t="s">
        <v>3</v>
      </c>
    </row>
    <row r="43" spans="1:15">
      <c r="A43" s="46"/>
      <c r="B43" s="152" t="s">
        <v>110</v>
      </c>
      <c r="C43" s="154">
        <v>0</v>
      </c>
      <c r="D43" s="154">
        <v>2</v>
      </c>
      <c r="E43" s="154">
        <v>3</v>
      </c>
      <c r="F43" s="154">
        <v>3</v>
      </c>
      <c r="G43" s="154">
        <v>4</v>
      </c>
      <c r="H43" s="154">
        <v>7</v>
      </c>
      <c r="I43" s="154">
        <v>7</v>
      </c>
      <c r="J43" s="154">
        <v>6</v>
      </c>
      <c r="K43" s="154">
        <v>7</v>
      </c>
      <c r="L43" s="154">
        <v>7</v>
      </c>
      <c r="M43" s="154">
        <v>7</v>
      </c>
      <c r="N43" s="154">
        <v>5</v>
      </c>
      <c r="O43" s="160">
        <f>SUM(B43:N43)</f>
        <v>58</v>
      </c>
    </row>
    <row r="44" spans="1:15" ht="21">
      <c r="A44" s="150">
        <v>24430</v>
      </c>
      <c r="B44" s="155" t="s">
        <v>276</v>
      </c>
      <c r="C44" s="156">
        <v>0</v>
      </c>
      <c r="D44" s="156">
        <v>48860</v>
      </c>
      <c r="E44" s="156">
        <v>73290</v>
      </c>
      <c r="F44" s="156">
        <v>73290</v>
      </c>
      <c r="G44" s="156">
        <v>97720</v>
      </c>
      <c r="H44" s="156">
        <v>171010</v>
      </c>
      <c r="I44" s="156">
        <v>171010</v>
      </c>
      <c r="J44" s="156">
        <v>146580</v>
      </c>
      <c r="K44" s="156">
        <v>171010</v>
      </c>
      <c r="L44" s="156">
        <v>171010</v>
      </c>
      <c r="M44" s="156">
        <v>171010</v>
      </c>
      <c r="N44" s="156">
        <v>122150</v>
      </c>
      <c r="O44" s="160">
        <f>SUM(C44:N44)</f>
        <v>1416940</v>
      </c>
    </row>
    <row r="45" spans="1:15" ht="34.5" thickBot="1">
      <c r="A45" s="150" t="s">
        <v>119</v>
      </c>
      <c r="B45" s="157" t="s">
        <v>284</v>
      </c>
      <c r="C45" s="158">
        <v>0</v>
      </c>
      <c r="D45" s="158">
        <v>2247</v>
      </c>
      <c r="E45" s="158">
        <v>3370.5</v>
      </c>
      <c r="F45" s="158">
        <v>3370.5</v>
      </c>
      <c r="G45" s="158">
        <v>4494</v>
      </c>
      <c r="H45" s="158">
        <v>7864.5</v>
      </c>
      <c r="I45" s="158">
        <v>7864.5</v>
      </c>
      <c r="J45" s="158">
        <v>6741</v>
      </c>
      <c r="K45" s="158">
        <v>7864.5</v>
      </c>
      <c r="L45" s="158">
        <v>7864.5</v>
      </c>
      <c r="M45" s="158">
        <v>7864.5</v>
      </c>
      <c r="N45" s="158">
        <v>5617.5</v>
      </c>
      <c r="O45" s="160">
        <f>SUM(C45:N45)</f>
        <v>65163</v>
      </c>
    </row>
    <row r="46" spans="1:15" ht="13.5" thickTop="1">
      <c r="A46" s="151">
        <v>41950</v>
      </c>
      <c r="B46" s="153" t="s">
        <v>112</v>
      </c>
      <c r="C46" s="159">
        <v>0</v>
      </c>
      <c r="D46" s="159">
        <v>64200</v>
      </c>
      <c r="E46" s="159">
        <v>96300</v>
      </c>
      <c r="F46" s="159">
        <v>96300</v>
      </c>
      <c r="G46" s="159">
        <v>128400</v>
      </c>
      <c r="H46" s="159">
        <v>224700</v>
      </c>
      <c r="I46" s="159">
        <v>224700</v>
      </c>
      <c r="J46" s="159">
        <v>192600</v>
      </c>
      <c r="K46" s="159">
        <v>224700</v>
      </c>
      <c r="L46" s="159">
        <v>224700</v>
      </c>
      <c r="M46" s="159">
        <v>224700</v>
      </c>
      <c r="N46" s="159">
        <v>160500</v>
      </c>
      <c r="O46" s="160">
        <f>SUM(C46:N46)</f>
        <v>1861800</v>
      </c>
    </row>
    <row r="47" spans="1:15">
      <c r="A47" s="46"/>
      <c r="B47" s="49" t="s">
        <v>111</v>
      </c>
      <c r="C47" s="50">
        <f>C46-SUM(C44:C45)</f>
        <v>0</v>
      </c>
      <c r="D47" s="50">
        <f>D46-SUM(D44:D45)</f>
        <v>13093</v>
      </c>
      <c r="E47" s="50">
        <f t="shared" ref="E47:O47" si="7">E46-SUM(E44:E45)</f>
        <v>19639.5</v>
      </c>
      <c r="F47" s="50">
        <f t="shared" si="7"/>
        <v>19639.5</v>
      </c>
      <c r="G47" s="50">
        <f t="shared" si="7"/>
        <v>26186</v>
      </c>
      <c r="H47" s="50">
        <f t="shared" si="7"/>
        <v>45825.5</v>
      </c>
      <c r="I47" s="50">
        <f t="shared" si="7"/>
        <v>45825.5</v>
      </c>
      <c r="J47" s="50">
        <f t="shared" si="7"/>
        <v>39279</v>
      </c>
      <c r="K47" s="50">
        <f t="shared" si="7"/>
        <v>45825.5</v>
      </c>
      <c r="L47" s="50">
        <f t="shared" si="7"/>
        <v>45825.5</v>
      </c>
      <c r="M47" s="50">
        <f t="shared" si="7"/>
        <v>45825.5</v>
      </c>
      <c r="N47" s="50">
        <f t="shared" si="7"/>
        <v>32732.5</v>
      </c>
      <c r="O47" s="50">
        <f t="shared" si="7"/>
        <v>379697</v>
      </c>
    </row>
  </sheetData>
  <mergeCells count="2">
    <mergeCell ref="B36:D36"/>
    <mergeCell ref="H36:I36"/>
  </mergeCells>
  <phoneticPr fontId="3" type="noConversion"/>
  <pageMargins left="0.75" right="0.75" top="1" bottom="1" header="0" footer="0"/>
  <pageSetup paperSize="9" orientation="portrait" horizontalDpi="300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7" workbookViewId="0">
      <selection activeCell="A2" sqref="A2:D13"/>
    </sheetView>
  </sheetViews>
  <sheetFormatPr defaultColWidth="11.42578125" defaultRowHeight="12.75"/>
  <cols>
    <col min="1" max="1" width="22.5703125" customWidth="1"/>
    <col min="2" max="2" width="7.5703125" customWidth="1"/>
    <col min="3" max="3" width="9.5703125" customWidth="1"/>
    <col min="4" max="4" width="14" customWidth="1"/>
    <col min="5" max="6" width="9.5703125" customWidth="1"/>
    <col min="7" max="7" width="10.140625" customWidth="1"/>
    <col min="8" max="13" width="10" customWidth="1"/>
    <col min="14" max="14" width="13.7109375" customWidth="1"/>
  </cols>
  <sheetData>
    <row r="1" spans="1:14">
      <c r="A1" s="259" t="s">
        <v>91</v>
      </c>
      <c r="B1" s="259"/>
    </row>
    <row r="2" spans="1:14" ht="25.5">
      <c r="A2" s="6" t="s">
        <v>89</v>
      </c>
      <c r="B2" s="6" t="s">
        <v>90</v>
      </c>
      <c r="C2" s="6" t="s">
        <v>101</v>
      </c>
      <c r="D2" s="216" t="s">
        <v>293</v>
      </c>
    </row>
    <row r="3" spans="1:14">
      <c r="A3" s="30" t="s">
        <v>93</v>
      </c>
      <c r="B3" s="22">
        <v>2500</v>
      </c>
      <c r="C3" s="2">
        <v>1000</v>
      </c>
      <c r="D3" s="30">
        <f>B3*5%</f>
        <v>125</v>
      </c>
    </row>
    <row r="4" spans="1:14">
      <c r="A4" s="30" t="s">
        <v>92</v>
      </c>
      <c r="B4" s="22">
        <v>2800</v>
      </c>
      <c r="C4" s="2">
        <v>2000</v>
      </c>
      <c r="D4" s="30">
        <f>B4*5%</f>
        <v>140</v>
      </c>
    </row>
    <row r="5" spans="1:14" ht="25.5">
      <c r="A5" s="30" t="s">
        <v>94</v>
      </c>
      <c r="B5" s="22">
        <v>7000</v>
      </c>
      <c r="C5" s="2">
        <v>5500</v>
      </c>
      <c r="D5" s="30">
        <f>B5*5%</f>
        <v>350</v>
      </c>
    </row>
    <row r="6" spans="1:14" ht="38.25">
      <c r="A6" s="30" t="s">
        <v>95</v>
      </c>
      <c r="B6" s="22">
        <v>2500</v>
      </c>
      <c r="C6" s="2">
        <v>1000</v>
      </c>
      <c r="D6" s="30">
        <f>B6*3.5%</f>
        <v>87.500000000000014</v>
      </c>
    </row>
    <row r="7" spans="1:14">
      <c r="A7" s="30" t="s">
        <v>96</v>
      </c>
      <c r="B7" s="22">
        <v>300</v>
      </c>
      <c r="C7" s="2">
        <v>50</v>
      </c>
      <c r="D7" s="30">
        <f t="shared" ref="D7:D13" si="0">B7*3.5%</f>
        <v>10.500000000000002</v>
      </c>
    </row>
    <row r="8" spans="1:14">
      <c r="A8" s="30" t="s">
        <v>97</v>
      </c>
      <c r="B8" s="22">
        <v>3000</v>
      </c>
      <c r="C8" s="2">
        <v>2500</v>
      </c>
      <c r="D8" s="30">
        <f t="shared" si="0"/>
        <v>105.00000000000001</v>
      </c>
    </row>
    <row r="9" spans="1:14">
      <c r="A9" s="30" t="s">
        <v>98</v>
      </c>
      <c r="B9" s="22">
        <v>3500</v>
      </c>
      <c r="C9" s="2">
        <v>3000</v>
      </c>
      <c r="D9" s="30">
        <f t="shared" si="0"/>
        <v>122.50000000000001</v>
      </c>
    </row>
    <row r="10" spans="1:14">
      <c r="A10" s="30" t="s">
        <v>28</v>
      </c>
      <c r="B10" s="22">
        <v>2500</v>
      </c>
      <c r="C10" s="2">
        <v>2000</v>
      </c>
      <c r="D10" s="30">
        <f t="shared" si="0"/>
        <v>87.500000000000014</v>
      </c>
    </row>
    <row r="11" spans="1:14" ht="25.5">
      <c r="A11" s="30" t="s">
        <v>99</v>
      </c>
      <c r="B11" s="22">
        <v>7800</v>
      </c>
      <c r="C11" s="2">
        <v>7300</v>
      </c>
      <c r="D11" s="30">
        <f t="shared" si="0"/>
        <v>273</v>
      </c>
    </row>
    <row r="12" spans="1:14">
      <c r="A12" s="30" t="s">
        <v>100</v>
      </c>
      <c r="B12" s="22">
        <v>200</v>
      </c>
      <c r="C12" s="2">
        <v>80</v>
      </c>
      <c r="D12" s="30">
        <f t="shared" si="0"/>
        <v>7.0000000000000009</v>
      </c>
    </row>
    <row r="13" spans="1:14">
      <c r="A13" s="2"/>
      <c r="B13" s="45">
        <f>SUM(B3:B12)</f>
        <v>32100</v>
      </c>
      <c r="C13" s="45">
        <v>24430</v>
      </c>
      <c r="D13" s="215">
        <f t="shared" si="0"/>
        <v>1123.5</v>
      </c>
    </row>
    <row r="14" spans="1:14" ht="18">
      <c r="A14" s="13"/>
      <c r="B14" s="13"/>
      <c r="C14" s="13"/>
      <c r="D14" s="138" t="s">
        <v>271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9"/>
      <c r="E15" s="139"/>
      <c r="F15" s="140"/>
      <c r="G15" s="139"/>
      <c r="H15" s="139"/>
      <c r="I15" s="139"/>
      <c r="J15" s="139"/>
      <c r="K15" s="139"/>
      <c r="L15" s="139"/>
      <c r="M15" s="139"/>
      <c r="N15" s="139"/>
    </row>
    <row r="16" spans="1:14">
      <c r="A16" s="178" t="s">
        <v>272</v>
      </c>
      <c r="B16" s="184" t="s">
        <v>77</v>
      </c>
      <c r="C16" s="184" t="s">
        <v>78</v>
      </c>
      <c r="D16" s="184" t="s">
        <v>79</v>
      </c>
      <c r="E16" s="184" t="s">
        <v>80</v>
      </c>
      <c r="F16" s="184" t="s">
        <v>81</v>
      </c>
      <c r="G16" s="184" t="s">
        <v>82</v>
      </c>
      <c r="H16" s="184" t="s">
        <v>83</v>
      </c>
      <c r="I16" s="184" t="s">
        <v>84</v>
      </c>
      <c r="J16" s="184" t="s">
        <v>113</v>
      </c>
      <c r="K16" s="184" t="s">
        <v>85</v>
      </c>
      <c r="L16" s="184" t="s">
        <v>115</v>
      </c>
      <c r="M16" s="184" t="s">
        <v>116</v>
      </c>
      <c r="N16" s="185" t="s">
        <v>86</v>
      </c>
    </row>
    <row r="17" spans="1:14">
      <c r="A17" s="179" t="s">
        <v>273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7"/>
    </row>
    <row r="18" spans="1:14">
      <c r="A18" s="163" t="s">
        <v>274</v>
      </c>
      <c r="B18" s="202">
        <f>B13</f>
        <v>32100</v>
      </c>
      <c r="C18" s="202">
        <f t="shared" ref="C18:K18" si="1">B18</f>
        <v>32100</v>
      </c>
      <c r="D18" s="202">
        <f t="shared" si="1"/>
        <v>32100</v>
      </c>
      <c r="E18" s="202">
        <f t="shared" si="1"/>
        <v>32100</v>
      </c>
      <c r="F18" s="202">
        <f t="shared" si="1"/>
        <v>32100</v>
      </c>
      <c r="G18" s="202">
        <f t="shared" si="1"/>
        <v>32100</v>
      </c>
      <c r="H18" s="202">
        <f t="shared" si="1"/>
        <v>32100</v>
      </c>
      <c r="I18" s="202">
        <f t="shared" si="1"/>
        <v>32100</v>
      </c>
      <c r="J18" s="202">
        <f t="shared" si="1"/>
        <v>32100</v>
      </c>
      <c r="K18" s="202">
        <f t="shared" si="1"/>
        <v>32100</v>
      </c>
      <c r="L18" s="202">
        <f>D18</f>
        <v>32100</v>
      </c>
      <c r="M18" s="202">
        <f>E18</f>
        <v>32100</v>
      </c>
      <c r="N18" s="189"/>
    </row>
    <row r="19" spans="1:14">
      <c r="A19" s="201" t="s">
        <v>134</v>
      </c>
      <c r="B19" s="204">
        <v>0</v>
      </c>
      <c r="C19" s="204">
        <v>2</v>
      </c>
      <c r="D19" s="204">
        <v>3</v>
      </c>
      <c r="E19" s="204">
        <v>3</v>
      </c>
      <c r="F19" s="204">
        <v>4</v>
      </c>
      <c r="G19" s="204">
        <v>7</v>
      </c>
      <c r="H19" s="204">
        <v>7</v>
      </c>
      <c r="I19" s="204">
        <v>6</v>
      </c>
      <c r="J19" s="204">
        <v>7</v>
      </c>
      <c r="K19" s="204">
        <v>7</v>
      </c>
      <c r="L19" s="204">
        <v>7</v>
      </c>
      <c r="M19" s="204">
        <v>5</v>
      </c>
      <c r="N19" s="189"/>
    </row>
    <row r="20" spans="1:14" ht="26.25" thickBot="1">
      <c r="A20" s="180" t="s">
        <v>275</v>
      </c>
      <c r="B20" s="203">
        <f t="shared" ref="B20:M20" si="2">B18*B19</f>
        <v>0</v>
      </c>
      <c r="C20" s="203">
        <f t="shared" si="2"/>
        <v>64200</v>
      </c>
      <c r="D20" s="203">
        <f t="shared" si="2"/>
        <v>96300</v>
      </c>
      <c r="E20" s="203">
        <f t="shared" si="2"/>
        <v>96300</v>
      </c>
      <c r="F20" s="203">
        <f t="shared" si="2"/>
        <v>128400</v>
      </c>
      <c r="G20" s="203">
        <f t="shared" si="2"/>
        <v>224700</v>
      </c>
      <c r="H20" s="203">
        <f t="shared" si="2"/>
        <v>224700</v>
      </c>
      <c r="I20" s="203">
        <f t="shared" si="2"/>
        <v>192600</v>
      </c>
      <c r="J20" s="203">
        <f t="shared" si="2"/>
        <v>224700</v>
      </c>
      <c r="K20" s="203">
        <f t="shared" si="2"/>
        <v>224700</v>
      </c>
      <c r="L20" s="203">
        <f t="shared" si="2"/>
        <v>224700</v>
      </c>
      <c r="M20" s="210">
        <f t="shared" si="2"/>
        <v>160500</v>
      </c>
      <c r="N20" s="208">
        <f>SUM(B20:M20)</f>
        <v>1861800</v>
      </c>
    </row>
    <row r="21" spans="1:14" ht="13.5" thickTop="1">
      <c r="A21" s="180" t="s">
        <v>87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206"/>
      <c r="M21" s="212"/>
      <c r="N21" s="189"/>
    </row>
    <row r="22" spans="1:14" ht="23.25" customHeight="1">
      <c r="A22" s="177" t="s">
        <v>276</v>
      </c>
      <c r="B22" s="191"/>
      <c r="C22" s="191">
        <f t="shared" ref="C22:M22" si="3">$C$13*C19</f>
        <v>48860</v>
      </c>
      <c r="D22" s="191">
        <f t="shared" si="3"/>
        <v>73290</v>
      </c>
      <c r="E22" s="191">
        <f t="shared" si="3"/>
        <v>73290</v>
      </c>
      <c r="F22" s="191">
        <f t="shared" si="3"/>
        <v>97720</v>
      </c>
      <c r="G22" s="191">
        <f t="shared" si="3"/>
        <v>171010</v>
      </c>
      <c r="H22" s="191">
        <f t="shared" si="3"/>
        <v>171010</v>
      </c>
      <c r="I22" s="191">
        <f t="shared" si="3"/>
        <v>146580</v>
      </c>
      <c r="J22" s="191">
        <f t="shared" si="3"/>
        <v>171010</v>
      </c>
      <c r="K22" s="191">
        <f t="shared" si="3"/>
        <v>171010</v>
      </c>
      <c r="L22" s="205">
        <f t="shared" si="3"/>
        <v>171010</v>
      </c>
      <c r="M22" s="213">
        <f t="shared" si="3"/>
        <v>122150</v>
      </c>
      <c r="N22" s="192"/>
    </row>
    <row r="23" spans="1:14" ht="23.25" customHeight="1">
      <c r="A23" s="177" t="s">
        <v>284</v>
      </c>
      <c r="B23" s="191"/>
      <c r="C23" s="191">
        <f t="shared" ref="C23:M23" si="4">$D$13*C19</f>
        <v>2247</v>
      </c>
      <c r="D23" s="191">
        <f t="shared" si="4"/>
        <v>3370.5</v>
      </c>
      <c r="E23" s="191">
        <f t="shared" si="4"/>
        <v>3370.5</v>
      </c>
      <c r="F23" s="191">
        <f t="shared" si="4"/>
        <v>4494</v>
      </c>
      <c r="G23" s="191">
        <f t="shared" si="4"/>
        <v>7864.5</v>
      </c>
      <c r="H23" s="191">
        <f t="shared" si="4"/>
        <v>7864.5</v>
      </c>
      <c r="I23" s="191">
        <f t="shared" si="4"/>
        <v>6741</v>
      </c>
      <c r="J23" s="191">
        <f t="shared" si="4"/>
        <v>7864.5</v>
      </c>
      <c r="K23" s="191">
        <f t="shared" si="4"/>
        <v>7864.5</v>
      </c>
      <c r="L23" s="205">
        <f t="shared" si="4"/>
        <v>7864.5</v>
      </c>
      <c r="M23" s="213">
        <f t="shared" si="4"/>
        <v>5617.5</v>
      </c>
      <c r="N23" s="192"/>
    </row>
    <row r="24" spans="1:14" ht="27.75" customHeight="1">
      <c r="A24" s="177" t="s">
        <v>277</v>
      </c>
      <c r="B24" s="188">
        <v>27404</v>
      </c>
      <c r="C24" s="188">
        <v>11159</v>
      </c>
      <c r="D24" s="188">
        <v>11159</v>
      </c>
      <c r="E24" s="188">
        <v>11159</v>
      </c>
      <c r="F24" s="188">
        <v>11159</v>
      </c>
      <c r="G24" s="188">
        <v>11159</v>
      </c>
      <c r="H24" s="188">
        <v>11159</v>
      </c>
      <c r="I24" s="188">
        <v>11159</v>
      </c>
      <c r="J24" s="188">
        <v>11159</v>
      </c>
      <c r="K24" s="188">
        <v>11159</v>
      </c>
      <c r="L24" s="207">
        <v>11159</v>
      </c>
      <c r="M24" s="214">
        <v>11159</v>
      </c>
      <c r="N24" s="193"/>
    </row>
    <row r="25" spans="1:14" ht="25.5">
      <c r="A25" s="162" t="s">
        <v>278</v>
      </c>
      <c r="B25" s="188">
        <v>7400</v>
      </c>
      <c r="C25" s="188">
        <v>7400</v>
      </c>
      <c r="D25" s="188">
        <v>7400</v>
      </c>
      <c r="E25" s="188">
        <v>7400</v>
      </c>
      <c r="F25" s="188">
        <v>7400</v>
      </c>
      <c r="G25" s="188">
        <v>7400</v>
      </c>
      <c r="H25" s="188">
        <v>7400</v>
      </c>
      <c r="I25" s="188">
        <v>7400</v>
      </c>
      <c r="J25" s="188">
        <v>7400</v>
      </c>
      <c r="K25" s="188">
        <v>7400</v>
      </c>
      <c r="L25" s="207">
        <v>7400</v>
      </c>
      <c r="M25" s="214">
        <v>7400</v>
      </c>
      <c r="N25" s="194"/>
    </row>
    <row r="26" spans="1:14" ht="25.5">
      <c r="A26" s="162" t="s">
        <v>279</v>
      </c>
      <c r="B26" s="188">
        <v>1220</v>
      </c>
      <c r="C26" s="188">
        <v>1220</v>
      </c>
      <c r="D26" s="188">
        <v>1220</v>
      </c>
      <c r="E26" s="188">
        <v>1220</v>
      </c>
      <c r="F26" s="188">
        <v>1220</v>
      </c>
      <c r="G26" s="188">
        <v>1220</v>
      </c>
      <c r="H26" s="188">
        <v>1220</v>
      </c>
      <c r="I26" s="188">
        <v>1220</v>
      </c>
      <c r="J26" s="188">
        <v>1220</v>
      </c>
      <c r="K26" s="188">
        <v>1220</v>
      </c>
      <c r="L26" s="207">
        <v>1220</v>
      </c>
      <c r="M26" s="214">
        <v>1220</v>
      </c>
      <c r="N26" s="194"/>
    </row>
    <row r="27" spans="1:14" ht="25.5">
      <c r="A27" s="162" t="s">
        <v>280</v>
      </c>
      <c r="B27" s="188">
        <v>609</v>
      </c>
      <c r="C27" s="188">
        <v>609</v>
      </c>
      <c r="D27" s="188">
        <v>609</v>
      </c>
      <c r="E27" s="188">
        <v>609</v>
      </c>
      <c r="F27" s="188">
        <v>609</v>
      </c>
      <c r="G27" s="188">
        <v>609</v>
      </c>
      <c r="H27" s="188">
        <v>609</v>
      </c>
      <c r="I27" s="188">
        <v>609</v>
      </c>
      <c r="J27" s="188">
        <v>609</v>
      </c>
      <c r="K27" s="188">
        <v>609</v>
      </c>
      <c r="L27" s="207">
        <v>609</v>
      </c>
      <c r="M27" s="214">
        <v>609</v>
      </c>
      <c r="N27" s="194"/>
    </row>
    <row r="28" spans="1:14" ht="25.5" customHeight="1" thickBot="1">
      <c r="A28" s="181" t="s">
        <v>281</v>
      </c>
      <c r="B28" s="188">
        <v>1518</v>
      </c>
      <c r="C28" s="188">
        <v>1518</v>
      </c>
      <c r="D28" s="188">
        <v>1518</v>
      </c>
      <c r="E28" s="188">
        <v>1518</v>
      </c>
      <c r="F28" s="188">
        <v>1518</v>
      </c>
      <c r="G28" s="188">
        <v>1518</v>
      </c>
      <c r="H28" s="188">
        <v>1518</v>
      </c>
      <c r="I28" s="188">
        <v>1518</v>
      </c>
      <c r="J28" s="188">
        <v>1518</v>
      </c>
      <c r="K28" s="188">
        <v>1518</v>
      </c>
      <c r="L28" s="188">
        <v>1518</v>
      </c>
      <c r="M28" s="188">
        <v>1518</v>
      </c>
      <c r="N28" s="194"/>
    </row>
    <row r="29" spans="1:14" ht="18" customHeight="1" thickTop="1" thickBot="1">
      <c r="A29" s="182" t="s">
        <v>282</v>
      </c>
      <c r="B29" s="196">
        <f t="shared" ref="B29:M29" si="5">SUM(B22:B28)</f>
        <v>38151</v>
      </c>
      <c r="C29" s="196">
        <f t="shared" si="5"/>
        <v>73013</v>
      </c>
      <c r="D29" s="196">
        <f t="shared" si="5"/>
        <v>98566.5</v>
      </c>
      <c r="E29" s="196">
        <f t="shared" si="5"/>
        <v>98566.5</v>
      </c>
      <c r="F29" s="196">
        <f t="shared" si="5"/>
        <v>124120</v>
      </c>
      <c r="G29" s="196">
        <f t="shared" si="5"/>
        <v>200780.5</v>
      </c>
      <c r="H29" s="196">
        <f t="shared" si="5"/>
        <v>200780.5</v>
      </c>
      <c r="I29" s="196">
        <f t="shared" si="5"/>
        <v>175227</v>
      </c>
      <c r="J29" s="196">
        <f t="shared" si="5"/>
        <v>200780.5</v>
      </c>
      <c r="K29" s="196">
        <f t="shared" si="5"/>
        <v>200780.5</v>
      </c>
      <c r="L29" s="196">
        <f t="shared" si="5"/>
        <v>200780.5</v>
      </c>
      <c r="M29" s="211">
        <f t="shared" si="5"/>
        <v>149673.5</v>
      </c>
      <c r="N29" s="209">
        <f>SUM(B29:M29)</f>
        <v>1761220</v>
      </c>
    </row>
    <row r="30" spans="1:14" ht="18.75" customHeight="1" thickTop="1">
      <c r="A30" s="183" t="s">
        <v>283</v>
      </c>
      <c r="B30" s="198">
        <f t="shared" ref="B30:M30" si="6">B20-B29</f>
        <v>-38151</v>
      </c>
      <c r="C30" s="198">
        <f t="shared" si="6"/>
        <v>-8813</v>
      </c>
      <c r="D30" s="198">
        <f t="shared" si="6"/>
        <v>-2266.5</v>
      </c>
      <c r="E30" s="197">
        <f t="shared" si="6"/>
        <v>-2266.5</v>
      </c>
      <c r="F30" s="197">
        <f t="shared" si="6"/>
        <v>4280</v>
      </c>
      <c r="G30" s="197">
        <f t="shared" si="6"/>
        <v>23919.5</v>
      </c>
      <c r="H30" s="197">
        <f t="shared" si="6"/>
        <v>23919.5</v>
      </c>
      <c r="I30" s="197">
        <f t="shared" si="6"/>
        <v>17373</v>
      </c>
      <c r="J30" s="197">
        <f t="shared" si="6"/>
        <v>23919.5</v>
      </c>
      <c r="K30" s="197">
        <f t="shared" si="6"/>
        <v>23919.5</v>
      </c>
      <c r="L30" s="197">
        <f t="shared" si="6"/>
        <v>23919.5</v>
      </c>
      <c r="M30" s="197">
        <f t="shared" si="6"/>
        <v>10826.5</v>
      </c>
      <c r="N30" s="195"/>
    </row>
    <row r="31" spans="1:14" ht="23.25" customHeight="1">
      <c r="A31" s="183" t="s">
        <v>88</v>
      </c>
      <c r="B31" s="198">
        <f>B30</f>
        <v>-38151</v>
      </c>
      <c r="C31" s="198">
        <f>B30+C30</f>
        <v>-46964</v>
      </c>
      <c r="D31" s="198">
        <f t="shared" ref="D31:M31" si="7">C31+D30</f>
        <v>-49230.5</v>
      </c>
      <c r="E31" s="199">
        <f t="shared" si="7"/>
        <v>-51497</v>
      </c>
      <c r="F31" s="198">
        <f t="shared" si="7"/>
        <v>-47217</v>
      </c>
      <c r="G31" s="200">
        <f t="shared" si="7"/>
        <v>-23297.5</v>
      </c>
      <c r="H31" s="197">
        <f t="shared" si="7"/>
        <v>622</v>
      </c>
      <c r="I31" s="197">
        <f t="shared" si="7"/>
        <v>17995</v>
      </c>
      <c r="J31" s="197">
        <f t="shared" si="7"/>
        <v>41914.5</v>
      </c>
      <c r="K31" s="197">
        <f t="shared" si="7"/>
        <v>65834</v>
      </c>
      <c r="L31" s="197">
        <f t="shared" si="7"/>
        <v>89753.5</v>
      </c>
      <c r="M31" s="197">
        <f t="shared" si="7"/>
        <v>100580</v>
      </c>
      <c r="N31" s="195"/>
    </row>
  </sheetData>
  <mergeCells count="1">
    <mergeCell ref="A1:B1"/>
  </mergeCells>
  <phoneticPr fontId="3" type="noConversion"/>
  <pageMargins left="0.75" right="0.75" top="1" bottom="1" header="0" footer="0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8"/>
  <sheetViews>
    <sheetView workbookViewId="0">
      <selection activeCell="C13" sqref="C13:D19"/>
    </sheetView>
  </sheetViews>
  <sheetFormatPr defaultColWidth="11.42578125" defaultRowHeight="12.75"/>
  <cols>
    <col min="1" max="1" width="21.140625" customWidth="1"/>
    <col min="2" max="2" width="28.140625" customWidth="1"/>
    <col min="3" max="3" width="27.42578125" customWidth="1"/>
    <col min="4" max="4" width="8.85546875" customWidth="1"/>
    <col min="5" max="5" width="9.85546875" customWidth="1"/>
    <col min="6" max="6" width="9.7109375" customWidth="1"/>
    <col min="7" max="7" width="9.5703125" customWidth="1"/>
    <col min="8" max="8" width="10" customWidth="1"/>
    <col min="9" max="9" width="9.140625" customWidth="1"/>
    <col min="10" max="10" width="2.42578125" customWidth="1"/>
    <col min="11" max="11" width="9.7109375" customWidth="1"/>
    <col min="12" max="12" width="9.85546875" customWidth="1"/>
    <col min="13" max="13" width="9.7109375" customWidth="1"/>
  </cols>
  <sheetData>
    <row r="2" spans="1:19" ht="13.5" customHeight="1">
      <c r="A2" s="264" t="s">
        <v>203</v>
      </c>
      <c r="B2" s="265"/>
      <c r="C2" s="266"/>
      <c r="D2" s="92"/>
      <c r="E2" s="261" t="s">
        <v>204</v>
      </c>
      <c r="F2" s="262"/>
      <c r="G2" s="262"/>
      <c r="H2" s="262"/>
      <c r="I2" s="262"/>
      <c r="J2" s="262"/>
      <c r="K2" s="262"/>
      <c r="L2" s="262"/>
      <c r="M2" s="263"/>
      <c r="N2" s="122"/>
      <c r="O2" s="122"/>
      <c r="P2" s="76"/>
      <c r="Q2" s="76"/>
      <c r="R2" s="76"/>
      <c r="S2" s="76"/>
    </row>
    <row r="3" spans="1:19">
      <c r="A3" s="115" t="s">
        <v>205</v>
      </c>
      <c r="B3" s="116"/>
      <c r="C3" s="112"/>
      <c r="E3" s="111" t="s">
        <v>206</v>
      </c>
      <c r="F3" s="121">
        <v>40059</v>
      </c>
      <c r="G3" s="121">
        <v>40056</v>
      </c>
      <c r="H3" s="121">
        <v>39994</v>
      </c>
      <c r="I3" s="269">
        <v>39903</v>
      </c>
      <c r="J3" s="269"/>
      <c r="K3" s="121">
        <v>39813</v>
      </c>
      <c r="L3" s="121">
        <v>39721</v>
      </c>
      <c r="M3" s="127">
        <v>39629</v>
      </c>
      <c r="N3" s="123" t="s">
        <v>207</v>
      </c>
      <c r="O3" s="124"/>
      <c r="P3" s="76"/>
      <c r="Q3" s="76"/>
      <c r="R3" s="76"/>
      <c r="S3" s="76"/>
    </row>
    <row r="4" spans="1:19">
      <c r="A4" s="113" t="s">
        <v>208</v>
      </c>
      <c r="B4" s="114"/>
      <c r="C4" s="137">
        <f>D19</f>
        <v>0.5159999999999999</v>
      </c>
      <c r="E4" s="95" t="s">
        <v>209</v>
      </c>
      <c r="F4" s="95" t="s">
        <v>210</v>
      </c>
      <c r="G4" s="95" t="s">
        <v>210</v>
      </c>
      <c r="H4" s="95" t="s">
        <v>210</v>
      </c>
      <c r="I4" s="270" t="s">
        <v>210</v>
      </c>
      <c r="J4" s="270"/>
      <c r="K4" s="95" t="s">
        <v>210</v>
      </c>
      <c r="L4" s="95" t="s">
        <v>210</v>
      </c>
      <c r="M4" s="128" t="s">
        <v>210</v>
      </c>
      <c r="N4" s="125" t="s">
        <v>207</v>
      </c>
      <c r="O4" s="76"/>
      <c r="P4" s="76"/>
      <c r="Q4" s="76"/>
      <c r="R4" s="76"/>
      <c r="S4" s="76"/>
    </row>
    <row r="5" spans="1:19">
      <c r="A5" s="93" t="s">
        <v>211</v>
      </c>
      <c r="B5" s="94"/>
      <c r="C5" s="96"/>
      <c r="E5" s="95" t="s">
        <v>212</v>
      </c>
      <c r="F5" s="97" t="s">
        <v>213</v>
      </c>
      <c r="G5" s="97" t="s">
        <v>213</v>
      </c>
      <c r="H5" s="97" t="s">
        <v>213</v>
      </c>
      <c r="I5" s="260" t="s">
        <v>213</v>
      </c>
      <c r="J5" s="260"/>
      <c r="K5" s="97" t="s">
        <v>213</v>
      </c>
      <c r="L5" s="97" t="s">
        <v>213</v>
      </c>
      <c r="M5" s="129" t="s">
        <v>213</v>
      </c>
      <c r="N5" s="126" t="s">
        <v>207</v>
      </c>
      <c r="O5" s="76"/>
      <c r="P5" s="76"/>
      <c r="Q5" s="76"/>
      <c r="R5" s="76"/>
      <c r="S5" s="76"/>
    </row>
    <row r="6" spans="1:19">
      <c r="A6" s="93" t="s">
        <v>214</v>
      </c>
      <c r="B6" s="94"/>
      <c r="C6" s="98">
        <v>8.5000000000000006E-2</v>
      </c>
      <c r="E6" s="95" t="s">
        <v>215</v>
      </c>
      <c r="F6" s="97" t="s">
        <v>216</v>
      </c>
      <c r="G6" s="97" t="s">
        <v>216</v>
      </c>
      <c r="H6" s="97" t="s">
        <v>216</v>
      </c>
      <c r="I6" s="260" t="s">
        <v>216</v>
      </c>
      <c r="J6" s="260"/>
      <c r="K6" s="97" t="s">
        <v>216</v>
      </c>
      <c r="L6" s="97" t="s">
        <v>216</v>
      </c>
      <c r="M6" s="129" t="s">
        <v>216</v>
      </c>
      <c r="N6" s="126" t="s">
        <v>207</v>
      </c>
      <c r="O6" s="76"/>
      <c r="P6" s="76"/>
      <c r="Q6" s="76"/>
      <c r="R6" s="76"/>
      <c r="S6" s="76"/>
    </row>
    <row r="7" spans="1:19">
      <c r="A7" s="93" t="s">
        <v>217</v>
      </c>
      <c r="B7" s="94"/>
      <c r="C7" s="161">
        <v>2.3E-2</v>
      </c>
      <c r="D7" s="102"/>
      <c r="E7" s="132" t="s">
        <v>218</v>
      </c>
      <c r="F7" s="133" t="s">
        <v>219</v>
      </c>
      <c r="G7" s="134" t="s">
        <v>220</v>
      </c>
      <c r="H7" s="134" t="s">
        <v>221</v>
      </c>
      <c r="I7" s="273" t="s">
        <v>222</v>
      </c>
      <c r="J7" s="273"/>
      <c r="K7" s="134" t="s">
        <v>223</v>
      </c>
      <c r="L7" s="134" t="s">
        <v>224</v>
      </c>
      <c r="M7" s="135" t="s">
        <v>225</v>
      </c>
      <c r="N7" s="126" t="s">
        <v>207</v>
      </c>
      <c r="O7" s="76"/>
      <c r="P7" s="76"/>
      <c r="Q7" s="76"/>
      <c r="R7" s="76"/>
      <c r="S7" s="76"/>
    </row>
    <row r="8" spans="1:19" ht="15">
      <c r="A8" s="99" t="s">
        <v>226</v>
      </c>
      <c r="B8" s="94"/>
      <c r="C8" s="136">
        <f>C7+(C4*C6)</f>
        <v>6.6860000000000003E-2</v>
      </c>
      <c r="E8" s="95" t="s">
        <v>227</v>
      </c>
      <c r="F8" s="100" t="s">
        <v>228</v>
      </c>
      <c r="G8" s="97" t="s">
        <v>229</v>
      </c>
      <c r="H8" s="97" t="s">
        <v>230</v>
      </c>
      <c r="I8" s="260" t="s">
        <v>231</v>
      </c>
      <c r="J8" s="260"/>
      <c r="K8" s="97" t="s">
        <v>232</v>
      </c>
      <c r="L8" s="97" t="s">
        <v>233</v>
      </c>
      <c r="M8" s="129" t="s">
        <v>234</v>
      </c>
      <c r="N8" s="126" t="s">
        <v>207</v>
      </c>
      <c r="O8" s="76"/>
      <c r="P8" s="76"/>
      <c r="Q8" s="76"/>
      <c r="R8" s="76"/>
      <c r="S8" s="76"/>
    </row>
    <row r="9" spans="1:19" ht="15">
      <c r="A9" s="93" t="s">
        <v>235</v>
      </c>
      <c r="B9" s="94"/>
      <c r="C9" s="101">
        <v>0.10059999999999999</v>
      </c>
      <c r="E9" s="95" t="s">
        <v>236</v>
      </c>
      <c r="F9" s="100" t="s">
        <v>237</v>
      </c>
      <c r="G9" s="97" t="s">
        <v>238</v>
      </c>
      <c r="H9" s="97" t="s">
        <v>239</v>
      </c>
      <c r="I9" s="260" t="s">
        <v>240</v>
      </c>
      <c r="J9" s="260"/>
      <c r="K9" s="97" t="s">
        <v>241</v>
      </c>
      <c r="L9" s="97" t="s">
        <v>242</v>
      </c>
      <c r="M9" s="129" t="s">
        <v>243</v>
      </c>
      <c r="N9" s="126" t="s">
        <v>207</v>
      </c>
      <c r="O9" s="76"/>
      <c r="P9" s="76"/>
      <c r="Q9" s="76"/>
      <c r="R9" s="76"/>
      <c r="S9" s="76"/>
    </row>
    <row r="10" spans="1:19">
      <c r="A10" s="110" t="s">
        <v>244</v>
      </c>
      <c r="B10" s="120"/>
      <c r="C10" s="131">
        <f>C8+C9</f>
        <v>0.16746</v>
      </c>
      <c r="F10" s="102"/>
    </row>
    <row r="13" spans="1:19">
      <c r="C13" s="117" t="s">
        <v>245</v>
      </c>
      <c r="D13" s="117" t="s">
        <v>246</v>
      </c>
    </row>
    <row r="14" spans="1:19">
      <c r="C14" s="94" t="s">
        <v>266</v>
      </c>
      <c r="D14" s="96">
        <v>-0.62</v>
      </c>
    </row>
    <row r="15" spans="1:19">
      <c r="C15" s="94" t="s">
        <v>267</v>
      </c>
      <c r="D15" s="96">
        <v>-0.04</v>
      </c>
    </row>
    <row r="16" spans="1:19">
      <c r="C16" s="94" t="s">
        <v>268</v>
      </c>
      <c r="D16" s="96">
        <v>1.38</v>
      </c>
    </row>
    <row r="17" spans="1:4">
      <c r="C17" s="94" t="s">
        <v>269</v>
      </c>
      <c r="D17" s="96">
        <v>1.46</v>
      </c>
    </row>
    <row r="18" spans="1:4">
      <c r="C18" s="94" t="s">
        <v>270</v>
      </c>
      <c r="D18" s="96">
        <v>0.4</v>
      </c>
    </row>
    <row r="19" spans="1:4">
      <c r="C19" s="118" t="s">
        <v>247</v>
      </c>
      <c r="D19" s="119">
        <f>(D14+D15+D16+D17+D18)/5</f>
        <v>0.5159999999999999</v>
      </c>
    </row>
    <row r="22" spans="1:4">
      <c r="A22" s="267" t="s">
        <v>248</v>
      </c>
      <c r="B22" s="268"/>
    </row>
    <row r="23" spans="1:4">
      <c r="A23" s="271" t="s">
        <v>249</v>
      </c>
      <c r="B23" s="272"/>
    </row>
    <row r="24" spans="1:4">
      <c r="A24" s="94" t="s">
        <v>250</v>
      </c>
      <c r="B24" s="98">
        <v>0.12</v>
      </c>
      <c r="C24" s="102"/>
    </row>
    <row r="25" spans="1:4">
      <c r="A25" s="94" t="s">
        <v>251</v>
      </c>
      <c r="B25" s="98">
        <v>0.7</v>
      </c>
    </row>
    <row r="26" spans="1:4">
      <c r="A26" s="94" t="s">
        <v>252</v>
      </c>
      <c r="B26" s="98">
        <f>C8</f>
        <v>6.6860000000000003E-2</v>
      </c>
      <c r="C26" s="102"/>
    </row>
    <row r="27" spans="1:4">
      <c r="A27" s="94" t="s">
        <v>253</v>
      </c>
      <c r="B27" s="98">
        <v>0.3</v>
      </c>
    </row>
    <row r="28" spans="1:4">
      <c r="A28" s="130" t="s">
        <v>254</v>
      </c>
      <c r="B28" s="131">
        <f>(B24*B25)+(B26*B27)</f>
        <v>0.10405799999999998</v>
      </c>
    </row>
  </sheetData>
  <mergeCells count="11">
    <mergeCell ref="A23:B23"/>
    <mergeCell ref="I6:J6"/>
    <mergeCell ref="I7:J7"/>
    <mergeCell ref="I8:J8"/>
    <mergeCell ref="I9:J9"/>
    <mergeCell ref="I5:J5"/>
    <mergeCell ref="E2:M2"/>
    <mergeCell ref="A2:C2"/>
    <mergeCell ref="A22:B22"/>
    <mergeCell ref="I3:J3"/>
    <mergeCell ref="I4:J4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5"/>
  <sheetViews>
    <sheetView topLeftCell="A17" workbookViewId="0">
      <selection activeCell="A33" sqref="A33:B35"/>
    </sheetView>
  </sheetViews>
  <sheetFormatPr defaultColWidth="11.42578125" defaultRowHeight="12.75"/>
  <cols>
    <col min="1" max="1" width="14.140625" customWidth="1"/>
    <col min="2" max="2" width="11" customWidth="1"/>
    <col min="3" max="3" width="9.140625" customWidth="1"/>
    <col min="4" max="4" width="9.7109375" customWidth="1"/>
    <col min="5" max="5" width="9.42578125" customWidth="1"/>
    <col min="6" max="6" width="9" customWidth="1"/>
    <col min="7" max="7" width="10" customWidth="1"/>
  </cols>
  <sheetData>
    <row r="3" spans="1:7">
      <c r="A3" s="230" t="s">
        <v>122</v>
      </c>
      <c r="B3" s="230">
        <v>0</v>
      </c>
      <c r="C3" s="230" t="s">
        <v>123</v>
      </c>
      <c r="D3" s="230" t="s">
        <v>124</v>
      </c>
      <c r="E3" s="230" t="s">
        <v>125</v>
      </c>
      <c r="F3" s="230" t="s">
        <v>126</v>
      </c>
      <c r="G3" s="230" t="s">
        <v>127</v>
      </c>
    </row>
    <row r="4" spans="1:7" ht="25.5">
      <c r="A4" s="231" t="s">
        <v>128</v>
      </c>
      <c r="B4" s="232">
        <v>-96908</v>
      </c>
      <c r="C4" s="232"/>
      <c r="D4" s="232"/>
      <c r="E4" s="232"/>
      <c r="F4" s="232"/>
      <c r="G4" s="232"/>
    </row>
    <row r="5" spans="1:7" ht="25.5">
      <c r="A5" s="231" t="s">
        <v>129</v>
      </c>
      <c r="B5" s="232">
        <v>-8300</v>
      </c>
      <c r="C5" s="232"/>
      <c r="D5" s="232"/>
      <c r="E5" s="232"/>
      <c r="F5" s="232"/>
      <c r="G5" s="232"/>
    </row>
    <row r="6" spans="1:7" ht="25.5">
      <c r="A6" s="231" t="s">
        <v>130</v>
      </c>
      <c r="B6" s="233">
        <f ca="1">'cap trab'!E31</f>
        <v>-51497</v>
      </c>
      <c r="C6" s="232"/>
      <c r="D6" s="232"/>
      <c r="E6" s="232"/>
      <c r="F6" s="232"/>
      <c r="G6" s="232"/>
    </row>
    <row r="7" spans="1:7" ht="13.5" thickBot="1">
      <c r="A7" s="231" t="s">
        <v>131</v>
      </c>
      <c r="B7" s="232">
        <f ca="1">gastos!B84</f>
        <v>67835.599999999991</v>
      </c>
      <c r="C7" s="234"/>
      <c r="D7" s="234"/>
      <c r="E7" s="234"/>
      <c r="F7" s="234"/>
      <c r="G7" s="234"/>
    </row>
    <row r="8" spans="1:7" ht="26.25" thickTop="1">
      <c r="A8" s="235" t="s">
        <v>132</v>
      </c>
      <c r="B8" s="236"/>
      <c r="C8" s="237"/>
      <c r="D8" s="237"/>
      <c r="E8" s="237"/>
      <c r="F8" s="237"/>
      <c r="G8" s="237"/>
    </row>
    <row r="9" spans="1:7">
      <c r="A9" s="231" t="s">
        <v>133</v>
      </c>
      <c r="B9" s="236"/>
      <c r="C9" s="237">
        <f ca="1">P</f>
        <v>32100</v>
      </c>
      <c r="D9" s="237">
        <f ca="1">P</f>
        <v>32100</v>
      </c>
      <c r="E9" s="237">
        <f ca="1">P</f>
        <v>32100</v>
      </c>
      <c r="F9" s="237">
        <f ca="1">P</f>
        <v>32100</v>
      </c>
      <c r="G9" s="237">
        <f ca="1">P</f>
        <v>32100</v>
      </c>
    </row>
    <row r="10" spans="1:7">
      <c r="A10" s="231" t="s">
        <v>134</v>
      </c>
      <c r="B10" s="232"/>
      <c r="C10" s="237">
        <f ca="1">Q</f>
        <v>58</v>
      </c>
      <c r="D10" s="237">
        <f ca="1">(C10*0.05)+Q</f>
        <v>60.9</v>
      </c>
      <c r="E10" s="237">
        <f ca="1">(C10*0.05)+(D10*0.05)+Q</f>
        <v>63.945</v>
      </c>
      <c r="F10" s="237">
        <f ca="1">(C10*0.05)+(D10*0.05)+(E10*0.05)+Q</f>
        <v>67.142250000000004</v>
      </c>
      <c r="G10" s="237">
        <v>71</v>
      </c>
    </row>
    <row r="11" spans="1:7" ht="38.25">
      <c r="A11" s="235" t="s">
        <v>135</v>
      </c>
      <c r="B11" s="232"/>
      <c r="C11" s="238">
        <f>C9*C10</f>
        <v>1861800</v>
      </c>
      <c r="D11" s="238">
        <f>D9*D10</f>
        <v>1954890</v>
      </c>
      <c r="E11" s="238">
        <f>E9*E10</f>
        <v>2052634.5</v>
      </c>
      <c r="F11" s="238">
        <f>F9*F10</f>
        <v>2155266.2250000001</v>
      </c>
      <c r="G11" s="238">
        <f>G9*G10</f>
        <v>2279100</v>
      </c>
    </row>
    <row r="12" spans="1:7">
      <c r="A12" s="235" t="s">
        <v>136</v>
      </c>
      <c r="B12" s="232"/>
      <c r="C12" s="238"/>
      <c r="D12" s="238"/>
      <c r="E12" s="238"/>
      <c r="F12" s="238"/>
      <c r="G12" s="238"/>
    </row>
    <row r="13" spans="1:7" ht="38.25">
      <c r="A13" s="231" t="s">
        <v>137</v>
      </c>
      <c r="B13" s="232"/>
      <c r="C13" s="237">
        <f>24430*C10</f>
        <v>1416940</v>
      </c>
      <c r="D13" s="237">
        <f>24430*D10</f>
        <v>1487787</v>
      </c>
      <c r="E13" s="237">
        <f>24430*E10</f>
        <v>1562176.35</v>
      </c>
      <c r="F13" s="237">
        <f>24430*F10</f>
        <v>1640285.1675000002</v>
      </c>
      <c r="G13" s="237">
        <f>24430*G10</f>
        <v>1734530</v>
      </c>
    </row>
    <row r="14" spans="1:7" ht="25.5">
      <c r="A14" s="231" t="s">
        <v>105</v>
      </c>
      <c r="B14" s="232"/>
      <c r="C14" s="237">
        <f>1123.5*C10</f>
        <v>65163</v>
      </c>
      <c r="D14" s="237">
        <f>1128.75*D10</f>
        <v>68740.875</v>
      </c>
      <c r="E14" s="237">
        <f>1128.75*E10</f>
        <v>72177.918749999997</v>
      </c>
      <c r="F14" s="237">
        <f>1128.75*F10</f>
        <v>75786.814687500009</v>
      </c>
      <c r="G14" s="237">
        <f>1128.75*G10</f>
        <v>80141.25</v>
      </c>
    </row>
    <row r="15" spans="1:7" ht="38.25">
      <c r="A15" s="231" t="s">
        <v>138</v>
      </c>
      <c r="B15" s="232"/>
      <c r="C15" s="237">
        <v>149605</v>
      </c>
      <c r="D15" s="237">
        <v>133360</v>
      </c>
      <c r="E15" s="237">
        <v>133360</v>
      </c>
      <c r="F15" s="237">
        <v>133360</v>
      </c>
      <c r="G15" s="237">
        <v>133360</v>
      </c>
    </row>
    <row r="16" spans="1:7" ht="38.25">
      <c r="A16" s="231" t="s">
        <v>139</v>
      </c>
      <c r="B16" s="232"/>
      <c r="C16" s="232">
        <v>130800</v>
      </c>
      <c r="D16" s="232">
        <v>130800</v>
      </c>
      <c r="E16" s="232">
        <v>130800</v>
      </c>
      <c r="F16" s="232">
        <v>130800</v>
      </c>
      <c r="G16" s="232">
        <v>130800</v>
      </c>
    </row>
    <row r="17" spans="1:7" ht="38.25">
      <c r="A17" s="231" t="s">
        <v>140</v>
      </c>
      <c r="B17" s="232"/>
      <c r="C17" s="232">
        <v>14640</v>
      </c>
      <c r="D17" s="232">
        <f>'[1]servicios basi'!C7</f>
        <v>1980</v>
      </c>
      <c r="E17" s="232">
        <f>'[1]servicios basi'!C7</f>
        <v>1980</v>
      </c>
      <c r="F17" s="232">
        <f>'[1]servicios basi'!C7</f>
        <v>1980</v>
      </c>
      <c r="G17" s="232">
        <f>'[1]servicios basi'!C7</f>
        <v>1980</v>
      </c>
    </row>
    <row r="18" spans="1:7" ht="25.5">
      <c r="A18" s="231" t="s">
        <v>141</v>
      </c>
      <c r="B18" s="232"/>
      <c r="C18" s="232">
        <v>7219</v>
      </c>
      <c r="D18" s="232">
        <v>7219</v>
      </c>
      <c r="E18" s="232">
        <v>7219</v>
      </c>
      <c r="F18" s="232">
        <v>7219</v>
      </c>
      <c r="G18" s="232">
        <v>7219</v>
      </c>
    </row>
    <row r="19" spans="1:7" ht="38.25">
      <c r="A19" s="231" t="s">
        <v>142</v>
      </c>
      <c r="B19" s="232"/>
      <c r="C19" s="232">
        <v>8040</v>
      </c>
      <c r="D19" s="232">
        <v>8040</v>
      </c>
      <c r="E19" s="232">
        <v>8040</v>
      </c>
      <c r="F19" s="232">
        <v>8040</v>
      </c>
      <c r="G19" s="232">
        <v>8040</v>
      </c>
    </row>
    <row r="20" spans="1:7" ht="26.25" thickBot="1">
      <c r="A20" s="231" t="s">
        <v>200</v>
      </c>
      <c r="B20" s="232"/>
      <c r="C20" s="239">
        <v>8140.271999999999</v>
      </c>
      <c r="D20" s="239">
        <v>6858.9139665527737</v>
      </c>
      <c r="E20" s="239">
        <v>5423.7929690918818</v>
      </c>
      <c r="F20" s="239">
        <v>3816.4574519356834</v>
      </c>
      <c r="G20" s="239">
        <v>2016.2416727207408</v>
      </c>
    </row>
    <row r="21" spans="1:7" ht="26.25" thickTop="1">
      <c r="A21" s="235" t="s">
        <v>143</v>
      </c>
      <c r="B21" s="232"/>
      <c r="C21" s="240">
        <f>SUM(C13:C20)</f>
        <v>1800547.2720000001</v>
      </c>
      <c r="D21" s="240">
        <f>SUM(D13:D20)</f>
        <v>1844785.7889665528</v>
      </c>
      <c r="E21" s="240">
        <f>SUM(E13:E20)</f>
        <v>1921177.0617190918</v>
      </c>
      <c r="F21" s="240">
        <f>SUM(F13:F20)</f>
        <v>2001287.4396394358</v>
      </c>
      <c r="G21" s="240">
        <f>SUM(G13:G20)</f>
        <v>2098086.4916727208</v>
      </c>
    </row>
    <row r="22" spans="1:7" ht="38.25">
      <c r="A22" s="235" t="s">
        <v>144</v>
      </c>
      <c r="B22" s="236"/>
      <c r="C22" s="232">
        <f>C11-C21</f>
        <v>61252.727999999886</v>
      </c>
      <c r="D22" s="232">
        <f>D11-D21</f>
        <v>110104.21103344718</v>
      </c>
      <c r="E22" s="232">
        <f>E11-E21</f>
        <v>131457.43828090816</v>
      </c>
      <c r="F22" s="232">
        <f>F11-F21</f>
        <v>153978.78536056424</v>
      </c>
      <c r="G22" s="232">
        <f>G11-G21</f>
        <v>181013.50832727924</v>
      </c>
    </row>
    <row r="23" spans="1:7" ht="13.5" thickBot="1">
      <c r="A23" s="231" t="s">
        <v>145</v>
      </c>
      <c r="B23" s="236"/>
      <c r="C23" s="241">
        <f>-C22*0.15</f>
        <v>-9187.9091999999819</v>
      </c>
      <c r="D23" s="241">
        <f>-D22*0.15</f>
        <v>-16515.631655017078</v>
      </c>
      <c r="E23" s="241">
        <f>-E22*0.15</f>
        <v>-19718.615742136222</v>
      </c>
      <c r="F23" s="241">
        <f>-F22*0.15</f>
        <v>-23096.817804084636</v>
      </c>
      <c r="G23" s="241">
        <f>-G22*0.15</f>
        <v>-27152.026249091887</v>
      </c>
    </row>
    <row r="24" spans="1:7" ht="27" thickTop="1" thickBot="1">
      <c r="A24" s="235" t="s">
        <v>146</v>
      </c>
      <c r="B24" s="232"/>
      <c r="C24" s="242">
        <f>C22+C23</f>
        <v>52064.818799999906</v>
      </c>
      <c r="D24" s="242">
        <f>D22+D23</f>
        <v>93588.579378430106</v>
      </c>
      <c r="E24" s="242">
        <f>E22+E23</f>
        <v>111738.82253877193</v>
      </c>
      <c r="F24" s="242">
        <f>F22+F23</f>
        <v>130881.96755647961</v>
      </c>
      <c r="G24" s="242">
        <f>G22+G23</f>
        <v>153861.48207818734</v>
      </c>
    </row>
    <row r="25" spans="1:7" ht="13.5" thickTop="1">
      <c r="A25" s="231" t="s">
        <v>147</v>
      </c>
      <c r="B25" s="236"/>
      <c r="C25" s="243">
        <f>-C24*0.25</f>
        <v>-13016.204699999977</v>
      </c>
      <c r="D25" s="243">
        <f>-D24*0.25</f>
        <v>-23397.144844607526</v>
      </c>
      <c r="E25" s="243">
        <f>-E24*0.25</f>
        <v>-27934.705634692982</v>
      </c>
      <c r="F25" s="243">
        <f>-F24*0.25</f>
        <v>-32720.491889119901</v>
      </c>
      <c r="G25" s="243">
        <f>-G24*0.25</f>
        <v>-38465.370519546836</v>
      </c>
    </row>
    <row r="26" spans="1:7" ht="13.5" thickBot="1">
      <c r="A26" s="235" t="s">
        <v>148</v>
      </c>
      <c r="B26" s="232"/>
      <c r="C26" s="244">
        <f>C24+C25</f>
        <v>39048.614099999933</v>
      </c>
      <c r="D26" s="244">
        <f>D24+D25</f>
        <v>70191.434533822583</v>
      </c>
      <c r="E26" s="244">
        <f>E24+E25</f>
        <v>83804.116904078954</v>
      </c>
      <c r="F26" s="244">
        <f>F24+F25</f>
        <v>98161.4756673597</v>
      </c>
      <c r="G26" s="244">
        <f>G24+G25</f>
        <v>115396.11155864051</v>
      </c>
    </row>
    <row r="27" spans="1:7" ht="26.25" thickTop="1">
      <c r="A27" s="231" t="s">
        <v>149</v>
      </c>
      <c r="B27" s="232"/>
      <c r="C27" s="232">
        <f>C18</f>
        <v>7219</v>
      </c>
      <c r="D27" s="232">
        <f>D18</f>
        <v>7219</v>
      </c>
      <c r="E27" s="232">
        <f>E18</f>
        <v>7219</v>
      </c>
      <c r="F27" s="232">
        <f>F18</f>
        <v>7219</v>
      </c>
      <c r="G27" s="232">
        <f>G18</f>
        <v>7219</v>
      </c>
    </row>
    <row r="28" spans="1:7" ht="38.25">
      <c r="A28" s="231" t="s">
        <v>150</v>
      </c>
      <c r="B28" s="232"/>
      <c r="C28" s="241">
        <v>-10336.40449374813</v>
      </c>
      <c r="D28" s="241">
        <v>-11576.773032997906</v>
      </c>
      <c r="E28" s="241">
        <v>-12965.985796957655</v>
      </c>
      <c r="F28" s="241">
        <v>-14521.904092592573</v>
      </c>
      <c r="G28" s="241">
        <v>-16264.532583703682</v>
      </c>
    </row>
    <row r="29" spans="1:7" ht="24" customHeight="1">
      <c r="A29" s="231" t="s">
        <v>151</v>
      </c>
      <c r="B29" s="232"/>
      <c r="C29" s="232"/>
      <c r="D29" s="232"/>
      <c r="E29" s="232"/>
      <c r="F29" s="232"/>
      <c r="G29" s="232">
        <v>0</v>
      </c>
    </row>
    <row r="30" spans="1:7" ht="26.25" customHeight="1" thickBot="1">
      <c r="A30" s="231" t="s">
        <v>152</v>
      </c>
      <c r="B30" s="234"/>
      <c r="C30" s="234"/>
      <c r="D30" s="234"/>
      <c r="E30" s="234"/>
      <c r="F30" s="234"/>
      <c r="G30" s="234">
        <f>-B6</f>
        <v>51497</v>
      </c>
    </row>
    <row r="31" spans="1:7" ht="26.25" thickTop="1">
      <c r="A31" s="245" t="s">
        <v>153</v>
      </c>
      <c r="B31" s="246">
        <f>B4+B5+B6+B7</f>
        <v>-88869.400000000009</v>
      </c>
      <c r="C31" s="246">
        <f>SUM(C26:C30)</f>
        <v>35931.209606251803</v>
      </c>
      <c r="D31" s="246">
        <f>SUM(D26:D30)</f>
        <v>65833.661500824674</v>
      </c>
      <c r="E31" s="246">
        <f>SUM(E26:E30)</f>
        <v>78057.131107121299</v>
      </c>
      <c r="F31" s="246">
        <f>SUM(F26:F30)</f>
        <v>90858.57157476712</v>
      </c>
      <c r="G31" s="246">
        <f>SUM(G26:G30)</f>
        <v>157847.57897493683</v>
      </c>
    </row>
    <row r="32" spans="1:7">
      <c r="A32" s="13"/>
      <c r="B32" s="51"/>
      <c r="C32" s="52"/>
      <c r="D32" s="51"/>
      <c r="E32" s="51"/>
      <c r="F32" s="51"/>
      <c r="G32" s="51"/>
    </row>
    <row r="33" spans="1:7">
      <c r="A33" s="247" t="s">
        <v>154</v>
      </c>
      <c r="B33" s="58">
        <f>IRR(B31:G31)</f>
        <v>0.64741975035139487</v>
      </c>
      <c r="C33" s="53"/>
      <c r="D33" s="54"/>
      <c r="E33" s="53"/>
      <c r="F33" s="53"/>
      <c r="G33" s="53"/>
    </row>
    <row r="34" spans="1:7">
      <c r="A34" s="247" t="s">
        <v>155</v>
      </c>
      <c r="B34" s="248">
        <f>NPV(B35,C31:G31)+B31</f>
        <v>160929.19574267813</v>
      </c>
      <c r="C34" s="55"/>
      <c r="D34" s="56"/>
      <c r="E34" s="55"/>
      <c r="F34" s="57"/>
      <c r="G34" s="55"/>
    </row>
    <row r="35" spans="1:7">
      <c r="A35" s="247" t="s">
        <v>156</v>
      </c>
      <c r="B35" s="58">
        <f ca="1">TD</f>
        <v>0.16750000000000001</v>
      </c>
      <c r="C35" s="59"/>
      <c r="D35" s="59"/>
      <c r="E35" s="59"/>
      <c r="F35" s="60"/>
      <c r="G35" s="59"/>
    </row>
  </sheetData>
  <phoneticPr fontId="3" type="noConversion"/>
  <pageMargins left="0.75" right="0.75" top="1" bottom="1" header="0" footer="0"/>
  <pageSetup paperSize="9" orientation="portrait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honeticPr fontId="3" type="noConversion"/>
  <pageMargins left="0.75" right="0.75" top="1" bottom="1" header="0" footer="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B3" sqref="B3:B5"/>
    </sheetView>
  </sheetViews>
  <sheetFormatPr defaultColWidth="11.42578125" defaultRowHeight="12.75"/>
  <cols>
    <col min="1" max="1" width="17" customWidth="1"/>
  </cols>
  <sheetData>
    <row r="2" spans="1:3">
      <c r="A2" t="s">
        <v>287</v>
      </c>
    </row>
    <row r="3" spans="1:3">
      <c r="A3" t="s">
        <v>288</v>
      </c>
      <c r="B3" s="165">
        <v>0.16750000000000001</v>
      </c>
      <c r="C3" t="s">
        <v>291</v>
      </c>
    </row>
    <row r="4" spans="1:3">
      <c r="A4" t="s">
        <v>107</v>
      </c>
      <c r="B4" s="164">
        <v>32100</v>
      </c>
      <c r="C4" t="s">
        <v>289</v>
      </c>
    </row>
    <row r="5" spans="1:3">
      <c r="A5" t="s">
        <v>75</v>
      </c>
      <c r="B5" s="164">
        <v>58</v>
      </c>
      <c r="C5" t="s">
        <v>290</v>
      </c>
    </row>
    <row r="7" spans="1:3">
      <c r="B7" t="s">
        <v>292</v>
      </c>
    </row>
    <row r="8" spans="1:3">
      <c r="B8" s="166">
        <f ca="1">'flujo de caja'!B34</f>
        <v>160929.19574267813</v>
      </c>
    </row>
  </sheetData>
  <phoneticPr fontId="3" type="noConversion"/>
  <pageMargins left="0.75" right="0.75" top="1" bottom="1" header="0" footer="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B3" sqref="B3:F10"/>
    </sheetView>
  </sheetViews>
  <sheetFormatPr defaultColWidth="11.42578125" defaultRowHeight="12.75"/>
  <cols>
    <col min="6" max="6" width="12.140625" customWidth="1"/>
  </cols>
  <sheetData>
    <row r="1" spans="1:6">
      <c r="A1" s="103"/>
      <c r="B1" s="103"/>
      <c r="C1" s="104">
        <v>0.16750000000000001</v>
      </c>
      <c r="D1" s="103"/>
      <c r="E1" s="103"/>
      <c r="F1" s="103"/>
    </row>
    <row r="2" spans="1:6">
      <c r="A2" s="103"/>
      <c r="B2" s="103"/>
      <c r="C2" s="103"/>
      <c r="D2" s="103"/>
      <c r="E2" s="103"/>
      <c r="F2" s="103"/>
    </row>
    <row r="3" spans="1:6">
      <c r="A3" s="103"/>
      <c r="B3" s="274" t="s">
        <v>255</v>
      </c>
      <c r="C3" s="274"/>
      <c r="D3" s="274"/>
      <c r="E3" s="274"/>
      <c r="F3" s="274"/>
    </row>
    <row r="4" spans="1:6">
      <c r="A4" s="103"/>
      <c r="B4" s="141" t="s">
        <v>256</v>
      </c>
      <c r="C4" s="142" t="s">
        <v>257</v>
      </c>
      <c r="D4" s="143" t="s">
        <v>258</v>
      </c>
      <c r="E4" s="142" t="s">
        <v>259</v>
      </c>
      <c r="F4" s="144" t="s">
        <v>260</v>
      </c>
    </row>
    <row r="5" spans="1:6">
      <c r="A5" s="103"/>
      <c r="B5" s="145" t="s">
        <v>261</v>
      </c>
      <c r="C5" s="146" t="s">
        <v>262</v>
      </c>
      <c r="D5" s="147" t="s">
        <v>263</v>
      </c>
      <c r="E5" s="146" t="s">
        <v>264</v>
      </c>
      <c r="F5" s="148" t="s">
        <v>265</v>
      </c>
    </row>
    <row r="6" spans="1:6">
      <c r="A6" s="103"/>
      <c r="B6" s="105">
        <v>1</v>
      </c>
      <c r="C6" s="106">
        <v>88869</v>
      </c>
      <c r="D6" s="176">
        <v>35931.209606251803</v>
      </c>
      <c r="E6" s="108">
        <f>+C6*$C$1</f>
        <v>14885.557500000001</v>
      </c>
      <c r="F6" s="109">
        <f>+D6-E6</f>
        <v>21045.6521062518</v>
      </c>
    </row>
    <row r="7" spans="1:6">
      <c r="A7" s="103"/>
      <c r="B7" s="105">
        <v>2</v>
      </c>
      <c r="C7" s="106">
        <f>C6-F6</f>
        <v>67823.3478937482</v>
      </c>
      <c r="D7" s="107">
        <v>65833.661500824674</v>
      </c>
      <c r="E7" s="108">
        <f>+C7*$C$1</f>
        <v>11360.410772202824</v>
      </c>
      <c r="F7" s="109">
        <f>+D7-E7</f>
        <v>54473.250728621846</v>
      </c>
    </row>
    <row r="8" spans="1:6">
      <c r="A8" s="103"/>
      <c r="B8" s="105">
        <v>3</v>
      </c>
      <c r="C8" s="106">
        <f>C7-F7</f>
        <v>13350.097165126354</v>
      </c>
      <c r="D8" s="107">
        <v>78057.131107121299</v>
      </c>
      <c r="E8" s="108">
        <f>+C8*$C$1</f>
        <v>2236.1412751586645</v>
      </c>
      <c r="F8" s="109">
        <f>+D8-E8</f>
        <v>75820.989831962637</v>
      </c>
    </row>
    <row r="9" spans="1:6">
      <c r="A9" s="103"/>
      <c r="B9" s="149">
        <v>4</v>
      </c>
      <c r="C9" s="171">
        <f>C8-F8</f>
        <v>-62470.892666836284</v>
      </c>
      <c r="D9" s="172">
        <v>90858.57157476712</v>
      </c>
      <c r="E9" s="173">
        <f>+C9*$C$1</f>
        <v>-10463.874521695077</v>
      </c>
      <c r="F9" s="174">
        <f>+D9-E9</f>
        <v>101322.4460964622</v>
      </c>
    </row>
    <row r="10" spans="1:6">
      <c r="A10" s="103"/>
      <c r="B10" s="175">
        <v>5</v>
      </c>
      <c r="C10" s="167">
        <f>C9-F9</f>
        <v>-163793.33876329847</v>
      </c>
      <c r="D10" s="168">
        <v>157847.57897493683</v>
      </c>
      <c r="E10" s="169">
        <f>+C10*$C$1</f>
        <v>-27435.384242852495</v>
      </c>
      <c r="F10" s="170">
        <f>+D10-E10</f>
        <v>185282.96321778931</v>
      </c>
    </row>
    <row r="11" spans="1:6">
      <c r="A11" s="103"/>
    </row>
    <row r="12" spans="1:6">
      <c r="A12" s="103"/>
    </row>
    <row r="13" spans="1:6">
      <c r="A13" s="103"/>
    </row>
    <row r="14" spans="1:6">
      <c r="A14" s="103"/>
    </row>
    <row r="15" spans="1:6">
      <c r="A15" s="103"/>
    </row>
  </sheetData>
  <mergeCells count="1">
    <mergeCell ref="B3:F3"/>
  </mergeCells>
  <phoneticPr fontId="3" type="noConversion"/>
  <pageMargins left="0.75" right="0.75" top="1" bottom="1" header="0" footer="0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gastos</vt:lpstr>
      <vt:lpstr>Hoja2</vt:lpstr>
      <vt:lpstr>cap trab</vt:lpstr>
      <vt:lpstr>tasa descuento</vt:lpstr>
      <vt:lpstr>flujo de caja</vt:lpstr>
      <vt:lpstr>CB</vt:lpstr>
      <vt:lpstr>payback</vt:lpstr>
      <vt:lpstr>P</vt:lpstr>
      <vt:lpstr>Q</vt:lpstr>
      <vt:lpstr>TD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user</cp:lastModifiedBy>
  <dcterms:created xsi:type="dcterms:W3CDTF">2009-09-01T03:52:40Z</dcterms:created>
  <dcterms:modified xsi:type="dcterms:W3CDTF">2009-09-21T15:40:32Z</dcterms:modified>
</cp:coreProperties>
</file>