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195" windowHeight="9720" activeTab="1"/>
  </bookViews>
  <sheets>
    <sheet name="Hoja1" sheetId="1" r:id="rId1"/>
    <sheet name="Hoja2" sheetId="2" r:id="rId2"/>
    <sheet name="Hoja3" sheetId="3" r:id="rId3"/>
  </sheets>
  <calcPr calcId="114210"/>
</workbook>
</file>

<file path=xl/calcChain.xml><?xml version="1.0" encoding="utf-8"?>
<calcChain xmlns="http://schemas.openxmlformats.org/spreadsheetml/2006/main">
  <c r="D20" i="2"/>
  <c r="E20"/>
  <c r="D21"/>
  <c r="E21"/>
  <c r="D22"/>
  <c r="E22"/>
  <c r="D28"/>
  <c r="E28"/>
  <c r="F28"/>
  <c r="G28"/>
  <c r="H28"/>
  <c r="D29"/>
  <c r="E29"/>
  <c r="F29"/>
  <c r="G29"/>
  <c r="H29"/>
  <c r="D30"/>
  <c r="E30"/>
  <c r="F30"/>
  <c r="G30"/>
  <c r="H30"/>
  <c r="D31"/>
  <c r="E31"/>
  <c r="F31"/>
  <c r="G31"/>
  <c r="H31"/>
  <c r="D32"/>
  <c r="E32"/>
  <c r="F32"/>
  <c r="G32"/>
  <c r="H32"/>
  <c r="I28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I35"/>
  <c r="D42"/>
  <c r="E42"/>
  <c r="F42"/>
  <c r="G42"/>
  <c r="H42"/>
  <c r="D43"/>
  <c r="E43"/>
  <c r="F43"/>
  <c r="G43"/>
  <c r="H43"/>
  <c r="D44"/>
  <c r="E44"/>
  <c r="F44"/>
  <c r="G44"/>
  <c r="H44"/>
  <c r="D45"/>
  <c r="E45"/>
  <c r="F45"/>
  <c r="G45"/>
  <c r="H45"/>
  <c r="D46"/>
  <c r="E46"/>
  <c r="F46"/>
  <c r="G46"/>
  <c r="H46"/>
  <c r="I42"/>
  <c r="I4" i="1"/>
  <c r="I5"/>
  <c r="I6"/>
  <c r="I7"/>
  <c r="I8"/>
  <c r="I3"/>
  <c r="E93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C102"/>
  <c r="D102"/>
  <c r="E102"/>
  <c r="C103"/>
  <c r="D103"/>
  <c r="E103"/>
  <c r="D93"/>
  <c r="C93"/>
  <c r="B93"/>
  <c r="B94"/>
  <c r="B95"/>
  <c r="B96"/>
  <c r="B97"/>
  <c r="B98"/>
  <c r="B99"/>
  <c r="B100"/>
  <c r="B101"/>
  <c r="B102"/>
  <c r="B103"/>
  <c r="B92"/>
  <c r="C92"/>
  <c r="D92"/>
  <c r="E92"/>
  <c r="B80"/>
  <c r="C71"/>
  <c r="D3"/>
  <c r="D4"/>
  <c r="D5"/>
  <c r="D6"/>
  <c r="D7"/>
  <c r="D8"/>
  <c r="D9"/>
  <c r="D2"/>
  <c r="D11"/>
  <c r="D12"/>
  <c r="D10"/>
  <c r="D14"/>
  <c r="D15"/>
  <c r="D16"/>
  <c r="D17"/>
  <c r="D18"/>
  <c r="D19"/>
  <c r="D20"/>
  <c r="D13"/>
  <c r="D22"/>
  <c r="D23"/>
  <c r="D24"/>
  <c r="D25"/>
  <c r="D26"/>
  <c r="D27"/>
  <c r="D28"/>
  <c r="D21"/>
  <c r="D29"/>
  <c r="C51"/>
  <c r="D51"/>
  <c r="D34"/>
  <c r="D35"/>
  <c r="D36"/>
  <c r="D37"/>
  <c r="D38"/>
  <c r="D39"/>
  <c r="I12"/>
  <c r="I13"/>
  <c r="I14"/>
  <c r="I15"/>
  <c r="I16"/>
  <c r="I17"/>
  <c r="I18"/>
  <c r="I19"/>
  <c r="G3"/>
  <c r="G4"/>
  <c r="H4"/>
  <c r="G5"/>
  <c r="H5"/>
  <c r="G6"/>
  <c r="H6"/>
  <c r="G7"/>
  <c r="H7"/>
  <c r="G8"/>
  <c r="H8"/>
  <c r="H3"/>
  <c r="B74"/>
  <c r="D42"/>
  <c r="B81"/>
  <c r="C77"/>
  <c r="C78"/>
  <c r="C79"/>
  <c r="C80"/>
  <c r="C81"/>
  <c r="J12"/>
  <c r="J13"/>
  <c r="J14"/>
  <c r="J15"/>
  <c r="J16"/>
  <c r="J17"/>
  <c r="J18"/>
  <c r="J19"/>
  <c r="C68"/>
  <c r="C69"/>
  <c r="C70"/>
  <c r="C72"/>
  <c r="C73"/>
  <c r="C74"/>
  <c r="D24" i="3"/>
  <c r="F9" i="2"/>
  <c r="F10"/>
  <c r="F11"/>
  <c r="F4"/>
  <c r="F12"/>
  <c r="D9"/>
  <c r="D10"/>
  <c r="D11"/>
  <c r="D4"/>
  <c r="D12"/>
  <c r="B9"/>
  <c r="B10"/>
  <c r="B11"/>
  <c r="B4"/>
  <c r="B12"/>
  <c r="H59" i="1"/>
  <c r="H60"/>
  <c r="H61"/>
  <c r="H58"/>
  <c r="H62"/>
  <c r="H63"/>
  <c r="H64"/>
  <c r="F58"/>
  <c r="F59"/>
  <c r="F60"/>
  <c r="F61"/>
  <c r="F62"/>
  <c r="F63"/>
  <c r="F64"/>
  <c r="D58"/>
  <c r="D59"/>
  <c r="D60"/>
  <c r="D61"/>
  <c r="D62"/>
  <c r="D63"/>
  <c r="D64"/>
  <c r="B64"/>
  <c r="C52"/>
  <c r="D52"/>
  <c r="C53"/>
  <c r="D43"/>
  <c r="D44"/>
  <c r="D45"/>
  <c r="D46"/>
  <c r="D47"/>
  <c r="C47"/>
</calcChain>
</file>

<file path=xl/sharedStrings.xml><?xml version="1.0" encoding="utf-8"?>
<sst xmlns="http://schemas.openxmlformats.org/spreadsheetml/2006/main" count="194" uniqueCount="141">
  <si>
    <t>equipos de oficina</t>
  </si>
  <si>
    <t>cantidad</t>
  </si>
  <si>
    <t>costo total</t>
  </si>
  <si>
    <t>costo unitario</t>
  </si>
  <si>
    <t>computadoras</t>
  </si>
  <si>
    <t>escritorios</t>
  </si>
  <si>
    <t>sillas</t>
  </si>
  <si>
    <t>recepcion</t>
  </si>
  <si>
    <t>infocus</t>
  </si>
  <si>
    <t>mesa de reunion</t>
  </si>
  <si>
    <t>sillas de reunion</t>
  </si>
  <si>
    <t>equipo de audio</t>
  </si>
  <si>
    <t>luces reflectores</t>
  </si>
  <si>
    <t>tripodes</t>
  </si>
  <si>
    <t>switcher</t>
  </si>
  <si>
    <t>monitores</t>
  </si>
  <si>
    <t>programas</t>
  </si>
  <si>
    <t>Adobe Illustrator CS2 software</t>
  </si>
  <si>
    <t>Adobe Photoshop CS2 software</t>
  </si>
  <si>
    <t>Adobe Dreamweaver CS4 software</t>
  </si>
  <si>
    <t>CorelDRAW Graphics Suite 12</t>
  </si>
  <si>
    <t>total</t>
  </si>
  <si>
    <t>Avid Xpress Pro 4.8.1MAC/5.2 P</t>
  </si>
  <si>
    <t>avid pc</t>
  </si>
  <si>
    <t>Samsung CLP-315 Laser Printer</t>
  </si>
  <si>
    <t>telefonos Panasonic KX-TG9344T 1.9 GHz</t>
  </si>
  <si>
    <t>Canon PowerShot SX10 IS Camera</t>
  </si>
  <si>
    <t>Sony HDR-FX7 Mini DV Videocámara</t>
  </si>
  <si>
    <t>American Audio MX-1400 DSP 4-Channel with Effects</t>
  </si>
  <si>
    <t xml:space="preserve">personal tecnico </t>
  </si>
  <si>
    <t>numero de puestos</t>
  </si>
  <si>
    <t>mensual</t>
  </si>
  <si>
    <t>anual</t>
  </si>
  <si>
    <t>asistente creativo</t>
  </si>
  <si>
    <t>editor</t>
  </si>
  <si>
    <t>programador</t>
  </si>
  <si>
    <t>asitente publicista</t>
  </si>
  <si>
    <t>recepcionista</t>
  </si>
  <si>
    <t>oficinas</t>
  </si>
  <si>
    <t>alquiler de oficinas</t>
  </si>
  <si>
    <t>alquiler departamento</t>
  </si>
  <si>
    <t>compra departamento</t>
  </si>
  <si>
    <t>5 años</t>
  </si>
  <si>
    <t xml:space="preserve"> </t>
  </si>
  <si>
    <t>NORTE</t>
  </si>
  <si>
    <t>CENTRO</t>
  </si>
  <si>
    <t>SUR</t>
  </si>
  <si>
    <t>FACTOR</t>
  </si>
  <si>
    <t>Peso</t>
  </si>
  <si>
    <t>Calificacion</t>
  </si>
  <si>
    <t>Ponderacion</t>
  </si>
  <si>
    <t>Seguridad</t>
  </si>
  <si>
    <t>Parqueo</t>
  </si>
  <si>
    <t>Via de Acceso</t>
  </si>
  <si>
    <t>Cercania de mercado</t>
  </si>
  <si>
    <t>Disponibilidad de espacio</t>
  </si>
  <si>
    <t>Disponibilidad de agua, energia y 0tros suministros</t>
  </si>
  <si>
    <t>TOTALES</t>
  </si>
  <si>
    <t xml:space="preserve">luz </t>
  </si>
  <si>
    <t>agua</t>
  </si>
  <si>
    <t>telefono</t>
  </si>
  <si>
    <t>limpieza</t>
  </si>
  <si>
    <t>alicuota mensual</t>
  </si>
  <si>
    <t>año</t>
  </si>
  <si>
    <t>cantidad que invierte la poblacion objetivo (76%)</t>
  </si>
  <si>
    <t>cantidad que invierten las empresas en publicidad (estimada al 1% de las utilidades con un incremento del 5% anual)</t>
  </si>
  <si>
    <t>capacidad teorica</t>
  </si>
  <si>
    <t>produccion anual</t>
  </si>
  <si>
    <t>dias del año</t>
  </si>
  <si>
    <t>produccion por dia</t>
  </si>
  <si>
    <t>produccion estimada</t>
  </si>
  <si>
    <t>ineficiencia(-25%)</t>
  </si>
  <si>
    <t>ineficiencia(-15%)</t>
  </si>
  <si>
    <t>ineficiencia(-5%)</t>
  </si>
  <si>
    <t>porcentaje de optimizacion</t>
  </si>
  <si>
    <t>capacidad maxima 2 computadoras</t>
  </si>
  <si>
    <t>capacidad maxima 4 computadoras</t>
  </si>
  <si>
    <t>capacidad maxima 6 computadoras</t>
  </si>
  <si>
    <t>equipos de computacion</t>
  </si>
  <si>
    <t>otros equipos</t>
  </si>
  <si>
    <t>lcds</t>
  </si>
  <si>
    <t>muebles de oficinas</t>
  </si>
  <si>
    <t>juego de sala</t>
  </si>
  <si>
    <t>suma totales</t>
  </si>
  <si>
    <t>dispensador de agua</t>
  </si>
  <si>
    <t>aire acodicionado central</t>
  </si>
  <si>
    <t>percheros</t>
  </si>
  <si>
    <t>Gerente General</t>
  </si>
  <si>
    <t>Gerente Administrativo Financiero</t>
  </si>
  <si>
    <t>Gerente Comercial</t>
  </si>
  <si>
    <t>Fuerza de Ventas</t>
  </si>
  <si>
    <t>unitario</t>
  </si>
  <si>
    <t>personal administrativo</t>
  </si>
  <si>
    <t>director marketing y publicidad</t>
  </si>
  <si>
    <t>director multimedia</t>
  </si>
  <si>
    <t>director creativo</t>
  </si>
  <si>
    <t>seguridad</t>
  </si>
  <si>
    <t>Mensual</t>
  </si>
  <si>
    <t>Anual</t>
  </si>
  <si>
    <t>Gastos mantenimiento de equipo y oficina</t>
  </si>
  <si>
    <t>Gastos de seguro</t>
  </si>
  <si>
    <t>Suministros de Oficina</t>
  </si>
  <si>
    <t>servicos basicos</t>
  </si>
  <si>
    <t xml:space="preserve"> gastos generales y de administracion</t>
  </si>
  <si>
    <t xml:space="preserve">Total </t>
  </si>
  <si>
    <t>Imprevistos 5%</t>
  </si>
  <si>
    <t>internet</t>
  </si>
  <si>
    <t xml:space="preserve">pago </t>
  </si>
  <si>
    <t>interes</t>
  </si>
  <si>
    <t>capital amortizado</t>
  </si>
  <si>
    <t>saldo absoluto</t>
  </si>
  <si>
    <t>periodo</t>
  </si>
  <si>
    <t>Prestamo</t>
  </si>
  <si>
    <t>Tasa de Interés</t>
  </si>
  <si>
    <t>Plazo</t>
  </si>
  <si>
    <t>gastos financieros</t>
  </si>
  <si>
    <t>meses</t>
  </si>
  <si>
    <t>demanda (2%)</t>
  </si>
  <si>
    <t>flujo anual</t>
  </si>
  <si>
    <t xml:space="preserve">costo total </t>
  </si>
  <si>
    <t>costos variables</t>
  </si>
  <si>
    <t xml:space="preserve">costos fijos </t>
  </si>
  <si>
    <t>ingresos</t>
  </si>
  <si>
    <t>Produccion</t>
  </si>
  <si>
    <t>años</t>
  </si>
  <si>
    <t>opcion c</t>
  </si>
  <si>
    <t>opcion b</t>
  </si>
  <si>
    <t>van</t>
  </si>
  <si>
    <t>opcion a</t>
  </si>
  <si>
    <t>año5</t>
  </si>
  <si>
    <t>año4</t>
  </si>
  <si>
    <t>año3</t>
  </si>
  <si>
    <t>año 2</t>
  </si>
  <si>
    <t xml:space="preserve">año1 </t>
  </si>
  <si>
    <t>demanda</t>
  </si>
  <si>
    <t>6 computadoras</t>
  </si>
  <si>
    <t>4 computadoras</t>
  </si>
  <si>
    <t>2 computadoras</t>
  </si>
  <si>
    <t>inversion</t>
  </si>
  <si>
    <t>capacidad</t>
  </si>
  <si>
    <t>opcion tecnologica</t>
  </si>
</sst>
</file>

<file path=xl/styles.xml><?xml version="1.0" encoding="utf-8"?>
<styleSheet xmlns="http://schemas.openxmlformats.org/spreadsheetml/2006/main">
  <numFmts count="5">
    <numFmt numFmtId="41" formatCode="_-* #,##0\ _€_-;\-* #,##0\ _€_-;_-* &quot;-&quot;\ _€_-;_-@_-"/>
    <numFmt numFmtId="169" formatCode="&quot;$&quot;\ #,##0;[Red]&quot;$&quot;\ \-#,##0"/>
    <numFmt numFmtId="170" formatCode="_ [$$-2C0A]\ * #,##0.00_ ;_ [$$-2C0A]\ * \-#,##0.00_ ;_ [$$-2C0A]\ * &quot;-&quot;??_ ;_ @_ "/>
    <numFmt numFmtId="172" formatCode="#,##0_ ;\-#,##0\ "/>
    <numFmt numFmtId="173" formatCode="0_ ;[Red]\-0\ "/>
  </numFmts>
  <fonts count="12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6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3" fillId="0" borderId="1" xfId="0" applyFont="1" applyBorder="1" applyAlignment="1">
      <alignment horizontal="center"/>
    </xf>
    <xf numFmtId="0" fontId="5" fillId="4" borderId="1" xfId="0" applyFont="1" applyFill="1" applyBorder="1"/>
    <xf numFmtId="0" fontId="4" fillId="3" borderId="1" xfId="0" applyFont="1" applyFill="1" applyBorder="1"/>
    <xf numFmtId="0" fontId="6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9" fontId="6" fillId="0" borderId="1" xfId="0" applyNumberFormat="1" applyFont="1" applyFill="1" applyBorder="1" applyAlignment="1">
      <alignment horizontal="justify" wrapText="1"/>
    </xf>
    <xf numFmtId="0" fontId="8" fillId="0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Border="1"/>
    <xf numFmtId="0" fontId="6" fillId="0" borderId="4" xfId="0" applyFont="1" applyFill="1" applyBorder="1" applyAlignment="1">
      <alignment horizontal="justify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3" fontId="9" fillId="0" borderId="0" xfId="0" applyNumberFormat="1" applyFont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0" fillId="5" borderId="12" xfId="0" applyFill="1" applyBorder="1"/>
    <xf numFmtId="0" fontId="3" fillId="5" borderId="1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/>
    <xf numFmtId="0" fontId="0" fillId="0" borderId="1" xfId="0" applyFill="1" applyBorder="1"/>
    <xf numFmtId="0" fontId="3" fillId="2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3" fillId="2" borderId="13" xfId="0" applyFont="1" applyFill="1" applyBorder="1"/>
    <xf numFmtId="0" fontId="3" fillId="2" borderId="14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/>
    </xf>
    <xf numFmtId="170" fontId="10" fillId="0" borderId="1" xfId="0" applyNumberFormat="1" applyFont="1" applyBorder="1" applyAlignment="1">
      <alignment horizontal="left" wrapText="1"/>
    </xf>
    <xf numFmtId="170" fontId="10" fillId="0" borderId="1" xfId="0" applyNumberFormat="1" applyFont="1" applyFill="1" applyBorder="1" applyAlignment="1">
      <alignment horizontal="left"/>
    </xf>
    <xf numFmtId="170" fontId="10" fillId="0" borderId="1" xfId="0" applyNumberFormat="1" applyFont="1" applyFill="1" applyBorder="1"/>
    <xf numFmtId="0" fontId="11" fillId="2" borderId="1" xfId="0" applyFont="1" applyFill="1" applyBorder="1" applyAlignment="1">
      <alignment horizontal="center" wrapText="1"/>
    </xf>
    <xf numFmtId="169" fontId="11" fillId="2" borderId="1" xfId="0" applyNumberFormat="1" applyFont="1" applyFill="1" applyBorder="1" applyAlignment="1">
      <alignment horizontal="center" wrapText="1"/>
    </xf>
    <xf numFmtId="172" fontId="10" fillId="0" borderId="1" xfId="0" applyNumberFormat="1" applyFont="1" applyFill="1" applyBorder="1" applyAlignment="1">
      <alignment horizontal="center"/>
    </xf>
    <xf numFmtId="172" fontId="10" fillId="0" borderId="1" xfId="0" applyNumberFormat="1" applyFont="1" applyBorder="1"/>
    <xf numFmtId="172" fontId="10" fillId="0" borderId="15" xfId="0" applyNumberFormat="1" applyFont="1" applyFill="1" applyBorder="1" applyAlignment="1">
      <alignment horizontal="center"/>
    </xf>
    <xf numFmtId="172" fontId="10" fillId="0" borderId="15" xfId="0" applyNumberFormat="1" applyFont="1" applyBorder="1"/>
    <xf numFmtId="0" fontId="10" fillId="6" borderId="1" xfId="0" applyNumberFormat="1" applyFont="1" applyFill="1" applyBorder="1" applyAlignment="1"/>
    <xf numFmtId="0" fontId="10" fillId="6" borderId="1" xfId="0" applyNumberFormat="1" applyFont="1" applyFill="1" applyBorder="1"/>
    <xf numFmtId="0" fontId="10" fillId="6" borderId="3" xfId="0" applyNumberFormat="1" applyFont="1" applyFill="1" applyBorder="1"/>
    <xf numFmtId="0" fontId="3" fillId="2" borderId="8" xfId="0" applyFont="1" applyFill="1" applyBorder="1"/>
    <xf numFmtId="0" fontId="0" fillId="0" borderId="0" xfId="0" applyFill="1"/>
    <xf numFmtId="0" fontId="0" fillId="2" borderId="1" xfId="0" applyNumberFormat="1" applyFill="1" applyBorder="1"/>
    <xf numFmtId="0" fontId="0" fillId="2" borderId="16" xfId="0" applyNumberFormat="1" applyFill="1" applyBorder="1"/>
    <xf numFmtId="0" fontId="0" fillId="2" borderId="17" xfId="0" applyNumberFormat="1" applyFill="1" applyBorder="1"/>
    <xf numFmtId="0" fontId="0" fillId="2" borderId="0" xfId="0" applyFill="1"/>
    <xf numFmtId="173" fontId="0" fillId="0" borderId="1" xfId="0" applyNumberFormat="1" applyBorder="1"/>
    <xf numFmtId="1" fontId="0" fillId="0" borderId="1" xfId="0" applyNumberFormat="1" applyBorder="1"/>
    <xf numFmtId="170" fontId="11" fillId="2" borderId="3" xfId="0" applyNumberFormat="1" applyFont="1" applyFill="1" applyBorder="1" applyAlignment="1">
      <alignment horizontal="center"/>
    </xf>
    <xf numFmtId="41" fontId="11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70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9" fontId="0" fillId="0" borderId="0" xfId="0" applyNumberFormat="1" applyFill="1" applyBorder="1"/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/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selection activeCell="F2" sqref="F2:I8"/>
    </sheetView>
  </sheetViews>
  <sheetFormatPr defaultColWidth="11.42578125" defaultRowHeight="12.75"/>
  <cols>
    <col min="1" max="1" width="20.42578125" customWidth="1"/>
    <col min="2" max="2" width="19.85546875" customWidth="1"/>
    <col min="3" max="3" width="12.7109375" customWidth="1"/>
    <col min="4" max="4" width="18.28515625" customWidth="1"/>
    <col min="5" max="5" width="8.28515625" customWidth="1"/>
    <col min="6" max="6" width="8.42578125" customWidth="1"/>
    <col min="7" max="7" width="41" customWidth="1"/>
    <col min="8" max="8" width="24.140625" customWidth="1"/>
    <col min="9" max="9" width="9.7109375" customWidth="1"/>
    <col min="10" max="10" width="8.42578125" customWidth="1"/>
    <col min="11" max="11" width="20.140625" customWidth="1"/>
  </cols>
  <sheetData>
    <row r="1" spans="1:10" ht="54.75" customHeight="1" thickBot="1">
      <c r="B1" s="3" t="s">
        <v>1</v>
      </c>
      <c r="C1" s="3" t="s">
        <v>3</v>
      </c>
      <c r="D1" s="3" t="s">
        <v>2</v>
      </c>
      <c r="G1" s="28"/>
      <c r="H1">
        <v>18534588553</v>
      </c>
    </row>
    <row r="2" spans="1:10" ht="43.5" customHeight="1">
      <c r="A2" s="3" t="s">
        <v>0</v>
      </c>
      <c r="D2" s="3">
        <f>SUM(D3:D9)</f>
        <v>6670</v>
      </c>
      <c r="F2" s="29" t="s">
        <v>63</v>
      </c>
      <c r="G2" s="30" t="s">
        <v>65</v>
      </c>
      <c r="H2" s="30" t="s">
        <v>64</v>
      </c>
      <c r="I2" s="31" t="s">
        <v>117</v>
      </c>
    </row>
    <row r="3" spans="1:10">
      <c r="A3" s="1" t="s">
        <v>24</v>
      </c>
      <c r="B3" s="4">
        <v>8</v>
      </c>
      <c r="C3" s="4">
        <v>120</v>
      </c>
      <c r="D3" s="5">
        <f t="shared" ref="D3:D9" si="0">C3*B3</f>
        <v>960</v>
      </c>
      <c r="F3" s="79">
        <v>2009</v>
      </c>
      <c r="G3" s="79">
        <f>H1*1%</f>
        <v>185345885.53</v>
      </c>
      <c r="H3" s="79">
        <f t="shared" ref="H3:H8" si="1">G3*76%</f>
        <v>140862873.00279999</v>
      </c>
      <c r="I3" s="80">
        <f t="shared" ref="I3:I8" si="2">H3*2%</f>
        <v>2817257.4600559999</v>
      </c>
    </row>
    <row r="4" spans="1:10">
      <c r="A4" s="1" t="s">
        <v>25</v>
      </c>
      <c r="B4" s="4">
        <v>2</v>
      </c>
      <c r="C4" s="4">
        <v>80</v>
      </c>
      <c r="D4" s="5">
        <f t="shared" si="0"/>
        <v>160</v>
      </c>
      <c r="F4" s="79">
        <v>2010</v>
      </c>
      <c r="G4" s="79">
        <f>(1+5%)*G3</f>
        <v>194613179.80650002</v>
      </c>
      <c r="H4" s="79">
        <f t="shared" si="1"/>
        <v>147906016.65294001</v>
      </c>
      <c r="I4" s="80">
        <f t="shared" si="2"/>
        <v>2958120.3330588001</v>
      </c>
    </row>
    <row r="5" spans="1:10">
      <c r="A5" s="1" t="s">
        <v>8</v>
      </c>
      <c r="B5" s="4">
        <v>1</v>
      </c>
      <c r="C5" s="4">
        <v>500</v>
      </c>
      <c r="D5" s="5">
        <f t="shared" si="0"/>
        <v>500</v>
      </c>
      <c r="F5" s="79">
        <v>2011</v>
      </c>
      <c r="G5" s="79">
        <f>(1+5%)*G4</f>
        <v>204343838.79682502</v>
      </c>
      <c r="H5" s="79">
        <f t="shared" si="1"/>
        <v>155301317.48558703</v>
      </c>
      <c r="I5" s="80">
        <f t="shared" si="2"/>
        <v>3106026.3497117409</v>
      </c>
    </row>
    <row r="6" spans="1:10">
      <c r="A6" s="1" t="s">
        <v>84</v>
      </c>
      <c r="B6" s="4">
        <v>1</v>
      </c>
      <c r="C6" s="4">
        <v>200</v>
      </c>
      <c r="D6" s="5">
        <f t="shared" si="0"/>
        <v>200</v>
      </c>
      <c r="F6" s="79">
        <v>2012</v>
      </c>
      <c r="G6" s="79">
        <f>(1+5%)*G5</f>
        <v>214561030.73666629</v>
      </c>
      <c r="H6" s="79">
        <f t="shared" si="1"/>
        <v>163066383.35986638</v>
      </c>
      <c r="I6" s="80">
        <f t="shared" si="2"/>
        <v>3261327.6671973276</v>
      </c>
    </row>
    <row r="7" spans="1:10">
      <c r="A7" s="1" t="s">
        <v>11</v>
      </c>
      <c r="B7" s="4">
        <v>1</v>
      </c>
      <c r="C7" s="4">
        <v>450</v>
      </c>
      <c r="D7" s="5">
        <f t="shared" si="0"/>
        <v>450</v>
      </c>
      <c r="F7" s="79">
        <v>2013</v>
      </c>
      <c r="G7" s="79">
        <f>(1+5%)*G6</f>
        <v>225289082.27349961</v>
      </c>
      <c r="H7" s="79">
        <f t="shared" si="1"/>
        <v>171219702.52785972</v>
      </c>
      <c r="I7" s="80">
        <f t="shared" si="2"/>
        <v>3424394.0505571943</v>
      </c>
    </row>
    <row r="8" spans="1:10">
      <c r="A8" s="47" t="s">
        <v>85</v>
      </c>
      <c r="B8" s="4">
        <v>1</v>
      </c>
      <c r="C8" s="4">
        <v>2000</v>
      </c>
      <c r="D8" s="48">
        <f t="shared" si="0"/>
        <v>2000</v>
      </c>
      <c r="F8" s="79">
        <v>2014</v>
      </c>
      <c r="G8" s="79">
        <f>(1+5%)*G7</f>
        <v>236553536.38717461</v>
      </c>
      <c r="H8" s="79">
        <f t="shared" si="1"/>
        <v>179780687.65425271</v>
      </c>
      <c r="I8" s="80">
        <f t="shared" si="2"/>
        <v>3595613.7530850545</v>
      </c>
      <c r="J8" s="20"/>
    </row>
    <row r="9" spans="1:10">
      <c r="A9" s="39" t="s">
        <v>80</v>
      </c>
      <c r="B9" s="6">
        <v>3</v>
      </c>
      <c r="C9" s="6">
        <v>800</v>
      </c>
      <c r="D9" s="40">
        <f t="shared" si="0"/>
        <v>2400</v>
      </c>
    </row>
    <row r="10" spans="1:10">
      <c r="A10" s="3" t="s">
        <v>78</v>
      </c>
      <c r="D10" s="3">
        <f>SUM(D11:D12)</f>
        <v>7000</v>
      </c>
    </row>
    <row r="11" spans="1:10">
      <c r="A11" s="1" t="s">
        <v>4</v>
      </c>
      <c r="B11" s="4">
        <v>10</v>
      </c>
      <c r="C11" s="4">
        <v>500</v>
      </c>
      <c r="D11" s="5">
        <f>C11*B11</f>
        <v>5000</v>
      </c>
      <c r="F11" s="3" t="s">
        <v>92</v>
      </c>
      <c r="G11" s="3" t="s">
        <v>30</v>
      </c>
      <c r="H11" s="3" t="s">
        <v>91</v>
      </c>
      <c r="I11" s="3" t="s">
        <v>31</v>
      </c>
      <c r="J11" s="3" t="s">
        <v>32</v>
      </c>
    </row>
    <row r="12" spans="1:10">
      <c r="A12" s="1" t="s">
        <v>23</v>
      </c>
      <c r="B12" s="4">
        <v>2</v>
      </c>
      <c r="C12" s="4">
        <v>1000</v>
      </c>
      <c r="D12" s="5">
        <f>C12*B12</f>
        <v>2000</v>
      </c>
      <c r="F12" s="49" t="s">
        <v>87</v>
      </c>
      <c r="G12" s="50">
        <v>1</v>
      </c>
      <c r="H12" s="60">
        <v>800</v>
      </c>
      <c r="I12" s="61">
        <f t="shared" ref="I12:I18" si="3">+H12*G12</f>
        <v>800</v>
      </c>
      <c r="J12" s="61">
        <f t="shared" ref="J12:J18" si="4">+I12*12</f>
        <v>9600</v>
      </c>
    </row>
    <row r="13" spans="1:10">
      <c r="A13" s="3" t="s">
        <v>79</v>
      </c>
      <c r="D13" s="3">
        <f>SUM(D14:D20)</f>
        <v>8768</v>
      </c>
      <c r="F13" s="49" t="s">
        <v>88</v>
      </c>
      <c r="G13" s="50">
        <v>1</v>
      </c>
      <c r="H13" s="60">
        <v>700</v>
      </c>
      <c r="I13" s="61">
        <f t="shared" si="3"/>
        <v>700</v>
      </c>
      <c r="J13" s="61">
        <f t="shared" si="4"/>
        <v>8400</v>
      </c>
    </row>
    <row r="14" spans="1:10">
      <c r="A14" s="1" t="s">
        <v>26</v>
      </c>
      <c r="B14" s="4">
        <v>2</v>
      </c>
      <c r="C14" s="4">
        <v>338</v>
      </c>
      <c r="D14" s="5">
        <f t="shared" ref="D14:D20" si="5">C14*B14</f>
        <v>676</v>
      </c>
      <c r="F14" s="49" t="s">
        <v>89</v>
      </c>
      <c r="G14" s="50">
        <v>1</v>
      </c>
      <c r="H14" s="60">
        <v>700</v>
      </c>
      <c r="I14" s="61">
        <f t="shared" si="3"/>
        <v>700</v>
      </c>
      <c r="J14" s="61">
        <f t="shared" si="4"/>
        <v>8400</v>
      </c>
    </row>
    <row r="15" spans="1:10">
      <c r="A15" s="1" t="s">
        <v>27</v>
      </c>
      <c r="B15" s="4">
        <v>3</v>
      </c>
      <c r="C15" s="4">
        <v>1900</v>
      </c>
      <c r="D15" s="5">
        <f t="shared" si="5"/>
        <v>5700</v>
      </c>
      <c r="F15" s="49" t="s">
        <v>93</v>
      </c>
      <c r="G15" s="50">
        <v>1</v>
      </c>
      <c r="H15" s="60">
        <v>700</v>
      </c>
      <c r="I15" s="61">
        <f>H15*G15</f>
        <v>700</v>
      </c>
      <c r="J15" s="61">
        <f t="shared" si="4"/>
        <v>8400</v>
      </c>
    </row>
    <row r="16" spans="1:10">
      <c r="A16" s="1" t="s">
        <v>28</v>
      </c>
      <c r="B16" s="4">
        <v>1</v>
      </c>
      <c r="C16" s="4">
        <v>400</v>
      </c>
      <c r="D16" s="5">
        <f t="shared" si="5"/>
        <v>400</v>
      </c>
      <c r="F16" s="49" t="s">
        <v>94</v>
      </c>
      <c r="G16" s="50">
        <v>1</v>
      </c>
      <c r="H16" s="60">
        <v>700</v>
      </c>
      <c r="I16" s="61">
        <f>H16*G16</f>
        <v>700</v>
      </c>
      <c r="J16" s="61">
        <f t="shared" si="4"/>
        <v>8400</v>
      </c>
    </row>
    <row r="17" spans="1:10" ht="25.5" customHeight="1">
      <c r="A17" s="1" t="s">
        <v>14</v>
      </c>
      <c r="B17" s="4">
        <v>1</v>
      </c>
      <c r="C17" s="4">
        <v>522</v>
      </c>
      <c r="D17" s="5">
        <f t="shared" si="5"/>
        <v>522</v>
      </c>
      <c r="F17" s="49" t="s">
        <v>95</v>
      </c>
      <c r="G17" s="50">
        <v>1</v>
      </c>
      <c r="H17" s="60">
        <v>700</v>
      </c>
      <c r="I17" s="61">
        <f t="shared" si="3"/>
        <v>700</v>
      </c>
      <c r="J17" s="61">
        <f t="shared" si="4"/>
        <v>8400</v>
      </c>
    </row>
    <row r="18" spans="1:10" ht="13.5" thickBot="1">
      <c r="A18" s="1" t="s">
        <v>15</v>
      </c>
      <c r="B18" s="4">
        <v>5</v>
      </c>
      <c r="C18" s="4">
        <v>90</v>
      </c>
      <c r="D18" s="5">
        <f t="shared" si="5"/>
        <v>450</v>
      </c>
      <c r="F18" s="49" t="s">
        <v>90</v>
      </c>
      <c r="G18" s="50">
        <v>2</v>
      </c>
      <c r="H18" s="60">
        <v>500</v>
      </c>
      <c r="I18" s="62">
        <f t="shared" si="3"/>
        <v>1000</v>
      </c>
      <c r="J18" s="62">
        <f t="shared" si="4"/>
        <v>12000</v>
      </c>
    </row>
    <row r="19" spans="1:10">
      <c r="A19" s="1" t="s">
        <v>12</v>
      </c>
      <c r="B19" s="4">
        <v>6</v>
      </c>
      <c r="C19" s="4">
        <v>80</v>
      </c>
      <c r="D19" s="5">
        <f t="shared" si="5"/>
        <v>480</v>
      </c>
      <c r="F19" s="38"/>
      <c r="G19" s="38"/>
      <c r="H19" s="65" t="s">
        <v>21</v>
      </c>
      <c r="I19" s="66">
        <f>SUM(I12:I18)</f>
        <v>5300</v>
      </c>
      <c r="J19" s="67">
        <f>SUM(J12:J18)</f>
        <v>63600</v>
      </c>
    </row>
    <row r="20" spans="1:10">
      <c r="A20" s="1" t="s">
        <v>13</v>
      </c>
      <c r="B20" s="4">
        <v>3</v>
      </c>
      <c r="C20" s="4">
        <v>180</v>
      </c>
      <c r="D20" s="5">
        <f t="shared" si="5"/>
        <v>540</v>
      </c>
    </row>
    <row r="21" spans="1:10">
      <c r="A21" s="42" t="s">
        <v>81</v>
      </c>
      <c r="D21" s="3">
        <f>SUM(D22:D28)</f>
        <v>3420</v>
      </c>
    </row>
    <row r="22" spans="1:10">
      <c r="A22" s="1" t="s">
        <v>5</v>
      </c>
      <c r="B22" s="4">
        <v>8</v>
      </c>
      <c r="C22" s="4">
        <v>140</v>
      </c>
      <c r="D22" s="5">
        <f t="shared" ref="D22:D28" si="6">C22*B22</f>
        <v>1120</v>
      </c>
    </row>
    <row r="23" spans="1:10">
      <c r="A23" s="1" t="s">
        <v>86</v>
      </c>
      <c r="B23" s="4">
        <v>10</v>
      </c>
      <c r="C23" s="4">
        <v>30</v>
      </c>
      <c r="D23" s="5">
        <f t="shared" si="6"/>
        <v>300</v>
      </c>
    </row>
    <row r="24" spans="1:10">
      <c r="A24" s="1" t="s">
        <v>6</v>
      </c>
      <c r="B24" s="4">
        <v>10</v>
      </c>
      <c r="C24" s="4">
        <v>20</v>
      </c>
      <c r="D24" s="5">
        <f t="shared" si="6"/>
        <v>200</v>
      </c>
    </row>
    <row r="25" spans="1:10">
      <c r="A25" s="1" t="s">
        <v>7</v>
      </c>
      <c r="B25" s="4">
        <v>1</v>
      </c>
      <c r="C25" s="4">
        <v>500</v>
      </c>
      <c r="D25" s="5">
        <f t="shared" si="6"/>
        <v>500</v>
      </c>
    </row>
    <row r="26" spans="1:10">
      <c r="A26" s="1" t="s">
        <v>9</v>
      </c>
      <c r="B26" s="4">
        <v>1</v>
      </c>
      <c r="C26" s="4">
        <v>200</v>
      </c>
      <c r="D26" s="5">
        <f t="shared" si="6"/>
        <v>200</v>
      </c>
    </row>
    <row r="27" spans="1:10">
      <c r="A27" s="1" t="s">
        <v>10</v>
      </c>
      <c r="B27" s="4">
        <v>12</v>
      </c>
      <c r="C27" s="4">
        <v>25</v>
      </c>
      <c r="D27" s="5">
        <f t="shared" si="6"/>
        <v>300</v>
      </c>
    </row>
    <row r="28" spans="1:10" ht="13.5" thickBot="1">
      <c r="A28" s="41" t="s">
        <v>82</v>
      </c>
      <c r="B28" s="6">
        <v>1</v>
      </c>
      <c r="C28" s="43">
        <v>800</v>
      </c>
      <c r="D28" s="44">
        <f t="shared" si="6"/>
        <v>800</v>
      </c>
    </row>
    <row r="29" spans="1:10" ht="13.5" thickBot="1">
      <c r="A29" s="38"/>
      <c r="C29" s="45" t="s">
        <v>83</v>
      </c>
      <c r="D29" s="46">
        <f>SUM(D2+D10+D13+D21)</f>
        <v>25858</v>
      </c>
    </row>
    <row r="33" spans="1:4">
      <c r="A33" s="3" t="s">
        <v>16</v>
      </c>
      <c r="B33" s="3" t="s">
        <v>1</v>
      </c>
      <c r="C33" s="3" t="s">
        <v>3</v>
      </c>
      <c r="D33" s="3" t="s">
        <v>2</v>
      </c>
    </row>
    <row r="34" spans="1:4">
      <c r="A34" s="7" t="s">
        <v>17</v>
      </c>
      <c r="B34" s="6">
        <v>1</v>
      </c>
      <c r="C34" s="1">
        <v>450</v>
      </c>
      <c r="D34" s="1">
        <f>C34*B34</f>
        <v>450</v>
      </c>
    </row>
    <row r="35" spans="1:4">
      <c r="A35" s="7" t="s">
        <v>18</v>
      </c>
      <c r="B35" s="6">
        <v>1</v>
      </c>
      <c r="C35" s="1">
        <v>180</v>
      </c>
      <c r="D35" s="1">
        <f>C35*B35</f>
        <v>180</v>
      </c>
    </row>
    <row r="36" spans="1:4">
      <c r="A36" s="7" t="s">
        <v>19</v>
      </c>
      <c r="B36" s="6">
        <v>1</v>
      </c>
      <c r="C36" s="1">
        <v>270</v>
      </c>
      <c r="D36" s="1">
        <f>C36*B36</f>
        <v>270</v>
      </c>
    </row>
    <row r="37" spans="1:4">
      <c r="A37" s="7" t="s">
        <v>20</v>
      </c>
      <c r="B37" s="6">
        <v>1</v>
      </c>
      <c r="C37" s="1">
        <v>350</v>
      </c>
      <c r="D37" s="1">
        <f>C37*B37</f>
        <v>350</v>
      </c>
    </row>
    <row r="38" spans="1:4">
      <c r="A38" s="7" t="s">
        <v>22</v>
      </c>
      <c r="B38" s="4">
        <v>1</v>
      </c>
      <c r="C38" s="1">
        <v>1500</v>
      </c>
      <c r="D38" s="1">
        <f>C38*B38</f>
        <v>1500</v>
      </c>
    </row>
    <row r="39" spans="1:4">
      <c r="C39" s="9" t="s">
        <v>21</v>
      </c>
      <c r="D39" s="9">
        <f>SUM(D34:D38)</f>
        <v>2750</v>
      </c>
    </row>
    <row r="40" spans="1:4">
      <c r="A40" s="64"/>
      <c r="B40" s="38"/>
      <c r="C40" s="38"/>
      <c r="D40" s="38"/>
    </row>
    <row r="41" spans="1:4">
      <c r="A41" s="3" t="s">
        <v>29</v>
      </c>
      <c r="B41" s="3" t="s">
        <v>30</v>
      </c>
      <c r="C41" s="3" t="s">
        <v>31</v>
      </c>
      <c r="D41" s="3" t="s">
        <v>32</v>
      </c>
    </row>
    <row r="42" spans="1:4">
      <c r="A42" s="1" t="s">
        <v>33</v>
      </c>
      <c r="B42" s="6">
        <v>1</v>
      </c>
      <c r="C42" s="6">
        <v>400</v>
      </c>
      <c r="D42" s="1">
        <f>12*C42</f>
        <v>4800</v>
      </c>
    </row>
    <row r="43" spans="1:4">
      <c r="A43" s="1" t="s">
        <v>34</v>
      </c>
      <c r="B43" s="6">
        <v>1</v>
      </c>
      <c r="C43" s="6">
        <v>400</v>
      </c>
      <c r="D43" s="1">
        <f>12*C43</f>
        <v>4800</v>
      </c>
    </row>
    <row r="44" spans="1:4">
      <c r="A44" s="1" t="s">
        <v>35</v>
      </c>
      <c r="B44" s="6">
        <v>1</v>
      </c>
      <c r="C44" s="6">
        <v>400</v>
      </c>
      <c r="D44" s="1">
        <f>12*C44</f>
        <v>4800</v>
      </c>
    </row>
    <row r="45" spans="1:4">
      <c r="A45" s="1" t="s">
        <v>36</v>
      </c>
      <c r="B45" s="6">
        <v>1</v>
      </c>
      <c r="C45" s="6">
        <v>400</v>
      </c>
      <c r="D45" s="1">
        <f>12*C45</f>
        <v>4800</v>
      </c>
    </row>
    <row r="46" spans="1:4">
      <c r="A46" s="1" t="s">
        <v>37</v>
      </c>
      <c r="B46" s="4">
        <v>1</v>
      </c>
      <c r="C46" s="6">
        <v>500</v>
      </c>
      <c r="D46" s="1">
        <f>12*C46</f>
        <v>6000</v>
      </c>
    </row>
    <row r="47" spans="1:4">
      <c r="B47" s="8" t="s">
        <v>21</v>
      </c>
      <c r="C47" s="8">
        <f>SUM(C42:C46)</f>
        <v>2100</v>
      </c>
      <c r="D47" s="8">
        <f>SUM(D42:D46)</f>
        <v>25200</v>
      </c>
    </row>
    <row r="50" spans="1:8">
      <c r="A50" s="63" t="s">
        <v>38</v>
      </c>
      <c r="B50" s="63" t="s">
        <v>31</v>
      </c>
      <c r="C50" s="63" t="s">
        <v>32</v>
      </c>
      <c r="D50" s="63" t="s">
        <v>42</v>
      </c>
    </row>
    <row r="51" spans="1:8">
      <c r="A51" s="1" t="s">
        <v>39</v>
      </c>
      <c r="B51" s="6">
        <v>1200</v>
      </c>
      <c r="C51" s="11">
        <f>12*B51</f>
        <v>14400</v>
      </c>
      <c r="D51" s="12">
        <f>5*C51</f>
        <v>72000</v>
      </c>
    </row>
    <row r="52" spans="1:8">
      <c r="A52" s="1" t="s">
        <v>40</v>
      </c>
      <c r="B52" s="4">
        <v>600</v>
      </c>
      <c r="C52" s="11">
        <f>12*B52</f>
        <v>7200</v>
      </c>
      <c r="D52" s="12">
        <f>5*C52</f>
        <v>36000</v>
      </c>
    </row>
    <row r="53" spans="1:8">
      <c r="A53" s="1" t="s">
        <v>41</v>
      </c>
      <c r="B53" s="13">
        <v>1000</v>
      </c>
      <c r="C53" s="13">
        <f>D53/5</f>
        <v>12000</v>
      </c>
      <c r="D53" s="11">
        <v>60000</v>
      </c>
    </row>
    <row r="55" spans="1:8">
      <c r="H55" s="10"/>
    </row>
    <row r="56" spans="1:8" ht="25.5">
      <c r="A56" s="14" t="s">
        <v>43</v>
      </c>
      <c r="B56" s="14"/>
      <c r="C56" s="89" t="s">
        <v>44</v>
      </c>
      <c r="D56" s="89"/>
      <c r="E56" s="17" t="s">
        <v>45</v>
      </c>
      <c r="F56" s="17"/>
      <c r="G56" s="17" t="s">
        <v>46</v>
      </c>
      <c r="H56" s="17"/>
    </row>
    <row r="57" spans="1:8" ht="22.5">
      <c r="A57" s="17" t="s">
        <v>47</v>
      </c>
      <c r="B57" s="14" t="s">
        <v>48</v>
      </c>
      <c r="C57" s="15" t="s">
        <v>49</v>
      </c>
      <c r="D57" s="15" t="s">
        <v>50</v>
      </c>
      <c r="E57" s="15" t="s">
        <v>49</v>
      </c>
      <c r="F57" s="15" t="s">
        <v>50</v>
      </c>
      <c r="G57" s="15" t="s">
        <v>49</v>
      </c>
      <c r="H57" s="15" t="s">
        <v>50</v>
      </c>
    </row>
    <row r="58" spans="1:8">
      <c r="A58" s="14" t="s">
        <v>51</v>
      </c>
      <c r="B58" s="16">
        <v>0.25</v>
      </c>
      <c r="C58" s="14">
        <v>8</v>
      </c>
      <c r="D58" s="14">
        <f t="shared" ref="D58:D63" si="7">C58*B58</f>
        <v>2</v>
      </c>
      <c r="E58" s="14">
        <v>7</v>
      </c>
      <c r="F58" s="14">
        <f t="shared" ref="F58:F63" si="8">E58*B58</f>
        <v>1.75</v>
      </c>
      <c r="G58" s="14">
        <v>5</v>
      </c>
      <c r="H58" s="14">
        <f t="shared" ref="H58:H63" si="9">G58*B58</f>
        <v>1.25</v>
      </c>
    </row>
    <row r="59" spans="1:8">
      <c r="A59" s="14" t="s">
        <v>52</v>
      </c>
      <c r="B59" s="16">
        <v>0.1</v>
      </c>
      <c r="C59" s="14">
        <v>8</v>
      </c>
      <c r="D59" s="14">
        <f t="shared" si="7"/>
        <v>0.8</v>
      </c>
      <c r="E59" s="14">
        <v>3</v>
      </c>
      <c r="F59" s="14">
        <f t="shared" si="8"/>
        <v>0.30000000000000004</v>
      </c>
      <c r="G59" s="14">
        <v>7</v>
      </c>
      <c r="H59" s="14">
        <f t="shared" si="9"/>
        <v>0.70000000000000007</v>
      </c>
    </row>
    <row r="60" spans="1:8">
      <c r="A60" s="14" t="s">
        <v>53</v>
      </c>
      <c r="B60" s="16">
        <v>0.1</v>
      </c>
      <c r="C60" s="14">
        <v>9</v>
      </c>
      <c r="D60" s="14">
        <f t="shared" si="7"/>
        <v>0.9</v>
      </c>
      <c r="E60" s="14">
        <v>5</v>
      </c>
      <c r="F60" s="14">
        <f t="shared" si="8"/>
        <v>0.5</v>
      </c>
      <c r="G60" s="14">
        <v>6</v>
      </c>
      <c r="H60" s="14">
        <f t="shared" si="9"/>
        <v>0.60000000000000009</v>
      </c>
    </row>
    <row r="61" spans="1:8">
      <c r="A61" s="14" t="s">
        <v>54</v>
      </c>
      <c r="B61" s="16">
        <v>0.2</v>
      </c>
      <c r="C61" s="14">
        <v>8</v>
      </c>
      <c r="D61" s="14">
        <f t="shared" si="7"/>
        <v>1.6</v>
      </c>
      <c r="E61" s="14">
        <v>8</v>
      </c>
      <c r="F61" s="14">
        <f t="shared" si="8"/>
        <v>1.6</v>
      </c>
      <c r="G61" s="14">
        <v>3</v>
      </c>
      <c r="H61" s="14">
        <f t="shared" si="9"/>
        <v>0.60000000000000009</v>
      </c>
    </row>
    <row r="62" spans="1:8" ht="25.5">
      <c r="A62" s="14" t="s">
        <v>55</v>
      </c>
      <c r="B62" s="16">
        <v>0.2</v>
      </c>
      <c r="C62" s="14">
        <v>8</v>
      </c>
      <c r="D62" s="14">
        <f t="shared" si="7"/>
        <v>1.6</v>
      </c>
      <c r="E62" s="14">
        <v>5</v>
      </c>
      <c r="F62" s="14">
        <f t="shared" si="8"/>
        <v>1</v>
      </c>
      <c r="G62" s="14">
        <v>8</v>
      </c>
      <c r="H62" s="14">
        <f t="shared" si="9"/>
        <v>1.6</v>
      </c>
    </row>
    <row r="63" spans="1:8" ht="38.25">
      <c r="A63" s="14" t="s">
        <v>56</v>
      </c>
      <c r="B63" s="16">
        <v>0.15</v>
      </c>
      <c r="C63" s="14">
        <v>10</v>
      </c>
      <c r="D63" s="14">
        <f t="shared" si="7"/>
        <v>1.5</v>
      </c>
      <c r="E63" s="14">
        <v>9</v>
      </c>
      <c r="F63" s="14">
        <f t="shared" si="8"/>
        <v>1.3499999999999999</v>
      </c>
      <c r="G63" s="14">
        <v>9</v>
      </c>
      <c r="H63" s="14">
        <f t="shared" si="9"/>
        <v>1.3499999999999999</v>
      </c>
    </row>
    <row r="64" spans="1:8">
      <c r="A64" s="14" t="s">
        <v>57</v>
      </c>
      <c r="B64" s="16">
        <f>SUM(B58:B63)</f>
        <v>0.99999999999999989</v>
      </c>
      <c r="C64" s="14"/>
      <c r="D64" s="18">
        <f>SUM(D58:D63)</f>
        <v>8.4</v>
      </c>
      <c r="E64" s="19"/>
      <c r="F64" s="18">
        <f>SUM(F58:F63)</f>
        <v>6.5</v>
      </c>
      <c r="G64" s="19"/>
      <c r="H64" s="18">
        <f>SUM(H58:H63)</f>
        <v>6.1</v>
      </c>
    </row>
    <row r="67" spans="1:4" ht="13.5" thickBot="1">
      <c r="A67" s="26" t="s">
        <v>102</v>
      </c>
      <c r="B67" s="27" t="s">
        <v>31</v>
      </c>
      <c r="C67" s="3" t="s">
        <v>32</v>
      </c>
      <c r="D67" s="27" t="s">
        <v>62</v>
      </c>
    </row>
    <row r="68" spans="1:4">
      <c r="A68" s="21" t="s">
        <v>58</v>
      </c>
      <c r="B68" s="22">
        <v>300</v>
      </c>
      <c r="C68" s="23">
        <f>12*B68</f>
        <v>3600</v>
      </c>
      <c r="D68" s="90">
        <v>500</v>
      </c>
    </row>
    <row r="69" spans="1:4" ht="13.5" thickBot="1">
      <c r="A69" s="21" t="s">
        <v>59</v>
      </c>
      <c r="B69" s="24">
        <v>30</v>
      </c>
      <c r="C69" s="23">
        <f>12*B69</f>
        <v>360</v>
      </c>
      <c r="D69" s="91"/>
    </row>
    <row r="70" spans="1:4">
      <c r="A70" s="14" t="s">
        <v>60</v>
      </c>
      <c r="B70" s="25">
        <v>50</v>
      </c>
      <c r="C70" s="4">
        <f>12*B70</f>
        <v>600</v>
      </c>
      <c r="D70" s="20"/>
    </row>
    <row r="71" spans="1:4">
      <c r="A71" s="14" t="s">
        <v>106</v>
      </c>
      <c r="B71" s="25">
        <v>110</v>
      </c>
      <c r="C71" s="4">
        <f>B71*12</f>
        <v>1320</v>
      </c>
      <c r="D71" s="20"/>
    </row>
    <row r="72" spans="1:4">
      <c r="A72" s="14" t="s">
        <v>61</v>
      </c>
      <c r="B72" s="4">
        <v>230</v>
      </c>
      <c r="C72" s="4">
        <f>12*B72</f>
        <v>2760</v>
      </c>
      <c r="D72" s="20"/>
    </row>
    <row r="73" spans="1:4">
      <c r="A73" s="14" t="s">
        <v>96</v>
      </c>
      <c r="B73" s="4">
        <v>500</v>
      </c>
      <c r="C73" s="4">
        <f>12*B73</f>
        <v>6000</v>
      </c>
      <c r="D73" s="20"/>
    </row>
    <row r="74" spans="1:4">
      <c r="A74" s="26" t="s">
        <v>21</v>
      </c>
      <c r="B74" s="3">
        <f>SUM(B68:B73)</f>
        <v>1220</v>
      </c>
      <c r="C74" s="3">
        <f>SUM(C68:C73)</f>
        <v>14640</v>
      </c>
    </row>
    <row r="76" spans="1:4" ht="25.5">
      <c r="A76" s="54" t="s">
        <v>103</v>
      </c>
      <c r="B76" s="55" t="s">
        <v>97</v>
      </c>
      <c r="C76" s="54" t="s">
        <v>98</v>
      </c>
    </row>
    <row r="77" spans="1:4" ht="25.5">
      <c r="A77" s="51" t="s">
        <v>99</v>
      </c>
      <c r="B77" s="56">
        <v>300</v>
      </c>
      <c r="C77" s="57">
        <f>+B77*12</f>
        <v>3600</v>
      </c>
    </row>
    <row r="78" spans="1:4">
      <c r="A78" s="52" t="s">
        <v>100</v>
      </c>
      <c r="B78" s="56">
        <v>80</v>
      </c>
      <c r="C78" s="57">
        <f>+B78*12</f>
        <v>960</v>
      </c>
    </row>
    <row r="79" spans="1:4">
      <c r="A79" s="53" t="s">
        <v>101</v>
      </c>
      <c r="B79" s="56">
        <v>200</v>
      </c>
      <c r="C79" s="57">
        <f>+B79*12</f>
        <v>2400</v>
      </c>
    </row>
    <row r="80" spans="1:4" ht="13.5" thickBot="1">
      <c r="A80" s="53" t="s">
        <v>105</v>
      </c>
      <c r="B80" s="58">
        <f>(B74+SUM(B77:B79))*5%</f>
        <v>90</v>
      </c>
      <c r="C80" s="59">
        <f>+B80*12</f>
        <v>1080</v>
      </c>
    </row>
    <row r="81" spans="1:5" ht="13.5" thickTop="1">
      <c r="A81" s="71" t="s">
        <v>104</v>
      </c>
      <c r="B81" s="72">
        <f>SUM(B77:B80)</f>
        <v>670</v>
      </c>
      <c r="C81" s="73">
        <f>SUM(C77:C80)</f>
        <v>8040</v>
      </c>
    </row>
    <row r="82" spans="1:5">
      <c r="A82" s="74"/>
      <c r="B82" s="75"/>
      <c r="C82" s="76"/>
      <c r="E82" s="77"/>
    </row>
    <row r="83" spans="1:5">
      <c r="A83" s="74"/>
      <c r="B83" s="75"/>
      <c r="C83" s="76"/>
      <c r="E83" s="77"/>
    </row>
    <row r="84" spans="1:5">
      <c r="A84" s="74" t="s">
        <v>115</v>
      </c>
      <c r="B84" s="75"/>
      <c r="C84" s="76"/>
      <c r="E84" s="77"/>
    </row>
    <row r="85" spans="1:5">
      <c r="A85" s="77" t="s">
        <v>112</v>
      </c>
      <c r="B85" s="38">
        <v>65666</v>
      </c>
      <c r="C85" s="76"/>
      <c r="E85" s="77"/>
    </row>
    <row r="86" spans="1:5">
      <c r="A86" s="77" t="s">
        <v>113</v>
      </c>
      <c r="B86" s="78">
        <v>0.12</v>
      </c>
      <c r="C86" s="76"/>
      <c r="E86" s="77"/>
    </row>
    <row r="87" spans="1:5">
      <c r="A87" s="77" t="s">
        <v>114</v>
      </c>
      <c r="B87" s="38">
        <v>12</v>
      </c>
      <c r="C87" s="76" t="s">
        <v>116</v>
      </c>
      <c r="E87" s="77"/>
    </row>
    <row r="90" spans="1:5">
      <c r="A90" s="68" t="s">
        <v>111</v>
      </c>
      <c r="B90" s="68" t="s">
        <v>107</v>
      </c>
      <c r="C90" s="68" t="s">
        <v>108</v>
      </c>
      <c r="D90" s="68" t="s">
        <v>109</v>
      </c>
      <c r="E90" s="68" t="s">
        <v>110</v>
      </c>
    </row>
    <row r="91" spans="1:5">
      <c r="A91" s="1">
        <v>0</v>
      </c>
      <c r="B91" s="1"/>
      <c r="C91" s="1"/>
      <c r="D91" s="1"/>
      <c r="E91" s="1">
        <v>65666</v>
      </c>
    </row>
    <row r="92" spans="1:5">
      <c r="A92" s="1">
        <v>1</v>
      </c>
      <c r="B92" s="69">
        <f>PMT($B$86,$B$87,$E$91)</f>
        <v>-10600.909407467323</v>
      </c>
      <c r="C92" s="70">
        <f>E91*$B$86</f>
        <v>7879.92</v>
      </c>
      <c r="D92" s="69">
        <f>SUM(B92:C92)</f>
        <v>-2720.989407467323</v>
      </c>
      <c r="E92" s="69">
        <f>E91+D92</f>
        <v>62945.010592532679</v>
      </c>
    </row>
    <row r="93" spans="1:5">
      <c r="A93" s="1">
        <v>2</v>
      </c>
      <c r="B93" s="69">
        <f t="shared" ref="B93:B103" si="10">PMT($B$86,$B$87,$E$91)</f>
        <v>-10600.909407467323</v>
      </c>
      <c r="C93" s="70">
        <f t="shared" ref="C93:C103" si="11">E92*$B$86</f>
        <v>7553.4012711039213</v>
      </c>
      <c r="D93" s="69">
        <f t="shared" ref="D93:D103" si="12">SUM(B93:C93)</f>
        <v>-3047.5081363634017</v>
      </c>
      <c r="E93" s="69">
        <f t="shared" ref="E93:E103" si="13">E92+D93</f>
        <v>59897.502456169277</v>
      </c>
    </row>
    <row r="94" spans="1:5">
      <c r="A94" s="1">
        <v>3</v>
      </c>
      <c r="B94" s="69">
        <f t="shared" si="10"/>
        <v>-10600.909407467323</v>
      </c>
      <c r="C94" s="70">
        <f t="shared" si="11"/>
        <v>7187.7002947403134</v>
      </c>
      <c r="D94" s="69">
        <f t="shared" si="12"/>
        <v>-3413.2091127270096</v>
      </c>
      <c r="E94" s="69">
        <f t="shared" si="13"/>
        <v>56484.293343442267</v>
      </c>
    </row>
    <row r="95" spans="1:5">
      <c r="A95" s="1">
        <v>4</v>
      </c>
      <c r="B95" s="69">
        <f t="shared" si="10"/>
        <v>-10600.909407467323</v>
      </c>
      <c r="C95" s="70">
        <f t="shared" si="11"/>
        <v>6778.1152012130715</v>
      </c>
      <c r="D95" s="69">
        <f t="shared" si="12"/>
        <v>-3822.7942062542515</v>
      </c>
      <c r="E95" s="69">
        <f t="shared" si="13"/>
        <v>52661.499137188017</v>
      </c>
    </row>
    <row r="96" spans="1:5">
      <c r="A96" s="1">
        <v>5</v>
      </c>
      <c r="B96" s="69">
        <f t="shared" si="10"/>
        <v>-10600.909407467323</v>
      </c>
      <c r="C96" s="70">
        <f t="shared" si="11"/>
        <v>6319.3798964625621</v>
      </c>
      <c r="D96" s="69">
        <f t="shared" si="12"/>
        <v>-4281.5295110047609</v>
      </c>
      <c r="E96" s="69">
        <f t="shared" si="13"/>
        <v>48379.969626183258</v>
      </c>
    </row>
    <row r="97" spans="1:5">
      <c r="A97" s="1">
        <v>6</v>
      </c>
      <c r="B97" s="69">
        <f t="shared" si="10"/>
        <v>-10600.909407467323</v>
      </c>
      <c r="C97" s="70">
        <f t="shared" si="11"/>
        <v>5805.5963551419909</v>
      </c>
      <c r="D97" s="69">
        <f t="shared" si="12"/>
        <v>-4795.3130523253321</v>
      </c>
      <c r="E97" s="69">
        <f t="shared" si="13"/>
        <v>43584.656573857923</v>
      </c>
    </row>
    <row r="98" spans="1:5">
      <c r="A98" s="1">
        <v>7</v>
      </c>
      <c r="B98" s="69">
        <f t="shared" si="10"/>
        <v>-10600.909407467323</v>
      </c>
      <c r="C98" s="70">
        <f t="shared" si="11"/>
        <v>5230.1587888629501</v>
      </c>
      <c r="D98" s="69">
        <f t="shared" si="12"/>
        <v>-5370.7506186043729</v>
      </c>
      <c r="E98" s="69">
        <f t="shared" si="13"/>
        <v>38213.905955253547</v>
      </c>
    </row>
    <row r="99" spans="1:5">
      <c r="A99" s="1">
        <v>8</v>
      </c>
      <c r="B99" s="69">
        <f t="shared" si="10"/>
        <v>-10600.909407467323</v>
      </c>
      <c r="C99" s="70">
        <f t="shared" si="11"/>
        <v>4585.6687146304257</v>
      </c>
      <c r="D99" s="69">
        <f t="shared" si="12"/>
        <v>-6015.2406928368973</v>
      </c>
      <c r="E99" s="69">
        <f t="shared" si="13"/>
        <v>32198.665262416649</v>
      </c>
    </row>
    <row r="100" spans="1:5">
      <c r="A100" s="1">
        <v>9</v>
      </c>
      <c r="B100" s="69">
        <f t="shared" si="10"/>
        <v>-10600.909407467323</v>
      </c>
      <c r="C100" s="70">
        <f t="shared" si="11"/>
        <v>3863.8398314899978</v>
      </c>
      <c r="D100" s="69">
        <f t="shared" si="12"/>
        <v>-6737.0695759773253</v>
      </c>
      <c r="E100" s="69">
        <f t="shared" si="13"/>
        <v>25461.595686439323</v>
      </c>
    </row>
    <row r="101" spans="1:5">
      <c r="A101" s="1">
        <v>10</v>
      </c>
      <c r="B101" s="69">
        <f t="shared" si="10"/>
        <v>-10600.909407467323</v>
      </c>
      <c r="C101" s="70">
        <f t="shared" si="11"/>
        <v>3055.3914823727187</v>
      </c>
      <c r="D101" s="69">
        <f t="shared" si="12"/>
        <v>-7545.5179250946039</v>
      </c>
      <c r="E101" s="69">
        <f t="shared" si="13"/>
        <v>17916.077761344721</v>
      </c>
    </row>
    <row r="102" spans="1:5">
      <c r="A102" s="1">
        <v>11</v>
      </c>
      <c r="B102" s="69">
        <f t="shared" si="10"/>
        <v>-10600.909407467323</v>
      </c>
      <c r="C102" s="70">
        <f t="shared" si="11"/>
        <v>2149.9293313613666</v>
      </c>
      <c r="D102" s="69">
        <f t="shared" si="12"/>
        <v>-8450.980076105956</v>
      </c>
      <c r="E102" s="69">
        <f t="shared" si="13"/>
        <v>9465.0976852387648</v>
      </c>
    </row>
    <row r="103" spans="1:5">
      <c r="A103" s="1">
        <v>12</v>
      </c>
      <c r="B103" s="69">
        <f t="shared" si="10"/>
        <v>-10600.909407467323</v>
      </c>
      <c r="C103" s="70">
        <f t="shared" si="11"/>
        <v>1135.8117222286517</v>
      </c>
      <c r="D103" s="69">
        <f t="shared" si="12"/>
        <v>-9465.0976852386721</v>
      </c>
      <c r="E103" s="69">
        <f t="shared" si="13"/>
        <v>9.276845958083868E-11</v>
      </c>
    </row>
  </sheetData>
  <mergeCells count="2">
    <mergeCell ref="C56:D56"/>
    <mergeCell ref="D68:D69"/>
  </mergeCells>
  <phoneticPr fontId="2" type="noConversion"/>
  <pageMargins left="0.75" right="0.75" top="1" bottom="1" header="0" footer="0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7" workbookViewId="0">
      <selection activeCell="H12" sqref="H12"/>
    </sheetView>
  </sheetViews>
  <sheetFormatPr defaultColWidth="11.42578125" defaultRowHeight="12.75"/>
  <cols>
    <col min="1" max="1" width="19.28515625" customWidth="1"/>
    <col min="2" max="2" width="18.140625" customWidth="1"/>
    <col min="3" max="3" width="19" customWidth="1"/>
    <col min="5" max="5" width="21.85546875" customWidth="1"/>
  </cols>
  <sheetData>
    <row r="1" spans="1:6" ht="13.5" thickBot="1">
      <c r="A1" s="92" t="s">
        <v>66</v>
      </c>
      <c r="B1" s="93"/>
      <c r="C1" s="92" t="s">
        <v>66</v>
      </c>
      <c r="D1" s="93"/>
      <c r="E1" s="92" t="s">
        <v>66</v>
      </c>
      <c r="F1" s="93"/>
    </row>
    <row r="2" spans="1:6">
      <c r="A2" s="33" t="s">
        <v>68</v>
      </c>
      <c r="B2" s="34">
        <v>365</v>
      </c>
      <c r="C2" s="33" t="s">
        <v>68</v>
      </c>
      <c r="D2" s="34">
        <v>365</v>
      </c>
      <c r="E2" s="33" t="s">
        <v>68</v>
      </c>
      <c r="F2" s="34">
        <v>365</v>
      </c>
    </row>
    <row r="3" spans="1:6">
      <c r="A3" s="32" t="s">
        <v>69</v>
      </c>
      <c r="B3" s="1">
        <v>0.33</v>
      </c>
      <c r="C3" s="32" t="s">
        <v>69</v>
      </c>
      <c r="D3" s="1">
        <v>0.5</v>
      </c>
      <c r="E3" s="32" t="s">
        <v>69</v>
      </c>
      <c r="F3" s="1">
        <v>0.8</v>
      </c>
    </row>
    <row r="4" spans="1:6">
      <c r="A4" s="32" t="s">
        <v>67</v>
      </c>
      <c r="B4" s="1">
        <f>B2*B3</f>
        <v>120.45</v>
      </c>
      <c r="C4" s="32" t="s">
        <v>67</v>
      </c>
      <c r="D4" s="1">
        <f>D2*D3</f>
        <v>182.5</v>
      </c>
      <c r="E4" s="32" t="s">
        <v>67</v>
      </c>
      <c r="F4" s="1">
        <f>F2*F3</f>
        <v>292</v>
      </c>
    </row>
    <row r="5" spans="1:6" ht="13.5" thickBot="1"/>
    <row r="6" spans="1:6" ht="13.5" thickBot="1">
      <c r="A6" s="92" t="s">
        <v>75</v>
      </c>
      <c r="B6" s="93"/>
      <c r="C6" s="92" t="s">
        <v>76</v>
      </c>
      <c r="D6" s="93"/>
      <c r="E6" s="92" t="s">
        <v>77</v>
      </c>
      <c r="F6" s="93"/>
    </row>
    <row r="7" spans="1:6">
      <c r="A7" s="33" t="s">
        <v>68</v>
      </c>
      <c r="B7" s="34">
        <v>300</v>
      </c>
      <c r="C7" s="33" t="s">
        <v>68</v>
      </c>
      <c r="D7" s="34">
        <v>300</v>
      </c>
      <c r="E7" s="33" t="s">
        <v>68</v>
      </c>
      <c r="F7" s="34">
        <v>300</v>
      </c>
    </row>
    <row r="8" spans="1:6">
      <c r="A8" s="32" t="s">
        <v>69</v>
      </c>
      <c r="B8" s="1">
        <v>0.33</v>
      </c>
      <c r="C8" s="32" t="s">
        <v>69</v>
      </c>
      <c r="D8" s="1">
        <v>0.5</v>
      </c>
      <c r="E8" s="32" t="s">
        <v>69</v>
      </c>
      <c r="F8" s="1">
        <v>0.8</v>
      </c>
    </row>
    <row r="9" spans="1:6" ht="25.5">
      <c r="A9" s="32" t="s">
        <v>70</v>
      </c>
      <c r="B9" s="1">
        <f>B7*B8</f>
        <v>99</v>
      </c>
      <c r="C9" s="32" t="s">
        <v>70</v>
      </c>
      <c r="D9" s="1">
        <f>D7*D8</f>
        <v>150</v>
      </c>
      <c r="E9" s="32" t="s">
        <v>70</v>
      </c>
      <c r="F9" s="1">
        <f>F7*F8</f>
        <v>240</v>
      </c>
    </row>
    <row r="10" spans="1:6">
      <c r="A10" s="32" t="s">
        <v>73</v>
      </c>
      <c r="B10" s="1">
        <f>B9*(0.05)</f>
        <v>4.95</v>
      </c>
      <c r="C10" s="32" t="s">
        <v>72</v>
      </c>
      <c r="D10" s="1">
        <f>D9*(0.15)</f>
        <v>22.5</v>
      </c>
      <c r="E10" s="32" t="s">
        <v>71</v>
      </c>
      <c r="F10" s="1">
        <f>F9*(0.25)</f>
        <v>60</v>
      </c>
    </row>
    <row r="11" spans="1:6" ht="13.5" thickBot="1">
      <c r="A11" s="35" t="s">
        <v>67</v>
      </c>
      <c r="B11">
        <f>B9-B10</f>
        <v>94.05</v>
      </c>
      <c r="C11" s="35" t="s">
        <v>67</v>
      </c>
      <c r="D11">
        <f>D9-D10</f>
        <v>127.5</v>
      </c>
      <c r="E11" s="35" t="s">
        <v>67</v>
      </c>
      <c r="F11">
        <f>F9-F10</f>
        <v>180</v>
      </c>
    </row>
    <row r="12" spans="1:6" ht="26.25" thickBot="1">
      <c r="A12" s="37" t="s">
        <v>74</v>
      </c>
      <c r="B12" s="36">
        <f>(B11*100)/B4</f>
        <v>78.082191780821915</v>
      </c>
      <c r="D12" s="36">
        <f>(D11*100)/D4</f>
        <v>69.863013698630141</v>
      </c>
      <c r="F12" s="36">
        <f>(F11*100)/F4</f>
        <v>61.643835616438359</v>
      </c>
    </row>
    <row r="16" spans="1:6">
      <c r="B16">
        <v>32100</v>
      </c>
      <c r="C16">
        <v>24430</v>
      </c>
    </row>
    <row r="17" spans="1:9">
      <c r="C17">
        <v>1123.5</v>
      </c>
    </row>
    <row r="18" spans="1:9">
      <c r="C18">
        <v>3500</v>
      </c>
    </row>
    <row r="19" spans="1:9">
      <c r="B19" s="82" t="s">
        <v>140</v>
      </c>
      <c r="C19" s="82" t="s">
        <v>139</v>
      </c>
      <c r="D19" s="82" t="s">
        <v>121</v>
      </c>
      <c r="E19" s="82" t="s">
        <v>120</v>
      </c>
      <c r="F19" s="82" t="s">
        <v>138</v>
      </c>
    </row>
    <row r="20" spans="1:9">
      <c r="B20" s="4" t="s">
        <v>137</v>
      </c>
      <c r="C20" s="4">
        <v>99</v>
      </c>
      <c r="D20" s="4">
        <f>(C20*$C$16)+800</f>
        <v>2419370</v>
      </c>
      <c r="E20" s="4">
        <f>C20*$C$17</f>
        <v>111226.5</v>
      </c>
      <c r="F20" s="4">
        <v>7000</v>
      </c>
    </row>
    <row r="21" spans="1:9">
      <c r="B21" s="4" t="s">
        <v>136</v>
      </c>
      <c r="C21" s="4">
        <v>150</v>
      </c>
      <c r="D21" s="4">
        <f>(C21*$C$16)+1600</f>
        <v>3666100</v>
      </c>
      <c r="E21" s="4">
        <f>C21*$C$17</f>
        <v>168525</v>
      </c>
      <c r="F21" s="4">
        <v>14000</v>
      </c>
    </row>
    <row r="22" spans="1:9">
      <c r="B22" s="4" t="s">
        <v>135</v>
      </c>
      <c r="C22" s="4">
        <v>240</v>
      </c>
      <c r="D22" s="4">
        <f>(C22*$C$16)+2400</f>
        <v>5865600</v>
      </c>
      <c r="E22" s="4">
        <f>C22*$C$17</f>
        <v>269640</v>
      </c>
      <c r="F22" s="4">
        <v>21000</v>
      </c>
    </row>
    <row r="23" spans="1:9">
      <c r="A23" s="82" t="s">
        <v>134</v>
      </c>
      <c r="B23" s="82" t="s">
        <v>133</v>
      </c>
      <c r="C23" s="82" t="s">
        <v>132</v>
      </c>
      <c r="D23" s="82" t="s">
        <v>131</v>
      </c>
      <c r="E23" s="82" t="s">
        <v>130</v>
      </c>
      <c r="F23" s="82" t="s">
        <v>129</v>
      </c>
    </row>
    <row r="24" spans="1:9">
      <c r="B24" s="4">
        <v>58</v>
      </c>
      <c r="C24" s="4">
        <v>61</v>
      </c>
      <c r="D24" s="4">
        <v>64</v>
      </c>
      <c r="E24" s="4">
        <v>67</v>
      </c>
      <c r="F24" s="4">
        <v>71</v>
      </c>
    </row>
    <row r="26" spans="1:9">
      <c r="B26" s="84"/>
      <c r="C26" s="88" t="s">
        <v>128</v>
      </c>
      <c r="D26" s="4"/>
      <c r="E26" s="4"/>
      <c r="F26" s="4"/>
      <c r="G26" s="4"/>
      <c r="H26" s="4"/>
    </row>
    <row r="27" spans="1:9">
      <c r="B27" s="82" t="s">
        <v>124</v>
      </c>
      <c r="C27" s="82" t="s">
        <v>123</v>
      </c>
      <c r="D27" s="82" t="s">
        <v>122</v>
      </c>
      <c r="E27" s="82" t="s">
        <v>121</v>
      </c>
      <c r="F27" s="82" t="s">
        <v>120</v>
      </c>
      <c r="G27" s="82" t="s">
        <v>119</v>
      </c>
      <c r="H27" s="82" t="s">
        <v>118</v>
      </c>
      <c r="I27" s="2" t="s">
        <v>127</v>
      </c>
    </row>
    <row r="28" spans="1:9">
      <c r="B28" s="4">
        <v>2009</v>
      </c>
      <c r="C28" s="4">
        <v>99</v>
      </c>
      <c r="D28" s="4">
        <f>$B$16*C28</f>
        <v>3177900</v>
      </c>
      <c r="E28" s="4">
        <f>$D$20</f>
        <v>2419370</v>
      </c>
      <c r="F28" s="4">
        <f>$E$20</f>
        <v>111226.5</v>
      </c>
      <c r="G28" s="4">
        <f>E28+F28</f>
        <v>2530596.5</v>
      </c>
      <c r="H28" s="4">
        <f>D28-G28</f>
        <v>647303.5</v>
      </c>
      <c r="I28" s="87">
        <f>((SUM(H28:H32)/(1.1)^5)-F20)</f>
        <v>2002622.7282041085</v>
      </c>
    </row>
    <row r="29" spans="1:9">
      <c r="B29" s="4">
        <v>2010</v>
      </c>
      <c r="C29" s="4">
        <v>99</v>
      </c>
      <c r="D29" s="4">
        <f>$B$16*C29</f>
        <v>3177900</v>
      </c>
      <c r="E29" s="4">
        <f>$D$20</f>
        <v>2419370</v>
      </c>
      <c r="F29" s="4">
        <f>$E$20</f>
        <v>111226.5</v>
      </c>
      <c r="G29" s="4">
        <f>E29+F29</f>
        <v>2530596.5</v>
      </c>
      <c r="H29" s="4">
        <f>D29-G29</f>
        <v>647303.5</v>
      </c>
    </row>
    <row r="30" spans="1:9">
      <c r="B30" s="4">
        <v>2011</v>
      </c>
      <c r="C30" s="4">
        <v>99</v>
      </c>
      <c r="D30" s="4">
        <f>$B$16*C30</f>
        <v>3177900</v>
      </c>
      <c r="E30" s="4">
        <f>$D$20</f>
        <v>2419370</v>
      </c>
      <c r="F30" s="4">
        <f>$E$20</f>
        <v>111226.5</v>
      </c>
      <c r="G30" s="4">
        <f>E30+F30</f>
        <v>2530596.5</v>
      </c>
      <c r="H30" s="4">
        <f>D30-G30</f>
        <v>647303.5</v>
      </c>
    </row>
    <row r="31" spans="1:9">
      <c r="B31" s="4">
        <v>2012</v>
      </c>
      <c r="C31" s="4">
        <v>99</v>
      </c>
      <c r="D31" s="4">
        <f>$B$16*C31</f>
        <v>3177900</v>
      </c>
      <c r="E31" s="4">
        <f>$D$20</f>
        <v>2419370</v>
      </c>
      <c r="F31" s="4">
        <f>$E$20</f>
        <v>111226.5</v>
      </c>
      <c r="G31" s="4">
        <f>E31+F31</f>
        <v>2530596.5</v>
      </c>
      <c r="H31" s="4">
        <f>D31-G31</f>
        <v>647303.5</v>
      </c>
    </row>
    <row r="32" spans="1:9">
      <c r="B32" s="4">
        <v>2013</v>
      </c>
      <c r="C32" s="4">
        <v>99</v>
      </c>
      <c r="D32" s="4">
        <f>$B$16*C32</f>
        <v>3177900</v>
      </c>
      <c r="E32" s="4">
        <f>$D$20</f>
        <v>2419370</v>
      </c>
      <c r="F32" s="4">
        <f>$E$20</f>
        <v>111226.5</v>
      </c>
      <c r="G32" s="4">
        <f>E32+F32</f>
        <v>2530596.5</v>
      </c>
      <c r="H32" s="4">
        <f>D32-G32</f>
        <v>647303.5</v>
      </c>
    </row>
    <row r="33" spans="2:9">
      <c r="B33" s="84"/>
      <c r="C33" s="86" t="s">
        <v>126</v>
      </c>
      <c r="D33" s="4"/>
      <c r="E33" s="4"/>
      <c r="F33" s="4"/>
      <c r="G33" s="4"/>
      <c r="H33" s="4"/>
    </row>
    <row r="34" spans="2:9">
      <c r="B34" s="82" t="s">
        <v>124</v>
      </c>
      <c r="C34" s="82" t="s">
        <v>123</v>
      </c>
      <c r="D34" s="82" t="s">
        <v>122</v>
      </c>
      <c r="E34" s="82" t="s">
        <v>121</v>
      </c>
      <c r="F34" s="82" t="s">
        <v>120</v>
      </c>
      <c r="G34" s="82" t="s">
        <v>119</v>
      </c>
      <c r="H34" s="82" t="s">
        <v>118</v>
      </c>
    </row>
    <row r="35" spans="2:9">
      <c r="B35" s="4">
        <v>2009</v>
      </c>
      <c r="C35" s="4">
        <f>$C$21</f>
        <v>150</v>
      </c>
      <c r="D35" s="4">
        <f>$B$16*C35</f>
        <v>4815000</v>
      </c>
      <c r="E35" s="4">
        <f>$D$21</f>
        <v>3666100</v>
      </c>
      <c r="F35" s="4">
        <f>$E$21</f>
        <v>168525</v>
      </c>
      <c r="G35" s="4">
        <f>E35+F35</f>
        <v>3834625</v>
      </c>
      <c r="H35" s="4">
        <f>D35-G35</f>
        <v>980375</v>
      </c>
      <c r="I35" s="85">
        <f>((SUM(H35:H39)/(1.1)^5)-F21)</f>
        <v>3029678.7104705954</v>
      </c>
    </row>
    <row r="36" spans="2:9">
      <c r="B36" s="4">
        <v>2010</v>
      </c>
      <c r="C36" s="4">
        <f>$C$21</f>
        <v>150</v>
      </c>
      <c r="D36" s="4">
        <f>$B$16*C36</f>
        <v>4815000</v>
      </c>
      <c r="E36" s="4">
        <f>$D$21</f>
        <v>3666100</v>
      </c>
      <c r="F36" s="4">
        <f>$E$21</f>
        <v>168525</v>
      </c>
      <c r="G36" s="4">
        <f>E36+F36</f>
        <v>3834625</v>
      </c>
      <c r="H36" s="4">
        <f>D36-G36</f>
        <v>980375</v>
      </c>
    </row>
    <row r="37" spans="2:9">
      <c r="B37" s="4">
        <v>2011</v>
      </c>
      <c r="C37" s="4">
        <f>$C$21</f>
        <v>150</v>
      </c>
      <c r="D37" s="4">
        <f>$B$16*C37</f>
        <v>4815000</v>
      </c>
      <c r="E37" s="4">
        <f>$D$21</f>
        <v>3666100</v>
      </c>
      <c r="F37" s="4">
        <f>$E$21</f>
        <v>168525</v>
      </c>
      <c r="G37" s="4">
        <f>E37+F37</f>
        <v>3834625</v>
      </c>
      <c r="H37" s="4">
        <f>D37-G37</f>
        <v>980375</v>
      </c>
    </row>
    <row r="38" spans="2:9">
      <c r="B38" s="4">
        <v>2012</v>
      </c>
      <c r="C38" s="4">
        <f>$C$21</f>
        <v>150</v>
      </c>
      <c r="D38" s="4">
        <f>$B$16*C38</f>
        <v>4815000</v>
      </c>
      <c r="E38" s="4">
        <f>$D$21</f>
        <v>3666100</v>
      </c>
      <c r="F38" s="4">
        <f>$E$21</f>
        <v>168525</v>
      </c>
      <c r="G38" s="4">
        <f>E38+F38</f>
        <v>3834625</v>
      </c>
      <c r="H38" s="4">
        <f>D38-G38</f>
        <v>980375</v>
      </c>
    </row>
    <row r="39" spans="2:9">
      <c r="B39" s="4">
        <v>2013</v>
      </c>
      <c r="C39" s="4">
        <f>$C$21</f>
        <v>150</v>
      </c>
      <c r="D39" s="4">
        <f>$B$16*C39</f>
        <v>4815000</v>
      </c>
      <c r="E39" s="4">
        <f>$D$21</f>
        <v>3666100</v>
      </c>
      <c r="F39" s="4">
        <f>$E$21</f>
        <v>168525</v>
      </c>
      <c r="G39" s="4">
        <f>E39+F39</f>
        <v>3834625</v>
      </c>
      <c r="H39" s="4">
        <f>D39-G39</f>
        <v>980375</v>
      </c>
    </row>
    <row r="40" spans="2:9">
      <c r="B40" s="84"/>
      <c r="C40" s="83" t="s">
        <v>125</v>
      </c>
      <c r="D40" s="4"/>
      <c r="E40" s="4"/>
      <c r="F40" s="4"/>
      <c r="G40" s="4"/>
      <c r="H40" s="4"/>
    </row>
    <row r="41" spans="2:9">
      <c r="B41" s="82" t="s">
        <v>124</v>
      </c>
      <c r="C41" s="82" t="s">
        <v>123</v>
      </c>
      <c r="D41" s="82" t="s">
        <v>122</v>
      </c>
      <c r="E41" s="82" t="s">
        <v>121</v>
      </c>
      <c r="F41" s="82" t="s">
        <v>120</v>
      </c>
      <c r="G41" s="82" t="s">
        <v>119</v>
      </c>
      <c r="H41" s="82" t="s">
        <v>118</v>
      </c>
    </row>
    <row r="42" spans="2:9">
      <c r="B42" s="4">
        <v>2009</v>
      </c>
      <c r="C42" s="4">
        <v>240</v>
      </c>
      <c r="D42" s="4">
        <f>$B$16*C42</f>
        <v>7704000</v>
      </c>
      <c r="E42" s="4">
        <f>$D$22</f>
        <v>5865600</v>
      </c>
      <c r="F42" s="4">
        <f>$E$22</f>
        <v>269640</v>
      </c>
      <c r="G42" s="4">
        <f>E42+F42</f>
        <v>6135240</v>
      </c>
      <c r="H42" s="4">
        <f>D42-G42</f>
        <v>1568760</v>
      </c>
      <c r="I42" s="81">
        <f>((SUM(H42:H46)/(1.1)^5)-F22)</f>
        <v>4849382.6738113994</v>
      </c>
    </row>
    <row r="43" spans="2:9">
      <c r="B43" s="4">
        <v>2010</v>
      </c>
      <c r="C43" s="4">
        <v>240</v>
      </c>
      <c r="D43" s="4">
        <f>$B$16*C43</f>
        <v>7704000</v>
      </c>
      <c r="E43" s="4">
        <f>$D$22</f>
        <v>5865600</v>
      </c>
      <c r="F43" s="4">
        <f>$E$22</f>
        <v>269640</v>
      </c>
      <c r="G43" s="4">
        <f>E43+F43</f>
        <v>6135240</v>
      </c>
      <c r="H43" s="4">
        <f>D43-G43</f>
        <v>1568760</v>
      </c>
    </row>
    <row r="44" spans="2:9">
      <c r="B44" s="4">
        <v>2011</v>
      </c>
      <c r="C44" s="4">
        <v>240</v>
      </c>
      <c r="D44" s="4">
        <f>$B$16*C44</f>
        <v>7704000</v>
      </c>
      <c r="E44" s="4">
        <f>$D$22</f>
        <v>5865600</v>
      </c>
      <c r="F44" s="4">
        <f>$E$22</f>
        <v>269640</v>
      </c>
      <c r="G44" s="4">
        <f>E44+F44</f>
        <v>6135240</v>
      </c>
      <c r="H44" s="4">
        <f>D44-G44</f>
        <v>1568760</v>
      </c>
    </row>
    <row r="45" spans="2:9">
      <c r="B45" s="4">
        <v>2012</v>
      </c>
      <c r="C45" s="4">
        <v>240</v>
      </c>
      <c r="D45" s="4">
        <f>$B$16*C45</f>
        <v>7704000</v>
      </c>
      <c r="E45" s="4">
        <f>$D$22</f>
        <v>5865600</v>
      </c>
      <c r="F45" s="4">
        <f>$E$22</f>
        <v>269640</v>
      </c>
      <c r="G45" s="4">
        <f>E45+F45</f>
        <v>6135240</v>
      </c>
      <c r="H45" s="4">
        <f>D45-G45</f>
        <v>1568760</v>
      </c>
    </row>
    <row r="46" spans="2:9">
      <c r="B46" s="4">
        <v>2013</v>
      </c>
      <c r="C46" s="4">
        <v>240</v>
      </c>
      <c r="D46" s="4">
        <f>$B$16*C46</f>
        <v>7704000</v>
      </c>
      <c r="E46" s="4">
        <f>$D$22</f>
        <v>5865600</v>
      </c>
      <c r="F46" s="4">
        <f>$E$22</f>
        <v>269640</v>
      </c>
      <c r="G46" s="4">
        <f>E46+F46</f>
        <v>6135240</v>
      </c>
      <c r="H46" s="4">
        <f>D46-G46</f>
        <v>1568760</v>
      </c>
    </row>
  </sheetData>
  <mergeCells count="6">
    <mergeCell ref="A1:B1"/>
    <mergeCell ref="A6:B6"/>
    <mergeCell ref="C6:D6"/>
    <mergeCell ref="E6:F6"/>
    <mergeCell ref="C1:D1"/>
    <mergeCell ref="E1:F1"/>
  </mergeCells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24:E24"/>
  <sheetViews>
    <sheetView workbookViewId="0">
      <selection activeCell="F33" sqref="F33"/>
    </sheetView>
  </sheetViews>
  <sheetFormatPr defaultColWidth="11.42578125" defaultRowHeight="12.75"/>
  <cols>
    <col min="1" max="1" width="5.5703125" customWidth="1"/>
    <col min="2" max="2" width="9.7109375" customWidth="1"/>
    <col min="3" max="3" width="11.42578125" hidden="1" customWidth="1"/>
    <col min="4" max="4" width="10.28515625" hidden="1" customWidth="1"/>
    <col min="5" max="5" width="11.42578125" hidden="1" customWidth="1"/>
    <col min="6" max="6" width="45.7109375" customWidth="1"/>
    <col min="7" max="7" width="12.42578125" customWidth="1"/>
    <col min="8" max="8" width="14.85546875" customWidth="1"/>
  </cols>
  <sheetData>
    <row r="24" spans="3:4">
      <c r="C24" s="2" t="s">
        <v>21</v>
      </c>
      <c r="D24" s="2">
        <f>SUM(D3:D20)</f>
        <v>0</v>
      </c>
    </row>
  </sheetData>
  <phoneticPr fontId="2" type="noConversion"/>
  <pageMargins left="0.75" right="0.75" top="1" bottom="1" header="0" footer="0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user</cp:lastModifiedBy>
  <dcterms:created xsi:type="dcterms:W3CDTF">2009-08-07T18:02:03Z</dcterms:created>
  <dcterms:modified xsi:type="dcterms:W3CDTF">2009-09-21T15:37:13Z</dcterms:modified>
</cp:coreProperties>
</file>