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5" yWindow="-30" windowWidth="15270" windowHeight="8985" tabRatio="809"/>
  </bookViews>
  <sheets>
    <sheet name="Anexo1 - Capacidad Instalada" sheetId="17" r:id="rId1"/>
    <sheet name="Anexo2 - Activos Fijos" sheetId="1" r:id="rId2"/>
    <sheet name="Anexo3 - Depreciación" sheetId="8" r:id="rId3"/>
    <sheet name="Anexo4 - Amortización Prestamo" sheetId="21" r:id="rId4"/>
    <sheet name="Anexo5 - Deducciones Diferidas" sheetId="23" r:id="rId5"/>
    <sheet name="Anexo6 - Estado Resultados" sheetId="11" r:id="rId6"/>
    <sheet name="Anexo - TIR y VAN" sheetId="22" r:id="rId7"/>
    <sheet name="Anexo - Presupuesto Personal" sheetId="7" r:id="rId8"/>
    <sheet name="Anexo - Capital Trabajo" sheetId="2" r:id="rId9"/>
    <sheet name="Anexo - Presuesto de Ingresos" sheetId="6" r:id="rId10"/>
    <sheet name="Anexo - Otros Gastos" sheetId="3" r:id="rId11"/>
    <sheet name="Anexo - Estrategia Publicidad" sheetId="13" r:id="rId12"/>
    <sheet name="Anexo - Flujo de Caja" sheetId="9" r:id="rId13"/>
  </sheets>
  <definedNames>
    <definedName name="Beg_Bal">'Anexo4 - Amortización Prestamo'!$C$15:$C$374</definedName>
    <definedName name="Data">'Anexo4 - Amortización Prestamo'!$A$15:$I$374</definedName>
    <definedName name="End_Bal">'Anexo4 - Amortización Prestamo'!$I$15:$I$374</definedName>
    <definedName name="Extra_Pay">'Anexo4 - Amortización Prestamo'!$E$15:$E$374</definedName>
    <definedName name="Full_Print">'Anexo4 - Amortización Prestamo'!$A$1:$I$374</definedName>
    <definedName name="Header_Row">ROW('Anexo4 - Amortización Prestamo'!$14:$14)</definedName>
    <definedName name="Int">'Anexo4 - Amortización Prestamo'!$H$15:$H$374</definedName>
    <definedName name="Interest_Rate">'Anexo4 - Amortización Prestamo'!$D$5</definedName>
    <definedName name="Last_Row" localSheetId="6">IF('Anexo - TIR y VAN'!Values_Entered,Header_Row+'Anexo - TIR y VAN'!Number_of_Payments,Header_Row)</definedName>
    <definedName name="Last_Row" localSheetId="4">IF('Anexo5 - Deducciones Diferidas'!Values_Entered,Header_Row+'Anexo5 - Deducciones Diferidas'!Number_of_Payments,Header_Row)</definedName>
    <definedName name="Last_Row">IF(Values_Entered,Header_Row+Number_of_Payments,Header_Row)</definedName>
    <definedName name="Loan_Amount">'Anexo4 - Amortización Prestamo'!$D$4</definedName>
    <definedName name="Loan_Start">'Anexo4 - Amortización Prestamo'!$D$8</definedName>
    <definedName name="Loan_Years">'Anexo4 - Amortización Prestamo'!$D$6</definedName>
    <definedName name="Num_Pmt_Per_Year">'Anexo4 - Amortización Prestamo'!$D$7</definedName>
    <definedName name="Number_of_Payments" localSheetId="6">MATCH(0.01,End_Bal,-1)+1</definedName>
    <definedName name="Number_of_Payments" localSheetId="4">MATCH(0.01,End_Bal,-1)+1</definedName>
    <definedName name="Number_of_Payments">MATCH(0.01,End_Bal,-1)+1</definedName>
    <definedName name="Pay_Date">'Anexo4 - Amortización Prestamo'!$B$15:$B$374</definedName>
    <definedName name="Pay_Num">'Anexo4 - Amortización Prestamo'!$A$15:$A$374</definedName>
    <definedName name="Payment_Date" localSheetId="6">DATE(YEAR(Loan_Start),MONTH(Loan_Start)+Payment_Number,DAY(Loan_Start))</definedName>
    <definedName name="Payment_Date" localSheetId="4">DATE(YEAR(Loan_Start),MONTH(Loan_Start)+Payment_Number,DAY(Loan_Start))</definedName>
    <definedName name="Payment_Date">DATE(YEAR(Loan_Start),MONTH(Loan_Start)+Payment_Number,DAY(Loan_Start))</definedName>
    <definedName name="Princ">'Anexo4 - Amortización Prestamo'!$G$15:$G$374</definedName>
    <definedName name="_xlnm.Print_Area" localSheetId="8">'Anexo - Capital Trabajo'!$A$1:$N$12</definedName>
    <definedName name="_xlnm.Print_Area" localSheetId="10">'Anexo - Otros Gastos'!$A$44:$D$75</definedName>
    <definedName name="_xlnm.Print_Area" localSheetId="9">'Anexo - Presuesto de Ingresos'!$A$1:$U$40</definedName>
    <definedName name="_xlnm.Print_Area" localSheetId="3">'Anexo4 - Amortización Prestamo'!$A$1:$I$51</definedName>
    <definedName name="Print_Area_Reset" localSheetId="6">OFFSET(Full_Print,0,0,'Anexo - TIR y VAN'!Last_Row)</definedName>
    <definedName name="Print_Area_Reset" localSheetId="4">OFFSET(Full_Print,0,0,'Anexo5 - Deducciones Diferidas'!Last_Row)</definedName>
    <definedName name="Print_Area_Reset">OFFSET(Full_Print,0,0,Last_Row)</definedName>
    <definedName name="_xlnm.Print_Titles" localSheetId="3">'Anexo4 - Amortización Prestamo'!$13:$14</definedName>
    <definedName name="Sched_Pay">'Anexo4 - Amortización Prestamo'!$D$15:$D$374</definedName>
    <definedName name="Scheduled_Extra_Payments">'Anexo4 - Amortización Prestamo'!$D$9</definedName>
    <definedName name="Scheduled_Interest_Rate">'Anexo4 - Amortización Prestamo'!$D$5</definedName>
    <definedName name="Scheduled_Monthly_Payment">'Anexo4 - Amortización Prestamo'!$H$4</definedName>
    <definedName name="Total_Interest">'Anexo4 - Amortización Prestamo'!$H$8</definedName>
    <definedName name="Total_Pay">'Anexo4 - Amortización Prestamo'!$F$15:$F$374</definedName>
    <definedName name="Total_Payment" localSheetId="6">Scheduled_Payment+Extra_Payment</definedName>
    <definedName name="Total_Payment" localSheetId="4">Scheduled_Payment+Extra_Payment</definedName>
    <definedName name="Total_Payment">Scheduled_Payment+Extra_Payment</definedName>
    <definedName name="Values_Entered" localSheetId="6">IF(Loan_Amount*Interest_Rate*Loan_Years*Loan_Start&gt;0,1,0)</definedName>
    <definedName name="Values_Entered" localSheetId="4">IF(Loan_Amount*Interest_Rate*Loan_Years*Loan_Start&gt;0,1,0)</definedName>
    <definedName name="Values_Entered">IF(Loan_Amount*Interest_Rate*Loan_Years*Loan_Start&gt;0,1,0)</definedName>
  </definedNames>
  <calcPr calcId="124519" fullCalcOnLoad="1"/>
</workbook>
</file>

<file path=xl/calcChain.xml><?xml version="1.0" encoding="utf-8"?>
<calcChain xmlns="http://schemas.openxmlformats.org/spreadsheetml/2006/main">
  <c r="B27" i="3"/>
  <c r="N27" s="1"/>
  <c r="D4" i="1"/>
  <c r="D5"/>
  <c r="D6"/>
  <c r="D8"/>
  <c r="C4" i="8" s="1"/>
  <c r="E6" s="1"/>
  <c r="D11" i="1"/>
  <c r="D12"/>
  <c r="D16" s="1"/>
  <c r="C13" i="8" s="1"/>
  <c r="D13" i="1"/>
  <c r="D14"/>
  <c r="D19"/>
  <c r="D20"/>
  <c r="D21"/>
  <c r="D22"/>
  <c r="D23"/>
  <c r="C26" i="8" s="1"/>
  <c r="D26" i="1"/>
  <c r="D27"/>
  <c r="D33" s="1"/>
  <c r="C57" i="8" s="1"/>
  <c r="D28" i="1"/>
  <c r="D29"/>
  <c r="D30"/>
  <c r="D31"/>
  <c r="D4" i="21"/>
  <c r="A15" s="1"/>
  <c r="H4"/>
  <c r="C15"/>
  <c r="N3" i="3"/>
  <c r="O3" s="1"/>
  <c r="C4"/>
  <c r="D4"/>
  <c r="E4"/>
  <c r="F4"/>
  <c r="G4"/>
  <c r="H4"/>
  <c r="I4"/>
  <c r="J4"/>
  <c r="K4"/>
  <c r="L4"/>
  <c r="M4"/>
  <c r="N5"/>
  <c r="O5"/>
  <c r="N6"/>
  <c r="O6"/>
  <c r="P6" s="1"/>
  <c r="Q6" s="1"/>
  <c r="R6" s="1"/>
  <c r="N7"/>
  <c r="O7"/>
  <c r="N8"/>
  <c r="O8"/>
  <c r="P8" s="1"/>
  <c r="Q8" s="1"/>
  <c r="R8" s="1"/>
  <c r="N9"/>
  <c r="O9"/>
  <c r="O10"/>
  <c r="O11"/>
  <c r="O12"/>
  <c r="O13"/>
  <c r="O14"/>
  <c r="N41"/>
  <c r="O41" s="1"/>
  <c r="E7" i="8"/>
  <c r="E29"/>
  <c r="P3" i="3"/>
  <c r="P5"/>
  <c r="P7"/>
  <c r="P9"/>
  <c r="P10"/>
  <c r="P11"/>
  <c r="P12"/>
  <c r="P13"/>
  <c r="P14"/>
  <c r="P41"/>
  <c r="E8" i="8"/>
  <c r="E17"/>
  <c r="E60"/>
  <c r="E44"/>
  <c r="Q3" i="3"/>
  <c r="Q5"/>
  <c r="Q7"/>
  <c r="Q9"/>
  <c r="Q10"/>
  <c r="Q11"/>
  <c r="Q12"/>
  <c r="Q13"/>
  <c r="Q14"/>
  <c r="Q39"/>
  <c r="Q41"/>
  <c r="E25" i="11"/>
  <c r="E18" i="8"/>
  <c r="E27"/>
  <c r="F27" s="1"/>
  <c r="E61"/>
  <c r="E9"/>
  <c r="R12" i="9"/>
  <c r="D43" i="6"/>
  <c r="B22" i="3" s="1"/>
  <c r="R13"/>
  <c r="R12"/>
  <c r="R11"/>
  <c r="R10"/>
  <c r="R9"/>
  <c r="R7"/>
  <c r="R5"/>
  <c r="R3"/>
  <c r="O10" i="6"/>
  <c r="N10"/>
  <c r="M10"/>
  <c r="L10"/>
  <c r="K10"/>
  <c r="J10"/>
  <c r="I10"/>
  <c r="H10"/>
  <c r="G10"/>
  <c r="F10"/>
  <c r="E10"/>
  <c r="O16"/>
  <c r="N16"/>
  <c r="M16"/>
  <c r="L16"/>
  <c r="K16"/>
  <c r="J16"/>
  <c r="I16"/>
  <c r="H16"/>
  <c r="G16"/>
  <c r="F16"/>
  <c r="E16"/>
  <c r="O22"/>
  <c r="N22"/>
  <c r="M22"/>
  <c r="L22"/>
  <c r="K22"/>
  <c r="J22"/>
  <c r="I22"/>
  <c r="I24"/>
  <c r="H22"/>
  <c r="G22"/>
  <c r="F22"/>
  <c r="E22"/>
  <c r="E24" s="1"/>
  <c r="D22"/>
  <c r="D16"/>
  <c r="D10"/>
  <c r="O4"/>
  <c r="O6"/>
  <c r="N4"/>
  <c r="M4"/>
  <c r="L4"/>
  <c r="K4"/>
  <c r="K6" s="1"/>
  <c r="K28" s="1"/>
  <c r="K34" s="1"/>
  <c r="J4"/>
  <c r="I4"/>
  <c r="H4"/>
  <c r="G4"/>
  <c r="F4"/>
  <c r="E4"/>
  <c r="D4"/>
  <c r="D57" i="3"/>
  <c r="O6" i="9"/>
  <c r="Q5" i="6"/>
  <c r="Q23"/>
  <c r="R23" s="1"/>
  <c r="R5"/>
  <c r="S5" s="1"/>
  <c r="T5" s="1"/>
  <c r="S23"/>
  <c r="T23"/>
  <c r="R39" i="3"/>
  <c r="F25" i="11"/>
  <c r="E43" i="6"/>
  <c r="F43"/>
  <c r="G43"/>
  <c r="H43"/>
  <c r="I43"/>
  <c r="J43"/>
  <c r="K43"/>
  <c r="L43"/>
  <c r="M43"/>
  <c r="N43"/>
  <c r="O43"/>
  <c r="J23" i="7"/>
  <c r="J24"/>
  <c r="J25"/>
  <c r="J26"/>
  <c r="J27"/>
  <c r="J28"/>
  <c r="J29"/>
  <c r="J34"/>
  <c r="J35"/>
  <c r="J36"/>
  <c r="J37"/>
  <c r="Q10" i="6"/>
  <c r="C13" i="11" s="1"/>
  <c r="N12" i="6"/>
  <c r="M24"/>
  <c r="L24"/>
  <c r="K18"/>
  <c r="J6"/>
  <c r="J18"/>
  <c r="I12"/>
  <c r="H6"/>
  <c r="H24"/>
  <c r="H12"/>
  <c r="G24"/>
  <c r="G12"/>
  <c r="Q16"/>
  <c r="C14" i="11" s="1"/>
  <c r="R16" i="6"/>
  <c r="D14" i="11" s="1"/>
  <c r="Q4" i="6"/>
  <c r="Q6"/>
  <c r="C5" i="11" s="1"/>
  <c r="E45" i="6"/>
  <c r="L6"/>
  <c r="Q17"/>
  <c r="R17" s="1"/>
  <c r="Q11"/>
  <c r="R11" s="1"/>
  <c r="S11" s="1"/>
  <c r="T11" s="1"/>
  <c r="C30" i="7"/>
  <c r="D30"/>
  <c r="E30"/>
  <c r="P9" s="1"/>
  <c r="F30"/>
  <c r="B30"/>
  <c r="L29"/>
  <c r="K29"/>
  <c r="H29"/>
  <c r="L28"/>
  <c r="K28"/>
  <c r="H28"/>
  <c r="M28" s="1"/>
  <c r="L27"/>
  <c r="K27"/>
  <c r="H27"/>
  <c r="M27" s="1"/>
  <c r="L26"/>
  <c r="K26"/>
  <c r="H26"/>
  <c r="M26" s="1"/>
  <c r="R14" i="3"/>
  <c r="F44" i="8"/>
  <c r="E45"/>
  <c r="F45" s="1"/>
  <c r="F46" s="1"/>
  <c r="F47" s="1"/>
  <c r="F48" s="1"/>
  <c r="F49" s="1"/>
  <c r="F50" s="1"/>
  <c r="F51" s="1"/>
  <c r="F52" s="1"/>
  <c r="F53" s="1"/>
  <c r="E46"/>
  <c r="E47"/>
  <c r="E48"/>
  <c r="E49"/>
  <c r="E50"/>
  <c r="E51"/>
  <c r="E52"/>
  <c r="E53"/>
  <c r="H25" i="7"/>
  <c r="M25" s="1"/>
  <c r="H24"/>
  <c r="I24" s="1"/>
  <c r="N24" s="1"/>
  <c r="H23"/>
  <c r="M23" s="1"/>
  <c r="H37"/>
  <c r="I37" s="1"/>
  <c r="N37" s="1"/>
  <c r="H36"/>
  <c r="H35"/>
  <c r="I35" s="1"/>
  <c r="N35" s="1"/>
  <c r="H34"/>
  <c r="M35"/>
  <c r="M24"/>
  <c r="O8"/>
  <c r="R20" i="9"/>
  <c r="R21"/>
  <c r="S12"/>
  <c r="S20"/>
  <c r="R34" i="3"/>
  <c r="Q34"/>
  <c r="C13" i="17"/>
  <c r="F6" i="6"/>
  <c r="F12"/>
  <c r="F28" s="1"/>
  <c r="F34" s="1"/>
  <c r="F18"/>
  <c r="F24"/>
  <c r="D6"/>
  <c r="D24"/>
  <c r="J24"/>
  <c r="N24"/>
  <c r="E12"/>
  <c r="E18"/>
  <c r="G18"/>
  <c r="H18"/>
  <c r="I18"/>
  <c r="J12"/>
  <c r="J28" s="1"/>
  <c r="J32" s="1"/>
  <c r="K12"/>
  <c r="L12"/>
  <c r="L18"/>
  <c r="M12"/>
  <c r="M18"/>
  <c r="N6"/>
  <c r="N18"/>
  <c r="O18"/>
  <c r="O12"/>
  <c r="O5" i="9"/>
  <c r="O11"/>
  <c r="B12" i="7"/>
  <c r="B16" s="1"/>
  <c r="B15" i="9" s="1"/>
  <c r="B38" i="7"/>
  <c r="K23"/>
  <c r="K24"/>
  <c r="K25"/>
  <c r="K34"/>
  <c r="K35"/>
  <c r="K38" s="1"/>
  <c r="K36"/>
  <c r="K37"/>
  <c r="L23"/>
  <c r="L24"/>
  <c r="L30" s="1"/>
  <c r="L25"/>
  <c r="L34"/>
  <c r="L35"/>
  <c r="L38" s="1"/>
  <c r="L36"/>
  <c r="L37"/>
  <c r="E38"/>
  <c r="O5"/>
  <c r="O7"/>
  <c r="F38"/>
  <c r="Q9" s="1"/>
  <c r="R9" s="1"/>
  <c r="S9" s="1"/>
  <c r="B15" i="3"/>
  <c r="C19" i="9" s="1"/>
  <c r="D13" i="17"/>
  <c r="B9" i="2"/>
  <c r="D71" i="3"/>
  <c r="E15"/>
  <c r="F19" i="9"/>
  <c r="F15" i="3"/>
  <c r="G19" i="9"/>
  <c r="G15" i="3"/>
  <c r="H19" i="9"/>
  <c r="I15" i="3"/>
  <c r="J19" i="9"/>
  <c r="J15" i="3"/>
  <c r="K19" i="9"/>
  <c r="K15" i="3"/>
  <c r="L19" i="9"/>
  <c r="M15" i="3"/>
  <c r="N19" i="9"/>
  <c r="C38" i="7"/>
  <c r="D38"/>
  <c r="C6" i="6"/>
  <c r="C12"/>
  <c r="C18"/>
  <c r="C24"/>
  <c r="C26"/>
  <c r="P26"/>
  <c r="P43" s="1"/>
  <c r="H6" i="13"/>
  <c r="H10" s="1"/>
  <c r="B39" i="3" s="1"/>
  <c r="H7" i="13"/>
  <c r="H8"/>
  <c r="H20"/>
  <c r="B40" i="3"/>
  <c r="C40" s="1"/>
  <c r="J6" i="13"/>
  <c r="J7"/>
  <c r="J10" s="1"/>
  <c r="J8"/>
  <c r="I15"/>
  <c r="I16"/>
  <c r="J16"/>
  <c r="K16" s="1"/>
  <c r="L16" s="1"/>
  <c r="I17"/>
  <c r="J17"/>
  <c r="K17" s="1"/>
  <c r="L17" s="1"/>
  <c r="I18"/>
  <c r="J18"/>
  <c r="K18" s="1"/>
  <c r="L18" s="1"/>
  <c r="I19"/>
  <c r="J19"/>
  <c r="K19" s="1"/>
  <c r="L19" s="1"/>
  <c r="I6"/>
  <c r="I7"/>
  <c r="I8"/>
  <c r="I10"/>
  <c r="O39" i="3" s="1"/>
  <c r="D5" i="2"/>
  <c r="E5"/>
  <c r="F5"/>
  <c r="G5"/>
  <c r="H5"/>
  <c r="I5"/>
  <c r="J5"/>
  <c r="K5"/>
  <c r="L5"/>
  <c r="M5"/>
  <c r="N5"/>
  <c r="H38" i="7"/>
  <c r="G38"/>
  <c r="H30"/>
  <c r="G30"/>
  <c r="E40" i="3"/>
  <c r="D15"/>
  <c r="E19" i="9"/>
  <c r="H15" i="3"/>
  <c r="I19" i="9"/>
  <c r="L15" i="3"/>
  <c r="M19" i="9"/>
  <c r="I27" i="7"/>
  <c r="N27" s="1"/>
  <c r="I28"/>
  <c r="N28" s="1"/>
  <c r="I26"/>
  <c r="N26" s="1"/>
  <c r="J15" i="13"/>
  <c r="K15" s="1"/>
  <c r="K20" s="1"/>
  <c r="Q40" i="3" s="1"/>
  <c r="I23" i="7"/>
  <c r="O24" i="6"/>
  <c r="F9" i="7"/>
  <c r="O9" s="1"/>
  <c r="C15" i="3"/>
  <c r="D19" i="9" s="1"/>
  <c r="B13"/>
  <c r="O13" s="1"/>
  <c r="B27" i="11"/>
  <c r="C7" i="23" s="1"/>
  <c r="F40" i="3"/>
  <c r="N28" i="6"/>
  <c r="N32" s="1"/>
  <c r="P16"/>
  <c r="R10"/>
  <c r="D13" i="11" s="1"/>
  <c r="E7" i="2"/>
  <c r="G7"/>
  <c r="I7"/>
  <c r="K7"/>
  <c r="N23" i="7"/>
  <c r="E21" i="8"/>
  <c r="E22"/>
  <c r="E19"/>
  <c r="E20"/>
  <c r="E23"/>
  <c r="L15" i="13"/>
  <c r="L20" s="1"/>
  <c r="R40" i="3" s="1"/>
  <c r="R42" s="1"/>
  <c r="P22" i="6"/>
  <c r="O28"/>
  <c r="R4"/>
  <c r="S4" s="1"/>
  <c r="T4" s="1"/>
  <c r="E6"/>
  <c r="L28"/>
  <c r="L32" s="1"/>
  <c r="S10"/>
  <c r="B14" i="11"/>
  <c r="N34" i="6"/>
  <c r="N36" s="1"/>
  <c r="I36" i="7"/>
  <c r="N36" s="1"/>
  <c r="M36"/>
  <c r="D18" i="6"/>
  <c r="P18" s="1"/>
  <c r="B7" i="11"/>
  <c r="C7" i="2"/>
  <c r="I20" i="13"/>
  <c r="O40" i="3" s="1"/>
  <c r="J20" i="13"/>
  <c r="P40" i="3" s="1"/>
  <c r="C28" i="6"/>
  <c r="R41" i="3"/>
  <c r="H5" i="21"/>
  <c r="I34" i="7"/>
  <c r="I38" s="1"/>
  <c r="M34"/>
  <c r="M29"/>
  <c r="M30"/>
  <c r="I29"/>
  <c r="N29"/>
  <c r="S16" i="6"/>
  <c r="G6"/>
  <c r="G28" s="1"/>
  <c r="G32" s="1"/>
  <c r="F7" i="2"/>
  <c r="I6" i="6"/>
  <c r="I28"/>
  <c r="I34" s="1"/>
  <c r="H7" i="2"/>
  <c r="K4" i="7"/>
  <c r="K30"/>
  <c r="G4" s="1"/>
  <c r="G6" s="1"/>
  <c r="E28" i="6"/>
  <c r="E34" s="1"/>
  <c r="M7" i="2"/>
  <c r="D40" i="3"/>
  <c r="J40"/>
  <c r="P11" i="9"/>
  <c r="P10" i="6"/>
  <c r="B13" i="11" s="1"/>
  <c r="D12" i="6"/>
  <c r="D28" s="1"/>
  <c r="D34" s="1"/>
  <c r="Q18"/>
  <c r="C7" i="11" s="1"/>
  <c r="K24" i="6"/>
  <c r="P24"/>
  <c r="B8" i="11" s="1"/>
  <c r="J7" i="2"/>
  <c r="M6" i="6"/>
  <c r="M28"/>
  <c r="M34" s="1"/>
  <c r="L7" i="2"/>
  <c r="Q22" i="6"/>
  <c r="N7" i="2"/>
  <c r="O5"/>
  <c r="P5" s="1"/>
  <c r="D7"/>
  <c r="H28" i="6"/>
  <c r="J38" i="7"/>
  <c r="J30"/>
  <c r="C4"/>
  <c r="R6" i="6"/>
  <c r="D5" i="11" s="1"/>
  <c r="L34" i="6"/>
  <c r="L36" s="1"/>
  <c r="D32"/>
  <c r="E4" i="7"/>
  <c r="E6" s="1"/>
  <c r="E12" s="1"/>
  <c r="D4"/>
  <c r="D6" s="1"/>
  <c r="D12" s="1"/>
  <c r="E32" i="8"/>
  <c r="E33"/>
  <c r="E35"/>
  <c r="E36"/>
  <c r="E34"/>
  <c r="Q26" i="6"/>
  <c r="Q43" s="1"/>
  <c r="Q24"/>
  <c r="C8" i="11" s="1"/>
  <c r="M32" i="6"/>
  <c r="Q11" i="9"/>
  <c r="E32" i="6"/>
  <c r="E36" s="1"/>
  <c r="D8" i="9" s="1"/>
  <c r="J4" i="7"/>
  <c r="J6" s="1"/>
  <c r="J12" s="1"/>
  <c r="M4"/>
  <c r="N4"/>
  <c r="I32" i="6"/>
  <c r="I36" s="1"/>
  <c r="G34"/>
  <c r="S12"/>
  <c r="E6" i="11" s="1"/>
  <c r="D35" i="1"/>
  <c r="B12" i="9"/>
  <c r="B25" s="1"/>
  <c r="B27" s="1"/>
  <c r="H34" i="6"/>
  <c r="H36" s="1"/>
  <c r="H38" s="1"/>
  <c r="H32"/>
  <c r="K32"/>
  <c r="K36" s="1"/>
  <c r="H22" i="13"/>
  <c r="J34" i="6"/>
  <c r="T16"/>
  <c r="F14" i="11" s="1"/>
  <c r="N34" i="7"/>
  <c r="N38" s="1"/>
  <c r="E5" i="8"/>
  <c r="F5" s="1"/>
  <c r="F6" s="1"/>
  <c r="F7" s="1"/>
  <c r="F8" s="1"/>
  <c r="F9" s="1"/>
  <c r="C32" i="6"/>
  <c r="F32"/>
  <c r="F36" s="1"/>
  <c r="R11" i="9"/>
  <c r="P6" i="6"/>
  <c r="B5" i="11" s="1"/>
  <c r="E8" i="9"/>
  <c r="E38" i="6"/>
  <c r="S6"/>
  <c r="E5" i="11" s="1"/>
  <c r="T6" i="6"/>
  <c r="F5" i="11" s="1"/>
  <c r="H8" i="9"/>
  <c r="B10"/>
  <c r="N6" i="7"/>
  <c r="M6"/>
  <c r="M12"/>
  <c r="M16" s="1"/>
  <c r="J36" i="6"/>
  <c r="J38" s="1"/>
  <c r="J40" s="1"/>
  <c r="F38"/>
  <c r="F40"/>
  <c r="E39" i="3"/>
  <c r="E42" s="1"/>
  <c r="F17" i="9" s="1"/>
  <c r="H39" i="3"/>
  <c r="F39"/>
  <c r="F42"/>
  <c r="G17" i="9" s="1"/>
  <c r="G39" i="3"/>
  <c r="B42"/>
  <c r="C17" i="9" s="1"/>
  <c r="M39" i="3"/>
  <c r="D39"/>
  <c r="D42" s="1"/>
  <c r="E17" i="9" s="1"/>
  <c r="C39" i="3"/>
  <c r="C42" s="1"/>
  <c r="D17" i="9" s="1"/>
  <c r="K39" i="3"/>
  <c r="I39"/>
  <c r="L39"/>
  <c r="J39"/>
  <c r="J42"/>
  <c r="K17" i="9" s="1"/>
  <c r="Q5" i="2"/>
  <c r="R5" s="1"/>
  <c r="O12" i="9"/>
  <c r="G36" i="6"/>
  <c r="G38" s="1"/>
  <c r="G40" s="1"/>
  <c r="M36"/>
  <c r="D36"/>
  <c r="G8" i="9"/>
  <c r="I38" i="6"/>
  <c r="I40" s="1"/>
  <c r="M15" i="9"/>
  <c r="C8"/>
  <c r="D38" i="6"/>
  <c r="D40"/>
  <c r="L8" i="9"/>
  <c r="M38" i="6"/>
  <c r="M40"/>
  <c r="B5" i="22"/>
  <c r="H15" i="21" l="1"/>
  <c r="B33" i="3" s="1"/>
  <c r="C21" i="9" s="1"/>
  <c r="A16" i="21"/>
  <c r="D15"/>
  <c r="B15"/>
  <c r="K40" i="3"/>
  <c r="K42" s="1"/>
  <c r="L17" i="9" s="1"/>
  <c r="S5" i="2"/>
  <c r="J8" i="9"/>
  <c r="K38" i="6"/>
  <c r="K40"/>
  <c r="D16" i="7"/>
  <c r="D15" i="9"/>
  <c r="C7"/>
  <c r="C10" s="1"/>
  <c r="B31"/>
  <c r="J15"/>
  <c r="J16" i="7"/>
  <c r="E16"/>
  <c r="E15" i="9"/>
  <c r="L38" i="6"/>
  <c r="K8" i="9"/>
  <c r="L40" i="6"/>
  <c r="M8" i="9"/>
  <c r="N38" i="6"/>
  <c r="N40" s="1"/>
  <c r="S17" i="9"/>
  <c r="F24" i="11"/>
  <c r="C15"/>
  <c r="R22" i="6"/>
  <c r="K6" i="7"/>
  <c r="K12" s="1"/>
  <c r="L4"/>
  <c r="I8" i="9"/>
  <c r="F8"/>
  <c r="N39" i="3"/>
  <c r="H40" i="6"/>
  <c r="P28"/>
  <c r="P34" s="1"/>
  <c r="B9" i="11" s="1"/>
  <c r="B10" s="1"/>
  <c r="I22" i="13"/>
  <c r="S11" i="9"/>
  <c r="P12" i="6"/>
  <c r="B6" i="11" s="1"/>
  <c r="C6" i="7"/>
  <c r="C12" s="1"/>
  <c r="F4"/>
  <c r="I4"/>
  <c r="G12"/>
  <c r="H4"/>
  <c r="E14" i="11"/>
  <c r="C34" i="6"/>
  <c r="C38"/>
  <c r="C36"/>
  <c r="E13" i="11"/>
  <c r="T10" i="6"/>
  <c r="O34"/>
  <c r="O32"/>
  <c r="P39" i="3"/>
  <c r="P42" s="1"/>
  <c r="J22" i="13"/>
  <c r="R18" i="6"/>
  <c r="D7" i="11" s="1"/>
  <c r="S17" i="6"/>
  <c r="T17" s="1"/>
  <c r="T18" s="1"/>
  <c r="F7" i="11" s="1"/>
  <c r="C40" i="6"/>
  <c r="E40"/>
  <c r="O42" i="3"/>
  <c r="M22"/>
  <c r="M20"/>
  <c r="K22"/>
  <c r="K20"/>
  <c r="I22"/>
  <c r="I20"/>
  <c r="G22"/>
  <c r="G20"/>
  <c r="E22"/>
  <c r="E20"/>
  <c r="C22"/>
  <c r="C20"/>
  <c r="E15" i="8"/>
  <c r="E16"/>
  <c r="E14"/>
  <c r="N6" i="2"/>
  <c r="N9" s="1"/>
  <c r="N14" i="9" s="1"/>
  <c r="J6" i="2"/>
  <c r="J9" s="1"/>
  <c r="J14" i="9" s="1"/>
  <c r="F6" i="2"/>
  <c r="F9" s="1"/>
  <c r="F14" i="9" s="1"/>
  <c r="N4" i="3"/>
  <c r="L22"/>
  <c r="L20"/>
  <c r="L23" s="1"/>
  <c r="M18" i="9" s="1"/>
  <c r="M6" i="2"/>
  <c r="M9" s="1"/>
  <c r="M14" i="9" s="1"/>
  <c r="J22" i="3"/>
  <c r="J20"/>
  <c r="K6" i="2"/>
  <c r="K9" s="1"/>
  <c r="K14" i="9" s="1"/>
  <c r="H22" i="3"/>
  <c r="H20"/>
  <c r="H23" s="1"/>
  <c r="I18" i="9" s="1"/>
  <c r="I6" i="2"/>
  <c r="I9" s="1"/>
  <c r="I14" i="9" s="1"/>
  <c r="F22" i="3"/>
  <c r="F20"/>
  <c r="G6" i="2"/>
  <c r="G9" s="1"/>
  <c r="G14" i="9" s="1"/>
  <c r="D22" i="3"/>
  <c r="D20"/>
  <c r="D23" s="1"/>
  <c r="E18" i="9" s="1"/>
  <c r="E6" i="2"/>
  <c r="E9" s="1"/>
  <c r="E14" i="9" s="1"/>
  <c r="E58" i="8"/>
  <c r="C67" s="1"/>
  <c r="E59"/>
  <c r="E57"/>
  <c r="F57" s="1"/>
  <c r="E28"/>
  <c r="F28" s="1"/>
  <c r="F29" s="1"/>
  <c r="E30"/>
  <c r="C69" s="1"/>
  <c r="E31"/>
  <c r="C70" s="1"/>
  <c r="L40" i="3"/>
  <c r="L42" s="1"/>
  <c r="M17" i="9" s="1"/>
  <c r="G40" i="3"/>
  <c r="M40"/>
  <c r="M42" s="1"/>
  <c r="N17" i="9" s="1"/>
  <c r="R12" i="6"/>
  <c r="I40" i="3"/>
  <c r="I42" s="1"/>
  <c r="J17" i="9" s="1"/>
  <c r="I25" i="7"/>
  <c r="N25" s="1"/>
  <c r="N30" s="1"/>
  <c r="H40" i="3"/>
  <c r="H42" s="1"/>
  <c r="I17" i="9" s="1"/>
  <c r="Q12" i="6"/>
  <c r="M37" i="7"/>
  <c r="M38" s="1"/>
  <c r="P4" i="6"/>
  <c r="O7" i="2" s="1"/>
  <c r="P7" s="1"/>
  <c r="Q7" s="1"/>
  <c r="R7" s="1"/>
  <c r="S7" s="1"/>
  <c r="N22" i="3"/>
  <c r="L6" i="2"/>
  <c r="L9" s="1"/>
  <c r="L14" i="9" s="1"/>
  <c r="H6" i="2"/>
  <c r="H9" s="1"/>
  <c r="H14" i="9" s="1"/>
  <c r="D6" i="2"/>
  <c r="D9" s="1"/>
  <c r="D14" i="9" s="1"/>
  <c r="Q42" i="3"/>
  <c r="C6" i="2"/>
  <c r="B20" i="3"/>
  <c r="D16" i="21"/>
  <c r="A17" l="1"/>
  <c r="B16"/>
  <c r="F58" i="8"/>
  <c r="F59" s="1"/>
  <c r="F60" s="1"/>
  <c r="F61" s="1"/>
  <c r="F30"/>
  <c r="F31" s="1"/>
  <c r="F32" s="1"/>
  <c r="F33" s="1"/>
  <c r="F34" s="1"/>
  <c r="F35" s="1"/>
  <c r="F36" s="1"/>
  <c r="C23" i="3"/>
  <c r="D18" i="9" s="1"/>
  <c r="E23" i="3"/>
  <c r="F18" i="9" s="1"/>
  <c r="G23" i="3"/>
  <c r="H18" i="9" s="1"/>
  <c r="I23" i="3"/>
  <c r="J18" i="9" s="1"/>
  <c r="K23" i="3"/>
  <c r="L18" i="9" s="1"/>
  <c r="M23" i="3"/>
  <c r="N18" i="9" s="1"/>
  <c r="E15" i="21"/>
  <c r="F15" s="1"/>
  <c r="G15" s="1"/>
  <c r="Q4" i="7"/>
  <c r="Q7"/>
  <c r="Q8" s="1"/>
  <c r="P7"/>
  <c r="P8" s="1"/>
  <c r="P4"/>
  <c r="C26" i="11"/>
  <c r="D6" i="23"/>
  <c r="D10" s="1"/>
  <c r="C15" i="9"/>
  <c r="C16" i="7"/>
  <c r="E26" i="11"/>
  <c r="F6" i="23"/>
  <c r="F10" s="1"/>
  <c r="F14" i="8"/>
  <c r="F15" s="1"/>
  <c r="F16" s="1"/>
  <c r="F17" s="1"/>
  <c r="F18" s="1"/>
  <c r="C66"/>
  <c r="C24" i="11"/>
  <c r="P17" i="9"/>
  <c r="P32" i="6"/>
  <c r="P36" s="1"/>
  <c r="O36"/>
  <c r="F13" i="11"/>
  <c r="T12" i="6"/>
  <c r="G16" i="7"/>
  <c r="G15" i="9"/>
  <c r="O4" i="7"/>
  <c r="F6"/>
  <c r="F12" s="1"/>
  <c r="K15" i="9"/>
  <c r="K16" i="7"/>
  <c r="I30"/>
  <c r="O6" i="2"/>
  <c r="C9"/>
  <c r="C14" i="9" s="1"/>
  <c r="O22" i="3"/>
  <c r="N20"/>
  <c r="B23"/>
  <c r="C18" i="9" s="1"/>
  <c r="E24" i="11"/>
  <c r="R17" i="9"/>
  <c r="C6" i="11"/>
  <c r="Q28" i="6"/>
  <c r="D6" i="11"/>
  <c r="G6" i="23"/>
  <c r="G10" s="1"/>
  <c r="F26" i="11"/>
  <c r="O4" i="3"/>
  <c r="N15"/>
  <c r="D24" i="11"/>
  <c r="Q17" i="9"/>
  <c r="H6" i="7"/>
  <c r="H12"/>
  <c r="I6"/>
  <c r="I12"/>
  <c r="L6"/>
  <c r="L12"/>
  <c r="D15" i="11"/>
  <c r="S22" i="6"/>
  <c r="R26"/>
  <c r="R43" s="1"/>
  <c r="R24"/>
  <c r="D8" i="11" s="1"/>
  <c r="N40" i="3"/>
  <c r="N42" s="1"/>
  <c r="B24" i="11" s="1"/>
  <c r="F23" i="3"/>
  <c r="G18" i="9" s="1"/>
  <c r="J23" i="3"/>
  <c r="K18" i="9" s="1"/>
  <c r="C68" i="8"/>
  <c r="S18" i="6"/>
  <c r="B15" i="11"/>
  <c r="G42" i="3"/>
  <c r="H17" i="9" s="1"/>
  <c r="O17" s="1"/>
  <c r="I15" i="21" l="1"/>
  <c r="C16" s="1"/>
  <c r="B32" i="3"/>
  <c r="B17" i="21"/>
  <c r="D17"/>
  <c r="A18"/>
  <c r="F15" i="9"/>
  <c r="F16" i="7"/>
  <c r="E15" i="11"/>
  <c r="T22" i="6"/>
  <c r="S24"/>
  <c r="E8" i="11" s="1"/>
  <c r="S26" i="6"/>
  <c r="S43" s="1"/>
  <c r="L16" i="7"/>
  <c r="L15" i="9"/>
  <c r="I16" i="7"/>
  <c r="I15" i="9"/>
  <c r="H15"/>
  <c r="H16" i="7"/>
  <c r="E7" i="11"/>
  <c r="S28" i="6"/>
  <c r="D26" i="11"/>
  <c r="E6" i="23"/>
  <c r="E10" s="1"/>
  <c r="O19" i="9"/>
  <c r="B23" i="11"/>
  <c r="Q34" i="6"/>
  <c r="C9" i="11" s="1"/>
  <c r="C10" s="1"/>
  <c r="Q32" i="6"/>
  <c r="Q36" s="1"/>
  <c r="F6" i="11"/>
  <c r="N8" i="9"/>
  <c r="O8" s="1"/>
  <c r="O10" s="1"/>
  <c r="O38" i="6"/>
  <c r="O40"/>
  <c r="C6" i="23"/>
  <c r="C10" s="1"/>
  <c r="D66" i="8"/>
  <c r="D67" s="1"/>
  <c r="D68" s="1"/>
  <c r="D69" s="1"/>
  <c r="D70" s="1"/>
  <c r="B26" i="11"/>
  <c r="Q11" i="7"/>
  <c r="R4"/>
  <c r="Q6"/>
  <c r="R28" i="6"/>
  <c r="P4" i="3"/>
  <c r="O15"/>
  <c r="O20"/>
  <c r="N23"/>
  <c r="O18" i="9" s="1"/>
  <c r="P22" i="3"/>
  <c r="P6" i="2"/>
  <c r="O9"/>
  <c r="O14" i="9" s="1"/>
  <c r="B16" i="11"/>
  <c r="B17" s="1"/>
  <c r="B19" s="1"/>
  <c r="N11" i="7"/>
  <c r="O6"/>
  <c r="P38" i="6"/>
  <c r="P40" s="1"/>
  <c r="F19" i="8"/>
  <c r="F20" s="1"/>
  <c r="F21" s="1"/>
  <c r="F22" s="1"/>
  <c r="F23" s="1"/>
  <c r="S24" i="9"/>
  <c r="P11" i="7"/>
  <c r="P6"/>
  <c r="P12" s="1"/>
  <c r="B34" i="3" l="1"/>
  <c r="C20" i="9"/>
  <c r="C25" s="1"/>
  <c r="C27" s="1"/>
  <c r="D7" s="1"/>
  <c r="D10" s="1"/>
  <c r="D18" i="21"/>
  <c r="B18"/>
  <c r="A19"/>
  <c r="H16"/>
  <c r="C33" i="3" s="1"/>
  <c r="D21" i="9" s="1"/>
  <c r="E16" i="21"/>
  <c r="P15" i="9"/>
  <c r="P16" i="7"/>
  <c r="C22" i="11"/>
  <c r="Q22" i="3"/>
  <c r="C23" i="11"/>
  <c r="P19" i="9"/>
  <c r="R32" i="6"/>
  <c r="R34"/>
  <c r="D9" i="11" s="1"/>
  <c r="D10" s="1"/>
  <c r="S4" i="7"/>
  <c r="R6"/>
  <c r="R7"/>
  <c r="R8" s="1"/>
  <c r="R11"/>
  <c r="Q40" i="6"/>
  <c r="Q38"/>
  <c r="P8" i="9"/>
  <c r="S34" i="6"/>
  <c r="E9" i="11" s="1"/>
  <c r="E10" s="1"/>
  <c r="S32" i="6"/>
  <c r="S36" s="1"/>
  <c r="T24"/>
  <c r="F15" i="11"/>
  <c r="T26" i="6"/>
  <c r="T43" s="1"/>
  <c r="O11" i="7"/>
  <c r="O12" s="1"/>
  <c r="N12"/>
  <c r="Q6" i="2"/>
  <c r="C16" i="11"/>
  <c r="C17" s="1"/>
  <c r="P9" i="2"/>
  <c r="P14" i="9" s="1"/>
  <c r="O23" i="3"/>
  <c r="P18" i="9" s="1"/>
  <c r="P20" i="3"/>
  <c r="Q4"/>
  <c r="P15"/>
  <c r="C31" i="9"/>
  <c r="C19" i="11"/>
  <c r="F16" i="21" l="1"/>
  <c r="G16" s="1"/>
  <c r="C32" i="3" s="1"/>
  <c r="I16" i="21"/>
  <c r="C17" s="1"/>
  <c r="D19"/>
  <c r="A20"/>
  <c r="B19"/>
  <c r="D23" i="11"/>
  <c r="Q19" i="9"/>
  <c r="Q20" i="3"/>
  <c r="P23"/>
  <c r="Q18" i="9" s="1"/>
  <c r="O16" i="7"/>
  <c r="B22" i="11"/>
  <c r="F8"/>
  <c r="T28" i="6"/>
  <c r="R22" i="3"/>
  <c r="R36" i="6"/>
  <c r="D16" i="11"/>
  <c r="D17" s="1"/>
  <c r="R6" i="2"/>
  <c r="Q9"/>
  <c r="Q14" i="9" s="1"/>
  <c r="R4" i="3"/>
  <c r="R15" s="1"/>
  <c r="Q15"/>
  <c r="N16" i="7"/>
  <c r="N15" i="9"/>
  <c r="H17" i="21"/>
  <c r="D33" i="3" s="1"/>
  <c r="E17" i="21"/>
  <c r="R8" i="9"/>
  <c r="S38" i="6"/>
  <c r="S40" s="1"/>
  <c r="S6" i="7"/>
  <c r="S11"/>
  <c r="S7"/>
  <c r="S8" s="1"/>
  <c r="D19" i="11"/>
  <c r="C34" i="3" l="1"/>
  <c r="D20" i="9"/>
  <c r="D25" s="1"/>
  <c r="D27" s="1"/>
  <c r="D20" i="21"/>
  <c r="A21"/>
  <c r="B20"/>
  <c r="D31" i="9"/>
  <c r="E7"/>
  <c r="E10" s="1"/>
  <c r="E21"/>
  <c r="O15"/>
  <c r="E23" i="11"/>
  <c r="R19" i="9"/>
  <c r="R38" i="6"/>
  <c r="Q8" i="9"/>
  <c r="R40" i="6"/>
  <c r="Q23" i="3"/>
  <c r="R18" i="9" s="1"/>
  <c r="R20" i="3"/>
  <c r="R23" s="1"/>
  <c r="S18" i="9" s="1"/>
  <c r="F17" i="21"/>
  <c r="G17" s="1"/>
  <c r="D32" i="3" s="1"/>
  <c r="S19" i="9"/>
  <c r="F23" i="11"/>
  <c r="E16"/>
  <c r="E17" s="1"/>
  <c r="E19" s="1"/>
  <c r="S6" i="2"/>
  <c r="R9"/>
  <c r="R14" i="9" s="1"/>
  <c r="T34" i="6"/>
  <c r="F9" i="11" s="1"/>
  <c r="F10" s="1"/>
  <c r="T32" i="6"/>
  <c r="T36" s="1"/>
  <c r="A22" i="21" l="1"/>
  <c r="B21"/>
  <c r="D21"/>
  <c r="S8" i="9"/>
  <c r="T40" i="6"/>
  <c r="T38"/>
  <c r="E20" i="9"/>
  <c r="D34" i="3"/>
  <c r="F16" i="11"/>
  <c r="F17" s="1"/>
  <c r="S9" i="2"/>
  <c r="S14" i="9" s="1"/>
  <c r="F19" i="11"/>
  <c r="I17" i="21"/>
  <c r="A23" l="1"/>
  <c r="B22"/>
  <c r="D22"/>
  <c r="E25" i="9"/>
  <c r="E27" s="1"/>
  <c r="C18" i="21"/>
  <c r="A24" l="1"/>
  <c r="B23"/>
  <c r="D23"/>
  <c r="H18"/>
  <c r="E33" i="3" s="1"/>
  <c r="E18" i="21"/>
  <c r="F7" i="9"/>
  <c r="F10" s="1"/>
  <c r="E31"/>
  <c r="D24" i="21" l="1"/>
  <c r="A25"/>
  <c r="B24"/>
  <c r="F21" i="9"/>
  <c r="F18" i="21"/>
  <c r="G18" s="1"/>
  <c r="E32" i="3" s="1"/>
  <c r="B25" i="21" l="1"/>
  <c r="D25"/>
  <c r="A26"/>
  <c r="I18"/>
  <c r="C19"/>
  <c r="F20" i="9"/>
  <c r="E34" i="3"/>
  <c r="D26" i="21" l="1"/>
  <c r="A27"/>
  <c r="B26"/>
  <c r="F25" i="9"/>
  <c r="F27" s="1"/>
  <c r="H19" i="21"/>
  <c r="F33" i="3" s="1"/>
  <c r="E19" i="21"/>
  <c r="D27" l="1"/>
  <c r="B27"/>
  <c r="A28"/>
  <c r="F19"/>
  <c r="G19" s="1"/>
  <c r="F32" i="3" s="1"/>
  <c r="G21" i="9"/>
  <c r="G7"/>
  <c r="G10" s="1"/>
  <c r="F31"/>
  <c r="D28" i="21" l="1"/>
  <c r="B28"/>
  <c r="A29"/>
  <c r="F34" i="3"/>
  <c r="G20" i="9"/>
  <c r="I19" i="21"/>
  <c r="D29" l="1"/>
  <c r="B29"/>
  <c r="A30"/>
  <c r="C20"/>
  <c r="G25" i="9"/>
  <c r="G27" s="1"/>
  <c r="D30" i="21" l="1"/>
  <c r="A31"/>
  <c r="B30"/>
  <c r="H7" i="9"/>
  <c r="H10" s="1"/>
  <c r="G31"/>
  <c r="H20" i="21"/>
  <c r="G33" i="3" s="1"/>
  <c r="E20" i="21"/>
  <c r="A32" l="1"/>
  <c r="D31"/>
  <c r="B31"/>
  <c r="F20"/>
  <c r="G20" s="1"/>
  <c r="G32" i="3" s="1"/>
  <c r="H21" i="9"/>
  <c r="D32" i="21" l="1"/>
  <c r="B32"/>
  <c r="A33"/>
  <c r="G34" i="3"/>
  <c r="H20" i="9"/>
  <c r="I20" i="21"/>
  <c r="D33" l="1"/>
  <c r="B33"/>
  <c r="A34"/>
  <c r="C21"/>
  <c r="H25" i="9"/>
  <c r="H27" s="1"/>
  <c r="A35" i="21" l="1"/>
  <c r="D34"/>
  <c r="B34"/>
  <c r="I7" i="9"/>
  <c r="I10" s="1"/>
  <c r="H31"/>
  <c r="H21" i="21"/>
  <c r="H33" i="3" s="1"/>
  <c r="E21" i="21"/>
  <c r="D35" l="1"/>
  <c r="B35"/>
  <c r="A36"/>
  <c r="I21" i="9"/>
  <c r="F21" i="21"/>
  <c r="G21" s="1"/>
  <c r="H32" i="3" s="1"/>
  <c r="I21" i="21"/>
  <c r="C22" s="1"/>
  <c r="D36" l="1"/>
  <c r="B36"/>
  <c r="A37"/>
  <c r="H22"/>
  <c r="I33" i="3" s="1"/>
  <c r="J21" i="9" s="1"/>
  <c r="E22" i="21"/>
  <c r="I20" i="9"/>
  <c r="I25" s="1"/>
  <c r="I27" s="1"/>
  <c r="H34" i="3"/>
  <c r="A38" i="21" l="1"/>
  <c r="D37"/>
  <c r="B37"/>
  <c r="J7" i="9"/>
  <c r="J10" s="1"/>
  <c r="I31"/>
  <c r="F22" i="21"/>
  <c r="G22" s="1"/>
  <c r="I32" i="3" s="1"/>
  <c r="I22" i="21"/>
  <c r="C23" s="1"/>
  <c r="D38" l="1"/>
  <c r="A39"/>
  <c r="B38"/>
  <c r="H23"/>
  <c r="J33" i="3" s="1"/>
  <c r="K21" i="9" s="1"/>
  <c r="E23" i="21"/>
  <c r="I34" i="3"/>
  <c r="J20" i="9"/>
  <c r="J25" s="1"/>
  <c r="J27" s="1"/>
  <c r="D39" i="21" l="1"/>
  <c r="B39"/>
  <c r="A40"/>
  <c r="K7" i="9"/>
  <c r="K10" s="1"/>
  <c r="J31"/>
  <c r="F23" i="21"/>
  <c r="G23" s="1"/>
  <c r="J32" i="3" s="1"/>
  <c r="A41" i="21" l="1"/>
  <c r="D40"/>
  <c r="B40"/>
  <c r="J34" i="3"/>
  <c r="K20" i="9"/>
  <c r="K25" s="1"/>
  <c r="I23" i="21"/>
  <c r="C24" s="1"/>
  <c r="K27" i="9"/>
  <c r="A42" i="21" l="1"/>
  <c r="D41"/>
  <c r="B41"/>
  <c r="L7" i="9"/>
  <c r="L10" s="1"/>
  <c r="K31"/>
  <c r="H24" i="21"/>
  <c r="K33" i="3" s="1"/>
  <c r="L21" i="9" s="1"/>
  <c r="E24" i="21"/>
  <c r="D42" l="1"/>
  <c r="B42"/>
  <c r="A43"/>
  <c r="F24"/>
  <c r="G24" s="1"/>
  <c r="K32" i="3" s="1"/>
  <c r="I24" i="21"/>
  <c r="C25" s="1"/>
  <c r="D43" l="1"/>
  <c r="B43"/>
  <c r="A44"/>
  <c r="H25"/>
  <c r="L33" i="3" s="1"/>
  <c r="M21" i="9" s="1"/>
  <c r="E25" i="21"/>
  <c r="L20" i="9"/>
  <c r="L25" s="1"/>
  <c r="L27" s="1"/>
  <c r="K34" i="3"/>
  <c r="A45" i="21" l="1"/>
  <c r="D44"/>
  <c r="B44"/>
  <c r="M7" i="9"/>
  <c r="M10" s="1"/>
  <c r="L31"/>
  <c r="F25" i="21"/>
  <c r="G25" s="1"/>
  <c r="L32" i="3" s="1"/>
  <c r="A46" i="21" l="1"/>
  <c r="D45"/>
  <c r="B45"/>
  <c r="I25"/>
  <c r="C26" s="1"/>
  <c r="M20" i="9"/>
  <c r="M25" s="1"/>
  <c r="L34" i="3"/>
  <c r="M27" i="9"/>
  <c r="D46" i="21" l="1"/>
  <c r="B46"/>
  <c r="A47"/>
  <c r="N7" i="9"/>
  <c r="N10" s="1"/>
  <c r="M31"/>
  <c r="H26" i="21"/>
  <c r="M33" i="3" s="1"/>
  <c r="E26" i="21"/>
  <c r="D47" l="1"/>
  <c r="B47"/>
  <c r="A48"/>
  <c r="F26"/>
  <c r="G26" s="1"/>
  <c r="M32" i="3" s="1"/>
  <c r="I26" i="21"/>
  <c r="C27" s="1"/>
  <c r="N21" i="9"/>
  <c r="O21" s="1"/>
  <c r="N33" i="3"/>
  <c r="B25" i="11" s="1"/>
  <c r="B28" s="1"/>
  <c r="B30" s="1"/>
  <c r="D48" i="21" l="1"/>
  <c r="B48"/>
  <c r="A49"/>
  <c r="B32" i="11"/>
  <c r="B33"/>
  <c r="B34"/>
  <c r="H27" i="21"/>
  <c r="E27"/>
  <c r="N20" i="9"/>
  <c r="M34" i="3"/>
  <c r="N32"/>
  <c r="N34" s="1"/>
  <c r="D49" i="21" l="1"/>
  <c r="B49"/>
  <c r="A50"/>
  <c r="N25" i="9"/>
  <c r="N27" s="1"/>
  <c r="N31" s="1"/>
  <c r="O20"/>
  <c r="O25" s="1"/>
  <c r="O27" s="1"/>
  <c r="O31" s="1"/>
  <c r="I27" i="21"/>
  <c r="C28" s="1"/>
  <c r="F27"/>
  <c r="G27" s="1"/>
  <c r="B50" l="1"/>
  <c r="D50"/>
  <c r="A51"/>
  <c r="H28"/>
  <c r="E28"/>
  <c r="P7" i="9"/>
  <c r="P10" s="1"/>
  <c r="C5" i="22"/>
  <c r="A52" i="21" l="1"/>
  <c r="B51"/>
  <c r="D51"/>
  <c r="F28"/>
  <c r="G28" s="1"/>
  <c r="I28"/>
  <c r="C29" s="1"/>
  <c r="D52" l="1"/>
  <c r="B52"/>
  <c r="A53"/>
  <c r="E29"/>
  <c r="H29"/>
  <c r="D53" l="1"/>
  <c r="B53"/>
  <c r="A54"/>
  <c r="F29"/>
  <c r="G29" s="1"/>
  <c r="I29" s="1"/>
  <c r="C30" s="1"/>
  <c r="D54" l="1"/>
  <c r="A55"/>
  <c r="B54"/>
  <c r="E30"/>
  <c r="H30"/>
  <c r="D55" l="1"/>
  <c r="B55"/>
  <c r="A56"/>
  <c r="F30"/>
  <c r="G30" s="1"/>
  <c r="I30" s="1"/>
  <c r="C31" s="1"/>
  <c r="D56" l="1"/>
  <c r="B56"/>
  <c r="A57"/>
  <c r="E31"/>
  <c r="H31"/>
  <c r="D57" l="1"/>
  <c r="B57"/>
  <c r="A58"/>
  <c r="F31"/>
  <c r="G31" s="1"/>
  <c r="I31" s="1"/>
  <c r="C32" s="1"/>
  <c r="A59" l="1"/>
  <c r="B58"/>
  <c r="D58"/>
  <c r="E32"/>
  <c r="H32"/>
  <c r="D59" l="1"/>
  <c r="B59"/>
  <c r="A60"/>
  <c r="F32"/>
  <c r="G32" s="1"/>
  <c r="I32" s="1"/>
  <c r="C33" s="1"/>
  <c r="A61" l="1"/>
  <c r="B60"/>
  <c r="D60"/>
  <c r="E33"/>
  <c r="H33"/>
  <c r="B61" l="1"/>
  <c r="D61"/>
  <c r="A62"/>
  <c r="F33"/>
  <c r="G33" s="1"/>
  <c r="B62" l="1"/>
  <c r="A63"/>
  <c r="D62"/>
  <c r="I33"/>
  <c r="C34" s="1"/>
  <c r="B63" l="1"/>
  <c r="D63"/>
  <c r="A64"/>
  <c r="H34"/>
  <c r="E34"/>
  <c r="B64" l="1"/>
  <c r="D64"/>
  <c r="A65"/>
  <c r="I34"/>
  <c r="C35" s="1"/>
  <c r="F34"/>
  <c r="G34" s="1"/>
  <c r="B65" l="1"/>
  <c r="A66"/>
  <c r="D65"/>
  <c r="H35"/>
  <c r="E35"/>
  <c r="B66" l="1"/>
  <c r="D66"/>
  <c r="A67"/>
  <c r="F35"/>
  <c r="G35" s="1"/>
  <c r="I35" s="1"/>
  <c r="C36" s="1"/>
  <c r="B67" l="1"/>
  <c r="A68"/>
  <c r="D67"/>
  <c r="H36"/>
  <c r="E36"/>
  <c r="A69" l="1"/>
  <c r="B68"/>
  <c r="D68"/>
  <c r="F36"/>
  <c r="G36" s="1"/>
  <c r="I36" s="1"/>
  <c r="C37" s="1"/>
  <c r="B69" l="1"/>
  <c r="A70"/>
  <c r="D69"/>
  <c r="H37"/>
  <c r="E37"/>
  <c r="D70" l="1"/>
  <c r="B70"/>
  <c r="A71"/>
  <c r="I37"/>
  <c r="C38" s="1"/>
  <c r="F37"/>
  <c r="G37" s="1"/>
  <c r="D71" l="1"/>
  <c r="A72"/>
  <c r="B71"/>
  <c r="H38"/>
  <c r="O33" i="3" s="1"/>
  <c r="E38" i="21"/>
  <c r="B72" l="1"/>
  <c r="D72"/>
  <c r="A73"/>
  <c r="F38"/>
  <c r="G38" s="1"/>
  <c r="O32" i="3" s="1"/>
  <c r="C25" i="11"/>
  <c r="C28" s="1"/>
  <c r="C30" s="1"/>
  <c r="P21" i="9"/>
  <c r="B73" i="21" l="1"/>
  <c r="A74"/>
  <c r="D73"/>
  <c r="P20" i="9"/>
  <c r="P25" s="1"/>
  <c r="P27" s="1"/>
  <c r="P31" s="1"/>
  <c r="O34" i="3"/>
  <c r="C32" i="11"/>
  <c r="C33"/>
  <c r="Q23" i="9" s="1"/>
  <c r="I38" i="21"/>
  <c r="C39" s="1"/>
  <c r="D74" l="1"/>
  <c r="B74"/>
  <c r="A75"/>
  <c r="C34" i="11"/>
  <c r="Q10" i="7"/>
  <c r="Q12" s="1"/>
  <c r="Q22" i="9"/>
  <c r="Q7"/>
  <c r="Q10" s="1"/>
  <c r="D5" i="22"/>
  <c r="H39" i="21"/>
  <c r="E39"/>
  <c r="B75" l="1"/>
  <c r="D75"/>
  <c r="A76"/>
  <c r="F39"/>
  <c r="G39" s="1"/>
  <c r="Q15" i="9"/>
  <c r="Q16" i="7"/>
  <c r="D22" i="11"/>
  <c r="D76" i="21" l="1"/>
  <c r="B76"/>
  <c r="A77"/>
  <c r="I39"/>
  <c r="C40" s="1"/>
  <c r="D77" l="1"/>
  <c r="A78"/>
  <c r="B77"/>
  <c r="H40"/>
  <c r="E40"/>
  <c r="A79" l="1"/>
  <c r="D78"/>
  <c r="B78"/>
  <c r="F40"/>
  <c r="G40" s="1"/>
  <c r="I40" s="1"/>
  <c r="C41" s="1"/>
  <c r="D79" l="1"/>
  <c r="B79"/>
  <c r="A80"/>
  <c r="E41"/>
  <c r="H41"/>
  <c r="B80" l="1"/>
  <c r="D80"/>
  <c r="A81"/>
  <c r="I41"/>
  <c r="C42" s="1"/>
  <c r="F41"/>
  <c r="G41" s="1"/>
  <c r="D81" l="1"/>
  <c r="B81"/>
  <c r="A82"/>
  <c r="E42"/>
  <c r="H42"/>
  <c r="B82" l="1"/>
  <c r="D82"/>
  <c r="A83"/>
  <c r="F42"/>
  <c r="G42" s="1"/>
  <c r="D83" l="1"/>
  <c r="B83"/>
  <c r="A84"/>
  <c r="I42"/>
  <c r="C43" s="1"/>
  <c r="B84" l="1"/>
  <c r="D84"/>
  <c r="A85"/>
  <c r="E43"/>
  <c r="H43"/>
  <c r="A86" l="1"/>
  <c r="D85"/>
  <c r="B85"/>
  <c r="F43"/>
  <c r="G43" s="1"/>
  <c r="I43" s="1"/>
  <c r="C44" s="1"/>
  <c r="D86" l="1"/>
  <c r="B86"/>
  <c r="A87"/>
  <c r="E44"/>
  <c r="H44"/>
  <c r="B87" l="1"/>
  <c r="A88"/>
  <c r="D87"/>
  <c r="F44"/>
  <c r="G44" s="1"/>
  <c r="A89" l="1"/>
  <c r="D88"/>
  <c r="B88"/>
  <c r="I44"/>
  <c r="C45" s="1"/>
  <c r="B89" l="1"/>
  <c r="A90"/>
  <c r="D89"/>
  <c r="E45"/>
  <c r="H45"/>
  <c r="B90" l="1"/>
  <c r="D90"/>
  <c r="A91"/>
  <c r="I45"/>
  <c r="C46" s="1"/>
  <c r="F45"/>
  <c r="G45" s="1"/>
  <c r="B91" l="1"/>
  <c r="A92"/>
  <c r="D91"/>
  <c r="E46"/>
  <c r="H46"/>
  <c r="B92" l="1"/>
  <c r="A93"/>
  <c r="D92"/>
  <c r="F46"/>
  <c r="G46" s="1"/>
  <c r="I46" s="1"/>
  <c r="C47" s="1"/>
  <c r="B93" l="1"/>
  <c r="D93"/>
  <c r="A94"/>
  <c r="E47"/>
  <c r="H47"/>
  <c r="D94" l="1"/>
  <c r="B94"/>
  <c r="A95"/>
  <c r="I47"/>
  <c r="C48" s="1"/>
  <c r="F47"/>
  <c r="G47" s="1"/>
  <c r="D95" l="1"/>
  <c r="B95"/>
  <c r="A96"/>
  <c r="E48"/>
  <c r="H48"/>
  <c r="D96" l="1"/>
  <c r="B96"/>
  <c r="A97"/>
  <c r="F48"/>
  <c r="G48" s="1"/>
  <c r="I48" s="1"/>
  <c r="C49" s="1"/>
  <c r="D97" l="1"/>
  <c r="B97"/>
  <c r="A98"/>
  <c r="E49"/>
  <c r="H49"/>
  <c r="A99" l="1"/>
  <c r="D98"/>
  <c r="B98"/>
  <c r="F49"/>
  <c r="G49" s="1"/>
  <c r="B99" l="1"/>
  <c r="D99"/>
  <c r="A100"/>
  <c r="I49"/>
  <c r="C50" s="1"/>
  <c r="D100" l="1"/>
  <c r="B100"/>
  <c r="A101"/>
  <c r="H50"/>
  <c r="P33" i="3" s="1"/>
  <c r="E50" i="21"/>
  <c r="A102" l="1"/>
  <c r="D101"/>
  <c r="B101"/>
  <c r="D25" i="11"/>
  <c r="D28" s="1"/>
  <c r="D30" s="1"/>
  <c r="Q21" i="9"/>
  <c r="F50" i="21"/>
  <c r="G50" s="1"/>
  <c r="P32" i="3" s="1"/>
  <c r="I50" i="21"/>
  <c r="C51" s="1"/>
  <c r="D102" l="1"/>
  <c r="B102"/>
  <c r="A103"/>
  <c r="D32" i="11"/>
  <c r="D34"/>
  <c r="D33"/>
  <c r="R23" i="9" s="1"/>
  <c r="H51" i="21"/>
  <c r="E51"/>
  <c r="Q20" i="9"/>
  <c r="Q25" s="1"/>
  <c r="Q27" s="1"/>
  <c r="Q31" s="1"/>
  <c r="P34" i="3"/>
  <c r="B103" i="21" l="1"/>
  <c r="A104"/>
  <c r="D103"/>
  <c r="R7" i="9"/>
  <c r="R10" s="1"/>
  <c r="E5" i="22"/>
  <c r="I51" i="21"/>
  <c r="C52" s="1"/>
  <c r="F51"/>
  <c r="G51" s="1"/>
  <c r="R10" i="7"/>
  <c r="R12" s="1"/>
  <c r="R22" i="9"/>
  <c r="B104" i="21" l="1"/>
  <c r="D104"/>
  <c r="A105"/>
  <c r="R15" i="9"/>
  <c r="R25" s="1"/>
  <c r="R27" s="1"/>
  <c r="R31" s="1"/>
  <c r="R16" i="7"/>
  <c r="E22" i="11"/>
  <c r="E28" s="1"/>
  <c r="E30" s="1"/>
  <c r="H52" i="21"/>
  <c r="E52"/>
  <c r="B105" l="1"/>
  <c r="A106"/>
  <c r="D105"/>
  <c r="S7" i="9"/>
  <c r="S10" s="1"/>
  <c r="F5" i="22"/>
  <c r="I52" i="21"/>
  <c r="C53" s="1"/>
  <c r="F52"/>
  <c r="E32" i="11"/>
  <c r="E33"/>
  <c r="S23" i="9" s="1"/>
  <c r="B106" i="21" l="1"/>
  <c r="A107"/>
  <c r="D106"/>
  <c r="S10" i="7"/>
  <c r="S12" s="1"/>
  <c r="S22" i="9"/>
  <c r="H53" i="21"/>
  <c r="E53"/>
  <c r="E34" i="11"/>
  <c r="B107" i="21" l="1"/>
  <c r="D107"/>
  <c r="A108"/>
  <c r="S15" i="9"/>
  <c r="S25" s="1"/>
  <c r="S27" s="1"/>
  <c r="S31" s="1"/>
  <c r="G5" i="22" s="1"/>
  <c r="S16" i="7"/>
  <c r="F22" i="11"/>
  <c r="F28" s="1"/>
  <c r="F30" s="1"/>
  <c r="I53" i="21"/>
  <c r="C54" s="1"/>
  <c r="F53"/>
  <c r="G53" s="1"/>
  <c r="D108" l="1"/>
  <c r="B108"/>
  <c r="A109"/>
  <c r="E54"/>
  <c r="H54"/>
  <c r="F33" i="11"/>
  <c r="F32"/>
  <c r="F34" s="1"/>
  <c r="G7" i="22"/>
  <c r="G9"/>
  <c r="B109" i="21" l="1"/>
  <c r="D109"/>
  <c r="A110"/>
  <c r="I54"/>
  <c r="C55" s="1"/>
  <c r="F54"/>
  <c r="G54" s="1"/>
  <c r="D110" l="1"/>
  <c r="B110"/>
  <c r="A111"/>
  <c r="H55"/>
  <c r="E55"/>
  <c r="D111" l="1"/>
  <c r="B111"/>
  <c r="A112"/>
  <c r="I55"/>
  <c r="C56" s="1"/>
  <c r="F55"/>
  <c r="G55" s="1"/>
  <c r="D112" l="1"/>
  <c r="B112"/>
  <c r="A113"/>
  <c r="H56"/>
  <c r="E56"/>
  <c r="B113" l="1"/>
  <c r="D113"/>
  <c r="A114"/>
  <c r="I56"/>
  <c r="C57" s="1"/>
  <c r="F56"/>
  <c r="G56" s="1"/>
  <c r="D114" l="1"/>
  <c r="B114"/>
  <c r="A115"/>
  <c r="E57"/>
  <c r="H57"/>
  <c r="A116" l="1"/>
  <c r="B115"/>
  <c r="D115"/>
  <c r="I57"/>
  <c r="C58" s="1"/>
  <c r="F57"/>
  <c r="G57" s="1"/>
  <c r="D116" l="1"/>
  <c r="B116"/>
  <c r="A117"/>
  <c r="H58"/>
  <c r="E58"/>
  <c r="A118" l="1"/>
  <c r="D117"/>
  <c r="B117"/>
  <c r="I58"/>
  <c r="C59" s="1"/>
  <c r="F58"/>
  <c r="G58" s="1"/>
  <c r="B118" l="1"/>
  <c r="D118"/>
  <c r="A119"/>
  <c r="H59"/>
  <c r="E59"/>
  <c r="A120" l="1"/>
  <c r="B119"/>
  <c r="D119"/>
  <c r="I59"/>
  <c r="C60" s="1"/>
  <c r="F59"/>
  <c r="G59" s="1"/>
  <c r="B120" l="1"/>
  <c r="D120"/>
  <c r="A121"/>
  <c r="H60"/>
  <c r="E60"/>
  <c r="A122" l="1"/>
  <c r="B121"/>
  <c r="D121"/>
  <c r="I60"/>
  <c r="C61" s="1"/>
  <c r="F60"/>
  <c r="G60" s="1"/>
  <c r="B122" l="1"/>
  <c r="D122"/>
  <c r="A123"/>
  <c r="H61"/>
  <c r="E61"/>
  <c r="A124" l="1"/>
  <c r="D123"/>
  <c r="B123"/>
  <c r="F61"/>
  <c r="G61" s="1"/>
  <c r="I61"/>
  <c r="C62" s="1"/>
  <c r="D124" l="1"/>
  <c r="B124"/>
  <c r="A125"/>
  <c r="H62"/>
  <c r="E62"/>
  <c r="A126" l="1"/>
  <c r="D125"/>
  <c r="B125"/>
  <c r="I62"/>
  <c r="C63" s="1"/>
  <c r="F62"/>
  <c r="G62" s="1"/>
  <c r="D126" l="1"/>
  <c r="B126"/>
  <c r="A127"/>
  <c r="E63"/>
  <c r="H63"/>
  <c r="A128" l="1"/>
  <c r="D127"/>
  <c r="B127"/>
  <c r="F63"/>
  <c r="G63" s="1"/>
  <c r="I63"/>
  <c r="C64" s="1"/>
  <c r="D128" l="1"/>
  <c r="B128"/>
  <c r="A129"/>
  <c r="H64"/>
  <c r="E64"/>
  <c r="A130" l="1"/>
  <c r="B129"/>
  <c r="D129"/>
  <c r="I64"/>
  <c r="C65" s="1"/>
  <c r="F64"/>
  <c r="G64" s="1"/>
  <c r="D130" l="1"/>
  <c r="B130"/>
  <c r="A131"/>
  <c r="H65"/>
  <c r="E65"/>
  <c r="A132" l="1"/>
  <c r="B131"/>
  <c r="D131"/>
  <c r="I65"/>
  <c r="C66" s="1"/>
  <c r="F65"/>
  <c r="G65" s="1"/>
  <c r="D132" l="1"/>
  <c r="B132"/>
  <c r="A133"/>
  <c r="E66"/>
  <c r="H66"/>
  <c r="A134" l="1"/>
  <c r="D133"/>
  <c r="B133"/>
  <c r="F66"/>
  <c r="G66" s="1"/>
  <c r="I66"/>
  <c r="C67" s="1"/>
  <c r="D134" l="1"/>
  <c r="B134"/>
  <c r="A135"/>
  <c r="E67"/>
  <c r="H67"/>
  <c r="A136" l="1"/>
  <c r="D135"/>
  <c r="B135"/>
  <c r="I67"/>
  <c r="C68" s="1"/>
  <c r="F67"/>
  <c r="G67" s="1"/>
  <c r="A137" l="1"/>
  <c r="D136"/>
  <c r="B136"/>
  <c r="H68"/>
  <c r="E68"/>
  <c r="B137" l="1"/>
  <c r="D137"/>
  <c r="A138"/>
  <c r="F68"/>
  <c r="G68" s="1"/>
  <c r="I68"/>
  <c r="C69" s="1"/>
  <c r="D138" l="1"/>
  <c r="B138"/>
  <c r="A139"/>
  <c r="E69"/>
  <c r="H69"/>
  <c r="B139" l="1"/>
  <c r="D139"/>
  <c r="A140"/>
  <c r="F69"/>
  <c r="G69" s="1"/>
  <c r="I69"/>
  <c r="C70" s="1"/>
  <c r="D140" l="1"/>
  <c r="B140"/>
  <c r="A141"/>
  <c r="H70"/>
  <c r="E70"/>
  <c r="A142" l="1"/>
  <c r="B141"/>
  <c r="D141"/>
  <c r="F70"/>
  <c r="G70" s="1"/>
  <c r="I70"/>
  <c r="C71" s="1"/>
  <c r="A143" l="1"/>
  <c r="D142"/>
  <c r="B142"/>
  <c r="H71"/>
  <c r="E71"/>
  <c r="B143" l="1"/>
  <c r="D143"/>
  <c r="A144"/>
  <c r="I71"/>
  <c r="C72" s="1"/>
  <c r="F71"/>
  <c r="G71" s="1"/>
  <c r="D144" l="1"/>
  <c r="B144"/>
  <c r="A145"/>
  <c r="H72"/>
  <c r="E72"/>
  <c r="B145" l="1"/>
  <c r="D145"/>
  <c r="A146"/>
  <c r="F72"/>
  <c r="G72" s="1"/>
  <c r="I72"/>
  <c r="C73" s="1"/>
  <c r="D146" l="1"/>
  <c r="A147"/>
  <c r="B146"/>
  <c r="H73"/>
  <c r="E73"/>
  <c r="D147" l="1"/>
  <c r="B147"/>
  <c r="A148"/>
  <c r="I73"/>
  <c r="C74" s="1"/>
  <c r="F73"/>
  <c r="G73" s="1"/>
  <c r="D148" l="1"/>
  <c r="B148"/>
  <c r="A149"/>
  <c r="H74"/>
  <c r="E74"/>
  <c r="A150" l="1"/>
  <c r="B149"/>
  <c r="D149"/>
  <c r="F74"/>
  <c r="G74" s="1"/>
  <c r="I74"/>
  <c r="C75" s="1"/>
  <c r="A151" l="1"/>
  <c r="D150"/>
  <c r="B150"/>
  <c r="H75"/>
  <c r="E75"/>
  <c r="B151" l="1"/>
  <c r="A152"/>
  <c r="D151"/>
  <c r="F75"/>
  <c r="G75" s="1"/>
  <c r="I75"/>
  <c r="C76" s="1"/>
  <c r="D152" l="1"/>
  <c r="B152"/>
  <c r="A153"/>
  <c r="E76"/>
  <c r="H76"/>
  <c r="B153" l="1"/>
  <c r="D153"/>
  <c r="A154"/>
  <c r="I76"/>
  <c r="C77" s="1"/>
  <c r="F76"/>
  <c r="G76" s="1"/>
  <c r="D154" l="1"/>
  <c r="B154"/>
  <c r="A155"/>
  <c r="H77"/>
  <c r="E77"/>
  <c r="D155" l="1"/>
  <c r="B155"/>
  <c r="A156"/>
  <c r="I77"/>
  <c r="C78" s="1"/>
  <c r="F77"/>
  <c r="G77" s="1"/>
  <c r="A157" l="1"/>
  <c r="D156"/>
  <c r="B156"/>
  <c r="H78"/>
  <c r="E78"/>
  <c r="A158" l="1"/>
  <c r="B157"/>
  <c r="D157"/>
  <c r="I78"/>
  <c r="C79" s="1"/>
  <c r="F78"/>
  <c r="G78" s="1"/>
  <c r="D158" l="1"/>
  <c r="B158"/>
  <c r="A159"/>
  <c r="H79"/>
  <c r="E79"/>
  <c r="D159" l="1"/>
  <c r="A160"/>
  <c r="B159"/>
  <c r="F79"/>
  <c r="G79" s="1"/>
  <c r="I79"/>
  <c r="C80" s="1"/>
  <c r="A161" l="1"/>
  <c r="B160"/>
  <c r="D160"/>
  <c r="H80"/>
  <c r="E80"/>
  <c r="B161" l="1"/>
  <c r="D161"/>
  <c r="A162"/>
  <c r="I80"/>
  <c r="C81" s="1"/>
  <c r="F80"/>
  <c r="G80" s="1"/>
  <c r="A163" l="1"/>
  <c r="D162"/>
  <c r="B162"/>
  <c r="H81"/>
  <c r="E81"/>
  <c r="D163" l="1"/>
  <c r="B163"/>
  <c r="A164"/>
  <c r="F81"/>
  <c r="G81" s="1"/>
  <c r="I81"/>
  <c r="C82" s="1"/>
  <c r="D164" l="1"/>
  <c r="B164"/>
  <c r="A165"/>
  <c r="E82"/>
  <c r="H82"/>
  <c r="D165" l="1"/>
  <c r="B165"/>
  <c r="A166"/>
  <c r="F82"/>
  <c r="G82" s="1"/>
  <c r="I82"/>
  <c r="C83" s="1"/>
  <c r="D166" l="1"/>
  <c r="B166"/>
  <c r="A167"/>
  <c r="H83"/>
  <c r="E83"/>
  <c r="D167" l="1"/>
  <c r="B167"/>
  <c r="A168"/>
  <c r="F83"/>
  <c r="G83" s="1"/>
  <c r="I83"/>
  <c r="C84" s="1"/>
  <c r="D168" l="1"/>
  <c r="A169"/>
  <c r="B168"/>
  <c r="E84"/>
  <c r="H84"/>
  <c r="D169" l="1"/>
  <c r="B169"/>
  <c r="A170"/>
  <c r="F84"/>
  <c r="G84" s="1"/>
  <c r="I84"/>
  <c r="C85" s="1"/>
  <c r="D170" l="1"/>
  <c r="B170"/>
  <c r="A171"/>
  <c r="H85"/>
  <c r="E85"/>
  <c r="B171" l="1"/>
  <c r="D171"/>
  <c r="A172"/>
  <c r="F85"/>
  <c r="G85" s="1"/>
  <c r="I85"/>
  <c r="C86" s="1"/>
  <c r="D172" l="1"/>
  <c r="A173"/>
  <c r="B172"/>
  <c r="H86"/>
  <c r="E86"/>
  <c r="D173" l="1"/>
  <c r="A174"/>
  <c r="B173"/>
  <c r="I86"/>
  <c r="C87" s="1"/>
  <c r="F86"/>
  <c r="G86" s="1"/>
  <c r="A175" l="1"/>
  <c r="D174"/>
  <c r="B174"/>
  <c r="H87"/>
  <c r="E87"/>
  <c r="D175" l="1"/>
  <c r="A176"/>
  <c r="B175"/>
  <c r="I87"/>
  <c r="C88" s="1"/>
  <c r="F87"/>
  <c r="G87" s="1"/>
  <c r="A177" l="1"/>
  <c r="D176"/>
  <c r="B176"/>
  <c r="E88"/>
  <c r="H88"/>
  <c r="D177" l="1"/>
  <c r="A178"/>
  <c r="B177"/>
  <c r="I88"/>
  <c r="C89" s="1"/>
  <c r="F88"/>
  <c r="G88" s="1"/>
  <c r="A179" l="1"/>
  <c r="D178"/>
  <c r="B178"/>
  <c r="H89"/>
  <c r="E89"/>
  <c r="D179" l="1"/>
  <c r="A180"/>
  <c r="B179"/>
  <c r="F89"/>
  <c r="G89" s="1"/>
  <c r="I89"/>
  <c r="C90" s="1"/>
  <c r="A181" l="1"/>
  <c r="D180"/>
  <c r="B180"/>
  <c r="H90"/>
  <c r="E90"/>
  <c r="D181" l="1"/>
  <c r="A182"/>
  <c r="B181"/>
  <c r="F90"/>
  <c r="G90" s="1"/>
  <c r="I90"/>
  <c r="C91" s="1"/>
  <c r="D182" l="1"/>
  <c r="B182"/>
  <c r="A183"/>
  <c r="E91"/>
  <c r="H91"/>
  <c r="D183" l="1"/>
  <c r="A184"/>
  <c r="B183"/>
  <c r="I91"/>
  <c r="C92" s="1"/>
  <c r="F91"/>
  <c r="G91" s="1"/>
  <c r="D184" l="1"/>
  <c r="B184"/>
  <c r="A185"/>
  <c r="H92"/>
  <c r="E92"/>
  <c r="B185" l="1"/>
  <c r="A186"/>
  <c r="D185"/>
  <c r="F92"/>
  <c r="G92" s="1"/>
  <c r="I92"/>
  <c r="C93" s="1"/>
  <c r="D186" l="1"/>
  <c r="B186"/>
  <c r="A187"/>
  <c r="H93"/>
  <c r="E93"/>
  <c r="B187" l="1"/>
  <c r="A188"/>
  <c r="D187"/>
  <c r="I93"/>
  <c r="C94" s="1"/>
  <c r="F93"/>
  <c r="G93" s="1"/>
  <c r="D188" l="1"/>
  <c r="B188"/>
  <c r="A189"/>
  <c r="E94"/>
  <c r="H94"/>
  <c r="B189" l="1"/>
  <c r="A190"/>
  <c r="D189"/>
  <c r="I94"/>
  <c r="C95" s="1"/>
  <c r="F94"/>
  <c r="G94" s="1"/>
  <c r="A191" l="1"/>
  <c r="D190"/>
  <c r="B190"/>
  <c r="H95"/>
  <c r="E95"/>
  <c r="B191" l="1"/>
  <c r="A192"/>
  <c r="D191"/>
  <c r="F95"/>
  <c r="G95" s="1"/>
  <c r="I95"/>
  <c r="C96" s="1"/>
  <c r="B192" l="1"/>
  <c r="D192"/>
  <c r="A193"/>
  <c r="E96"/>
  <c r="H96"/>
  <c r="B193" l="1"/>
  <c r="A194"/>
  <c r="D193"/>
  <c r="I96"/>
  <c r="C97" s="1"/>
  <c r="F96"/>
  <c r="G96" s="1"/>
  <c r="D194" l="1"/>
  <c r="B194"/>
  <c r="A195"/>
  <c r="E97"/>
  <c r="H97"/>
  <c r="A196" l="1"/>
  <c r="D195"/>
  <c r="B195"/>
  <c r="F97"/>
  <c r="G97" s="1"/>
  <c r="I97"/>
  <c r="C98" s="1"/>
  <c r="B196" l="1"/>
  <c r="D196"/>
  <c r="A197"/>
  <c r="H98"/>
  <c r="E98"/>
  <c r="B197" l="1"/>
  <c r="A198"/>
  <c r="D197"/>
  <c r="I98"/>
  <c r="C99" s="1"/>
  <c r="F98"/>
  <c r="G98" s="1"/>
  <c r="D198" l="1"/>
  <c r="B198"/>
  <c r="A199"/>
  <c r="E99"/>
  <c r="H99"/>
  <c r="D199" l="1"/>
  <c r="A200"/>
  <c r="B199"/>
  <c r="I99"/>
  <c r="C100" s="1"/>
  <c r="F99"/>
  <c r="G99" s="1"/>
  <c r="A201" l="1"/>
  <c r="D200"/>
  <c r="B200"/>
  <c r="E100"/>
  <c r="H100"/>
  <c r="D201" l="1"/>
  <c r="B201"/>
  <c r="A202"/>
  <c r="I100"/>
  <c r="C101" s="1"/>
  <c r="F100"/>
  <c r="G100" s="1"/>
  <c r="D202" l="1"/>
  <c r="B202"/>
  <c r="A203"/>
  <c r="H101"/>
  <c r="E101"/>
  <c r="B203" l="1"/>
  <c r="D203"/>
  <c r="A204"/>
  <c r="F101"/>
  <c r="G101" s="1"/>
  <c r="I101"/>
  <c r="C102" s="1"/>
  <c r="A205" l="1"/>
  <c r="D204"/>
  <c r="B204"/>
  <c r="H102"/>
  <c r="E102"/>
  <c r="D205" l="1"/>
  <c r="A206"/>
  <c r="B205"/>
  <c r="I102"/>
  <c r="C103" s="1"/>
  <c r="F102"/>
  <c r="G102" s="1"/>
  <c r="D206" l="1"/>
  <c r="B206"/>
  <c r="A207"/>
  <c r="E103"/>
  <c r="H103"/>
  <c r="B207" l="1"/>
  <c r="D207"/>
  <c r="A208"/>
  <c r="F103"/>
  <c r="G103" s="1"/>
  <c r="I103"/>
  <c r="C104" s="1"/>
  <c r="A209" l="1"/>
  <c r="D208"/>
  <c r="B208"/>
  <c r="H104"/>
  <c r="E104"/>
  <c r="D209" l="1"/>
  <c r="A210"/>
  <c r="B209"/>
  <c r="F104"/>
  <c r="G104" s="1"/>
  <c r="I104"/>
  <c r="C105" s="1"/>
  <c r="D210" l="1"/>
  <c r="B210"/>
  <c r="A211"/>
  <c r="E105"/>
  <c r="H105"/>
  <c r="B211" l="1"/>
  <c r="D211"/>
  <c r="A212"/>
  <c r="I105"/>
  <c r="C106" s="1"/>
  <c r="F105"/>
  <c r="G105" s="1"/>
  <c r="A213" l="1"/>
  <c r="B212"/>
  <c r="D212"/>
  <c r="E106"/>
  <c r="H106"/>
  <c r="D213" l="1"/>
  <c r="A214"/>
  <c r="B213"/>
  <c r="F106"/>
  <c r="G106" s="1"/>
  <c r="I106"/>
  <c r="C107" s="1"/>
  <c r="B214" l="1"/>
  <c r="D214"/>
  <c r="A215"/>
  <c r="H107"/>
  <c r="E107"/>
  <c r="D215" l="1"/>
  <c r="A216"/>
  <c r="B215"/>
  <c r="I107"/>
  <c r="C108" s="1"/>
  <c r="F107"/>
  <c r="G107" s="1"/>
  <c r="B216" l="1"/>
  <c r="D216"/>
  <c r="A217"/>
  <c r="H108"/>
  <c r="E108"/>
  <c r="A218" l="1"/>
  <c r="D217"/>
  <c r="B217"/>
  <c r="I108"/>
  <c r="C109" s="1"/>
  <c r="F108"/>
  <c r="G108" s="1"/>
  <c r="B218" l="1"/>
  <c r="D218"/>
  <c r="A219"/>
  <c r="H109"/>
  <c r="E109"/>
  <c r="A220" l="1"/>
  <c r="D219"/>
  <c r="B219"/>
  <c r="I109"/>
  <c r="C110" s="1"/>
  <c r="F109"/>
  <c r="G109" s="1"/>
  <c r="D220" l="1"/>
  <c r="B220"/>
  <c r="A221"/>
  <c r="H110"/>
  <c r="E110"/>
  <c r="B221" l="1"/>
  <c r="A222"/>
  <c r="D221"/>
  <c r="F110"/>
  <c r="G110" s="1"/>
  <c r="I110"/>
  <c r="C111" s="1"/>
  <c r="B222" l="1"/>
  <c r="A223"/>
  <c r="D222"/>
  <c r="H111"/>
  <c r="E111"/>
  <c r="B223" l="1"/>
  <c r="A224"/>
  <c r="D223"/>
  <c r="F111"/>
  <c r="G111" s="1"/>
  <c r="I111"/>
  <c r="C112" s="1"/>
  <c r="D224" l="1"/>
  <c r="B224"/>
  <c r="A225"/>
  <c r="E112"/>
  <c r="H112"/>
  <c r="D225" l="1"/>
  <c r="A226"/>
  <c r="B225"/>
  <c r="F112"/>
  <c r="G112" s="1"/>
  <c r="I112"/>
  <c r="C113" s="1"/>
  <c r="B226" l="1"/>
  <c r="A227"/>
  <c r="D226"/>
  <c r="E113"/>
  <c r="H113"/>
  <c r="B227" l="1"/>
  <c r="A228"/>
  <c r="D227"/>
  <c r="F113"/>
  <c r="G113" s="1"/>
  <c r="I113"/>
  <c r="C114" s="1"/>
  <c r="B228" l="1"/>
  <c r="D228"/>
  <c r="A229"/>
  <c r="H114"/>
  <c r="E114"/>
  <c r="D229" l="1"/>
  <c r="A230"/>
  <c r="B229"/>
  <c r="I114"/>
  <c r="C115" s="1"/>
  <c r="F114"/>
  <c r="G114" s="1"/>
  <c r="B230" l="1"/>
  <c r="D230"/>
  <c r="A231"/>
  <c r="H115"/>
  <c r="E115"/>
  <c r="B231" l="1"/>
  <c r="A232"/>
  <c r="D231"/>
  <c r="I115"/>
  <c r="C116" s="1"/>
  <c r="F115"/>
  <c r="G115" s="1"/>
  <c r="B232" l="1"/>
  <c r="D232"/>
  <c r="A233"/>
  <c r="H116"/>
  <c r="E116"/>
  <c r="D233" l="1"/>
  <c r="A234"/>
  <c r="B233"/>
  <c r="F116"/>
  <c r="G116" s="1"/>
  <c r="I116"/>
  <c r="C117" s="1"/>
  <c r="A235" l="1"/>
  <c r="D234"/>
  <c r="B234"/>
  <c r="H117"/>
  <c r="E117"/>
  <c r="D235" l="1"/>
  <c r="A236"/>
  <c r="B235"/>
  <c r="I117"/>
  <c r="C118" s="1"/>
  <c r="F117"/>
  <c r="G117" s="1"/>
  <c r="D236" l="1"/>
  <c r="B236"/>
  <c r="A237"/>
  <c r="H118"/>
  <c r="E118"/>
  <c r="D237" l="1"/>
  <c r="A238"/>
  <c r="B237"/>
  <c r="I118"/>
  <c r="C119" s="1"/>
  <c r="F118"/>
  <c r="G118" s="1"/>
  <c r="D238" l="1"/>
  <c r="B238"/>
  <c r="A239"/>
  <c r="E119"/>
  <c r="H119"/>
  <c r="B239" l="1"/>
  <c r="A240"/>
  <c r="D239"/>
  <c r="I119"/>
  <c r="C120" s="1"/>
  <c r="F119"/>
  <c r="G119" s="1"/>
  <c r="D240" l="1"/>
  <c r="A241"/>
  <c r="B240"/>
  <c r="E120"/>
  <c r="H120"/>
  <c r="D241" l="1"/>
  <c r="A242"/>
  <c r="B241"/>
  <c r="F120"/>
  <c r="G120" s="1"/>
  <c r="I120"/>
  <c r="C121" s="1"/>
  <c r="B242" l="1"/>
  <c r="D242"/>
  <c r="A243"/>
  <c r="H121"/>
  <c r="E121"/>
  <c r="B243" l="1"/>
  <c r="D243"/>
  <c r="A244"/>
  <c r="F121"/>
  <c r="G121" s="1"/>
  <c r="I121"/>
  <c r="C122" s="1"/>
  <c r="D244" l="1"/>
  <c r="B244"/>
  <c r="A245"/>
  <c r="E122"/>
  <c r="H122"/>
  <c r="D245" l="1"/>
  <c r="A246"/>
  <c r="B245"/>
  <c r="F122"/>
  <c r="G122" s="1"/>
  <c r="I122"/>
  <c r="C123" s="1"/>
  <c r="A247" l="1"/>
  <c r="B246"/>
  <c r="D246"/>
  <c r="H123"/>
  <c r="E123"/>
  <c r="D247" l="1"/>
  <c r="B247"/>
  <c r="A248"/>
  <c r="I123"/>
  <c r="C124" s="1"/>
  <c r="F123"/>
  <c r="G123" s="1"/>
  <c r="A249" l="1"/>
  <c r="D248"/>
  <c r="B248"/>
  <c r="H124"/>
  <c r="E124"/>
  <c r="D249" l="1"/>
  <c r="A250"/>
  <c r="B249"/>
  <c r="F124"/>
  <c r="G124" s="1"/>
  <c r="I124"/>
  <c r="C125" s="1"/>
  <c r="D250" l="1"/>
  <c r="B250"/>
  <c r="A251"/>
  <c r="H125"/>
  <c r="E125"/>
  <c r="B251" l="1"/>
  <c r="A252"/>
  <c r="D251"/>
  <c r="F125"/>
  <c r="G125" s="1"/>
  <c r="I125"/>
  <c r="C126" s="1"/>
  <c r="A253" l="1"/>
  <c r="D252"/>
  <c r="B252"/>
  <c r="H126"/>
  <c r="E126"/>
  <c r="D253" l="1"/>
  <c r="A254"/>
  <c r="B253"/>
  <c r="F126"/>
  <c r="G126" s="1"/>
  <c r="I126"/>
  <c r="C127" s="1"/>
  <c r="D254" l="1"/>
  <c r="B254"/>
  <c r="A255"/>
  <c r="E127"/>
  <c r="H127"/>
  <c r="A256" l="1"/>
  <c r="D255"/>
  <c r="B255"/>
  <c r="I127"/>
  <c r="C128" s="1"/>
  <c r="F127"/>
  <c r="G127" s="1"/>
  <c r="D256" l="1"/>
  <c r="B256"/>
  <c r="A257"/>
  <c r="E128"/>
  <c r="H128"/>
  <c r="A258" l="1"/>
  <c r="D257"/>
  <c r="B257"/>
  <c r="F128"/>
  <c r="G128" s="1"/>
  <c r="I128"/>
  <c r="C129" s="1"/>
  <c r="D258" l="1"/>
  <c r="B258"/>
  <c r="A259"/>
  <c r="H129"/>
  <c r="E129"/>
  <c r="A260" l="1"/>
  <c r="D259"/>
  <c r="B259"/>
  <c r="F129"/>
  <c r="G129" s="1"/>
  <c r="I129"/>
  <c r="C130" s="1"/>
  <c r="D260" l="1"/>
  <c r="A261"/>
  <c r="B260"/>
  <c r="H130"/>
  <c r="E130"/>
  <c r="A262" l="1"/>
  <c r="D261"/>
  <c r="B261"/>
  <c r="I130"/>
  <c r="C131" s="1"/>
  <c r="F130"/>
  <c r="G130" s="1"/>
  <c r="D262" l="1"/>
  <c r="B262"/>
  <c r="A263"/>
  <c r="H131"/>
  <c r="E131"/>
  <c r="B263" l="1"/>
  <c r="A264"/>
  <c r="D263"/>
  <c r="I131"/>
  <c r="C132" s="1"/>
  <c r="F131"/>
  <c r="G131" s="1"/>
  <c r="A265" l="1"/>
  <c r="D264"/>
  <c r="B264"/>
  <c r="E132"/>
  <c r="H132"/>
  <c r="A266" l="1"/>
  <c r="D265"/>
  <c r="B265"/>
  <c r="F132"/>
  <c r="G132" s="1"/>
  <c r="I132"/>
  <c r="C133" s="1"/>
  <c r="D266" l="1"/>
  <c r="B266"/>
  <c r="A267"/>
  <c r="H133"/>
  <c r="E133"/>
  <c r="A268" l="1"/>
  <c r="D267"/>
  <c r="B267"/>
  <c r="F133"/>
  <c r="G133" s="1"/>
  <c r="I133"/>
  <c r="C134" s="1"/>
  <c r="B268" l="1"/>
  <c r="A269"/>
  <c r="D268"/>
  <c r="E134"/>
  <c r="H134"/>
  <c r="A270" l="1"/>
  <c r="D269"/>
  <c r="B269"/>
  <c r="I134"/>
  <c r="C135" s="1"/>
  <c r="F134"/>
  <c r="G134" s="1"/>
  <c r="D270" l="1"/>
  <c r="B270"/>
  <c r="A271"/>
  <c r="E135"/>
  <c r="H135"/>
  <c r="A272" l="1"/>
  <c r="D271"/>
  <c r="B271"/>
  <c r="F135"/>
  <c r="G135" s="1"/>
  <c r="I135"/>
  <c r="C136" s="1"/>
  <c r="B272" l="1"/>
  <c r="D272"/>
  <c r="A273"/>
  <c r="H136"/>
  <c r="E136"/>
  <c r="D273" l="1"/>
  <c r="A274"/>
  <c r="B273"/>
  <c r="F136"/>
  <c r="G136" s="1"/>
  <c r="I136"/>
  <c r="C137" s="1"/>
  <c r="B274" l="1"/>
  <c r="D274"/>
  <c r="A275"/>
  <c r="H137"/>
  <c r="E137"/>
  <c r="D275" l="1"/>
  <c r="A276"/>
  <c r="B275"/>
  <c r="F137"/>
  <c r="G137" s="1"/>
  <c r="I137"/>
  <c r="C138" s="1"/>
  <c r="B276" l="1"/>
  <c r="D276"/>
  <c r="A277"/>
  <c r="H138"/>
  <c r="E138"/>
  <c r="A278" l="1"/>
  <c r="B277"/>
  <c r="D277"/>
  <c r="I138"/>
  <c r="C139" s="1"/>
  <c r="F138"/>
  <c r="G138" s="1"/>
  <c r="D278" l="1"/>
  <c r="B278"/>
  <c r="A279"/>
  <c r="H139"/>
  <c r="E139"/>
  <c r="D279" l="1"/>
  <c r="B279"/>
  <c r="A280"/>
  <c r="F139"/>
  <c r="G139" s="1"/>
  <c r="I139"/>
  <c r="C140" s="1"/>
  <c r="B280" l="1"/>
  <c r="D280"/>
  <c r="A281"/>
  <c r="H140"/>
  <c r="E140"/>
  <c r="D281" l="1"/>
  <c r="B281"/>
  <c r="A282"/>
  <c r="I140"/>
  <c r="C141" s="1"/>
  <c r="F140"/>
  <c r="G140" s="1"/>
  <c r="D282" l="1"/>
  <c r="B282"/>
  <c r="A283"/>
  <c r="H141"/>
  <c r="E141"/>
  <c r="B283" l="1"/>
  <c r="A284"/>
  <c r="D283"/>
  <c r="F141"/>
  <c r="G141" s="1"/>
  <c r="I141"/>
  <c r="C142" s="1"/>
  <c r="B284" l="1"/>
  <c r="D284"/>
  <c r="A285"/>
  <c r="E142"/>
  <c r="H142"/>
  <c r="B285" l="1"/>
  <c r="A286"/>
  <c r="D285"/>
  <c r="I142"/>
  <c r="C143" s="1"/>
  <c r="F142"/>
  <c r="G142" s="1"/>
  <c r="B286" l="1"/>
  <c r="D286"/>
  <c r="A287"/>
  <c r="H143"/>
  <c r="E143"/>
  <c r="B287" l="1"/>
  <c r="A288"/>
  <c r="D287"/>
  <c r="F143"/>
  <c r="G143" s="1"/>
  <c r="I143"/>
  <c r="C144" s="1"/>
  <c r="D288" l="1"/>
  <c r="B288"/>
  <c r="A289"/>
  <c r="H144"/>
  <c r="E144"/>
  <c r="D289" l="1"/>
  <c r="B289"/>
  <c r="A290"/>
  <c r="F144"/>
  <c r="G144" s="1"/>
  <c r="I144"/>
  <c r="C145" s="1"/>
  <c r="D290" l="1"/>
  <c r="A291"/>
  <c r="B290"/>
  <c r="E145"/>
  <c r="H145"/>
  <c r="B291" l="1"/>
  <c r="A292"/>
  <c r="D291"/>
  <c r="F145"/>
  <c r="G145" s="1"/>
  <c r="I145"/>
  <c r="C146" s="1"/>
  <c r="B292" l="1"/>
  <c r="D292"/>
  <c r="A293"/>
  <c r="H146"/>
  <c r="E146"/>
  <c r="B293" l="1"/>
  <c r="A294"/>
  <c r="D293"/>
  <c r="I146"/>
  <c r="C147" s="1"/>
  <c r="F146"/>
  <c r="G146" s="1"/>
  <c r="D294" l="1"/>
  <c r="B294"/>
  <c r="A295"/>
  <c r="H147"/>
  <c r="E147"/>
  <c r="B295" l="1"/>
  <c r="A296"/>
  <c r="D295"/>
  <c r="I147"/>
  <c r="C148" s="1"/>
  <c r="F147"/>
  <c r="G147" s="1"/>
  <c r="B296" l="1"/>
  <c r="A297"/>
  <c r="D296"/>
  <c r="E148"/>
  <c r="H148"/>
  <c r="B297" l="1"/>
  <c r="A298"/>
  <c r="D297"/>
  <c r="F148"/>
  <c r="G148" s="1"/>
  <c r="I148"/>
  <c r="C149" s="1"/>
  <c r="D298" l="1"/>
  <c r="B298"/>
  <c r="A299"/>
  <c r="E149"/>
  <c r="H149"/>
  <c r="B299" l="1"/>
  <c r="A300"/>
  <c r="D299"/>
  <c r="I149"/>
  <c r="C150" s="1"/>
  <c r="F149"/>
  <c r="G149" s="1"/>
  <c r="D300" l="1"/>
  <c r="B300"/>
  <c r="A301"/>
  <c r="H150"/>
  <c r="E150"/>
  <c r="B301" l="1"/>
  <c r="A302"/>
  <c r="D301"/>
  <c r="F150"/>
  <c r="G150" s="1"/>
  <c r="I150"/>
  <c r="C151" s="1"/>
  <c r="D302" l="1"/>
  <c r="A303"/>
  <c r="B302"/>
  <c r="H151"/>
  <c r="E151"/>
  <c r="B303" l="1"/>
  <c r="A304"/>
  <c r="D303"/>
  <c r="F151"/>
  <c r="G151" s="1"/>
  <c r="I151"/>
  <c r="C152" s="1"/>
  <c r="D304" l="1"/>
  <c r="B304"/>
  <c r="A305"/>
  <c r="H152"/>
  <c r="E152"/>
  <c r="A306" l="1"/>
  <c r="B305"/>
  <c r="D305"/>
  <c r="F152"/>
  <c r="G152" s="1"/>
  <c r="I152"/>
  <c r="C153" s="1"/>
  <c r="B306" l="1"/>
  <c r="A307"/>
  <c r="D306"/>
  <c r="E153"/>
  <c r="H153"/>
  <c r="B307" l="1"/>
  <c r="A308"/>
  <c r="D307"/>
  <c r="I153"/>
  <c r="C154" s="1"/>
  <c r="F153"/>
  <c r="G153" s="1"/>
  <c r="D308" l="1"/>
  <c r="B308"/>
  <c r="A309"/>
  <c r="E154"/>
  <c r="H154"/>
  <c r="B309" l="1"/>
  <c r="A310"/>
  <c r="D309"/>
  <c r="F154"/>
  <c r="G154" s="1"/>
  <c r="I154"/>
  <c r="C155" s="1"/>
  <c r="D310" l="1"/>
  <c r="B310"/>
  <c r="A311"/>
  <c r="E155"/>
  <c r="H155"/>
  <c r="B311" l="1"/>
  <c r="A312"/>
  <c r="D311"/>
  <c r="I155"/>
  <c r="C156" s="1"/>
  <c r="F155"/>
  <c r="G155" s="1"/>
  <c r="B312" l="1"/>
  <c r="D312"/>
  <c r="A313"/>
  <c r="E156"/>
  <c r="H156"/>
  <c r="B313" l="1"/>
  <c r="A314"/>
  <c r="D313"/>
  <c r="F156"/>
  <c r="G156" s="1"/>
  <c r="I156"/>
  <c r="C157" s="1"/>
  <c r="D314" l="1"/>
  <c r="B314"/>
  <c r="A315"/>
  <c r="H157"/>
  <c r="E157"/>
  <c r="B315" l="1"/>
  <c r="D315"/>
  <c r="A316"/>
  <c r="I157"/>
  <c r="C158" s="1"/>
  <c r="F157"/>
  <c r="G157" s="1"/>
  <c r="D316" l="1"/>
  <c r="B316"/>
  <c r="A317"/>
  <c r="E158"/>
  <c r="H158"/>
  <c r="B317" l="1"/>
  <c r="A318"/>
  <c r="D317"/>
  <c r="I158"/>
  <c r="C159" s="1"/>
  <c r="F158"/>
  <c r="G158" s="1"/>
  <c r="D318" l="1"/>
  <c r="A319"/>
  <c r="B318"/>
  <c r="H159"/>
  <c r="E159"/>
  <c r="B319" l="1"/>
  <c r="A320"/>
  <c r="D319"/>
  <c r="F159"/>
  <c r="G159" s="1"/>
  <c r="I159"/>
  <c r="C160" s="1"/>
  <c r="B320" l="1"/>
  <c r="D320"/>
  <c r="A321"/>
  <c r="H160"/>
  <c r="E160"/>
  <c r="B321" l="1"/>
  <c r="D321"/>
  <c r="A322"/>
  <c r="F160"/>
  <c r="G160" s="1"/>
  <c r="I160"/>
  <c r="C161" s="1"/>
  <c r="D322" l="1"/>
  <c r="A323"/>
  <c r="B322"/>
  <c r="H161"/>
  <c r="E161"/>
  <c r="B323" l="1"/>
  <c r="D323"/>
  <c r="A324"/>
  <c r="F161"/>
  <c r="G161" s="1"/>
  <c r="I161"/>
  <c r="C162" s="1"/>
  <c r="B324" l="1"/>
  <c r="D324"/>
  <c r="A325"/>
  <c r="H162"/>
  <c r="E162"/>
  <c r="A326" l="1"/>
  <c r="D325"/>
  <c r="B325"/>
  <c r="F162"/>
  <c r="G162" s="1"/>
  <c r="I162"/>
  <c r="C163" s="1"/>
  <c r="D326" l="1"/>
  <c r="B326"/>
  <c r="A327"/>
  <c r="H163"/>
  <c r="E163"/>
  <c r="D327" l="1"/>
  <c r="A328"/>
  <c r="B327"/>
  <c r="F163"/>
  <c r="G163" s="1"/>
  <c r="I163"/>
  <c r="C164" s="1"/>
  <c r="D328" l="1"/>
  <c r="B328"/>
  <c r="A329"/>
  <c r="E164"/>
  <c r="H164"/>
  <c r="D329" l="1"/>
  <c r="B329"/>
  <c r="A330"/>
  <c r="I164"/>
  <c r="C165" s="1"/>
  <c r="F164"/>
  <c r="G164" s="1"/>
  <c r="D330" l="1"/>
  <c r="B330"/>
  <c r="A331"/>
  <c r="E165"/>
  <c r="H165"/>
  <c r="A332" l="1"/>
  <c r="D331"/>
  <c r="B331"/>
  <c r="I165"/>
  <c r="C166" s="1"/>
  <c r="F165"/>
  <c r="G165" s="1"/>
  <c r="A333" l="1"/>
  <c r="D332"/>
  <c r="B332"/>
  <c r="H166"/>
  <c r="E166"/>
  <c r="D333" l="1"/>
  <c r="B333"/>
  <c r="A334"/>
  <c r="F166"/>
  <c r="G166" s="1"/>
  <c r="I166"/>
  <c r="C167" s="1"/>
  <c r="D334" l="1"/>
  <c r="A335"/>
  <c r="B334"/>
  <c r="E167"/>
  <c r="H167"/>
  <c r="D335" l="1"/>
  <c r="B335"/>
  <c r="A336"/>
  <c r="F167"/>
  <c r="G167" s="1"/>
  <c r="I167"/>
  <c r="C168" s="1"/>
  <c r="D336" l="1"/>
  <c r="B336"/>
  <c r="A337"/>
  <c r="E168"/>
  <c r="H168"/>
  <c r="A338" l="1"/>
  <c r="D337"/>
  <c r="B337"/>
  <c r="I168"/>
  <c r="C169" s="1"/>
  <c r="F168"/>
  <c r="G168" s="1"/>
  <c r="D338" l="1"/>
  <c r="B338"/>
  <c r="A339"/>
  <c r="H169"/>
  <c r="E169"/>
  <c r="D339" l="1"/>
  <c r="B339"/>
  <c r="A340"/>
  <c r="F169"/>
  <c r="G169" s="1"/>
  <c r="I169"/>
  <c r="C170" s="1"/>
  <c r="B340" l="1"/>
  <c r="A341"/>
  <c r="D340"/>
  <c r="H170"/>
  <c r="E170"/>
  <c r="D341" l="1"/>
  <c r="B341"/>
  <c r="A342"/>
  <c r="I170"/>
  <c r="C171" s="1"/>
  <c r="F170"/>
  <c r="G170" s="1"/>
  <c r="D342" l="1"/>
  <c r="B342"/>
  <c r="A343"/>
  <c r="H171"/>
  <c r="E171"/>
  <c r="B343" l="1"/>
  <c r="A344"/>
  <c r="D343"/>
  <c r="F171"/>
  <c r="G171" s="1"/>
  <c r="I171"/>
  <c r="C172" s="1"/>
  <c r="D344" l="1"/>
  <c r="B344"/>
  <c r="A345"/>
  <c r="H172"/>
  <c r="E172"/>
  <c r="A346" l="1"/>
  <c r="D345"/>
  <c r="B345"/>
  <c r="I172"/>
  <c r="C173" s="1"/>
  <c r="F172"/>
  <c r="G172" s="1"/>
  <c r="A347" l="1"/>
  <c r="B346"/>
  <c r="D346"/>
  <c r="H173"/>
  <c r="E173"/>
  <c r="A348" l="1"/>
  <c r="D347"/>
  <c r="B347"/>
  <c r="F173"/>
  <c r="G173" s="1"/>
  <c r="I173"/>
  <c r="C174" s="1"/>
  <c r="D348" l="1"/>
  <c r="B348"/>
  <c r="A349"/>
  <c r="E174"/>
  <c r="H174"/>
  <c r="B349" l="1"/>
  <c r="D349"/>
  <c r="A350"/>
  <c r="F174"/>
  <c r="G174" s="1"/>
  <c r="I174"/>
  <c r="C175" s="1"/>
  <c r="A351" l="1"/>
  <c r="B350"/>
  <c r="D350"/>
  <c r="E175"/>
  <c r="H175"/>
  <c r="A352" l="1"/>
  <c r="D351"/>
  <c r="B351"/>
  <c r="I175"/>
  <c r="C176" s="1"/>
  <c r="F175"/>
  <c r="G175" s="1"/>
  <c r="B352" l="1"/>
  <c r="A353"/>
  <c r="D352"/>
  <c r="H176"/>
  <c r="E176"/>
  <c r="A354" l="1"/>
  <c r="D353"/>
  <c r="B353"/>
  <c r="I176"/>
  <c r="C177" s="1"/>
  <c r="F176"/>
  <c r="G176" s="1"/>
  <c r="B354" l="1"/>
  <c r="A355"/>
  <c r="D354"/>
  <c r="E177"/>
  <c r="H177"/>
  <c r="A356" l="1"/>
  <c r="D355"/>
  <c r="B355"/>
  <c r="F177"/>
  <c r="G177" s="1"/>
  <c r="I177"/>
  <c r="C178" s="1"/>
  <c r="B356" l="1"/>
  <c r="D356"/>
  <c r="A357"/>
  <c r="H178"/>
  <c r="E178"/>
  <c r="A358" l="1"/>
  <c r="D357"/>
  <c r="B357"/>
  <c r="F178"/>
  <c r="G178" s="1"/>
  <c r="I178"/>
  <c r="C179" s="1"/>
  <c r="B358" l="1"/>
  <c r="A359"/>
  <c r="D358"/>
  <c r="E179"/>
  <c r="H179"/>
  <c r="A360" l="1"/>
  <c r="D359"/>
  <c r="B359"/>
  <c r="F179"/>
  <c r="G179" s="1"/>
  <c r="I179"/>
  <c r="C180" s="1"/>
  <c r="B360" l="1"/>
  <c r="A361"/>
  <c r="D360"/>
  <c r="H180"/>
  <c r="E180"/>
  <c r="A362" l="1"/>
  <c r="D361"/>
  <c r="B361"/>
  <c r="F180"/>
  <c r="G180" s="1"/>
  <c r="I180"/>
  <c r="C181" s="1"/>
  <c r="B362" l="1"/>
  <c r="D362"/>
  <c r="A363"/>
  <c r="H181"/>
  <c r="E181"/>
  <c r="A364" l="1"/>
  <c r="D363"/>
  <c r="B363"/>
  <c r="I181"/>
  <c r="C182" s="1"/>
  <c r="F181"/>
  <c r="G181" s="1"/>
  <c r="A365" l="1"/>
  <c r="B364"/>
  <c r="D364"/>
  <c r="H182"/>
  <c r="E182"/>
  <c r="A366" l="1"/>
  <c r="D365"/>
  <c r="B365"/>
  <c r="I182"/>
  <c r="C183" s="1"/>
  <c r="F182"/>
  <c r="G182" s="1"/>
  <c r="B366" l="1"/>
  <c r="D366"/>
  <c r="A367"/>
  <c r="E183"/>
  <c r="H183"/>
  <c r="A368" l="1"/>
  <c r="D367"/>
  <c r="B367"/>
  <c r="F183"/>
  <c r="G183" s="1"/>
  <c r="I183"/>
  <c r="C184" s="1"/>
  <c r="A369" l="1"/>
  <c r="B368"/>
  <c r="D368"/>
  <c r="H184"/>
  <c r="E184"/>
  <c r="A370" l="1"/>
  <c r="D369"/>
  <c r="B369"/>
  <c r="F184"/>
  <c r="G184" s="1"/>
  <c r="I184"/>
  <c r="C185" s="1"/>
  <c r="D370" l="1"/>
  <c r="B370"/>
  <c r="A371"/>
  <c r="E185"/>
  <c r="H185"/>
  <c r="A372" l="1"/>
  <c r="D371"/>
  <c r="B371"/>
  <c r="F185"/>
  <c r="G185" s="1"/>
  <c r="I185"/>
  <c r="C186" s="1"/>
  <c r="B372" l="1"/>
  <c r="D372"/>
  <c r="A373"/>
  <c r="H186"/>
  <c r="E186"/>
  <c r="A374" l="1"/>
  <c r="D373"/>
  <c r="B373"/>
  <c r="F186"/>
  <c r="G186" s="1"/>
  <c r="I186"/>
  <c r="C187" s="1"/>
  <c r="D374" l="1"/>
  <c r="B374"/>
  <c r="E187"/>
  <c r="H187"/>
  <c r="I187" l="1"/>
  <c r="C188" s="1"/>
  <c r="F187"/>
  <c r="G187" s="1"/>
  <c r="E188" l="1"/>
  <c r="H188"/>
  <c r="F188" l="1"/>
  <c r="G188" s="1"/>
  <c r="I188"/>
  <c r="C189" s="1"/>
  <c r="E189" l="1"/>
  <c r="H189"/>
  <c r="F189" l="1"/>
  <c r="G189" s="1"/>
  <c r="I189"/>
  <c r="C190" s="1"/>
  <c r="H190" l="1"/>
  <c r="E190"/>
  <c r="F190" l="1"/>
  <c r="G190" s="1"/>
  <c r="I190"/>
  <c r="C191" s="1"/>
  <c r="E191" l="1"/>
  <c r="H191"/>
  <c r="I191" l="1"/>
  <c r="C192" s="1"/>
  <c r="F191"/>
  <c r="G191" s="1"/>
  <c r="E192" l="1"/>
  <c r="H192"/>
  <c r="I192" l="1"/>
  <c r="C193" s="1"/>
  <c r="F192"/>
  <c r="G192" s="1"/>
  <c r="E193" l="1"/>
  <c r="H193"/>
  <c r="F193" l="1"/>
  <c r="G193" s="1"/>
  <c r="I193"/>
  <c r="C194" s="1"/>
  <c r="E194" l="1"/>
  <c r="H194"/>
  <c r="I194" l="1"/>
  <c r="C195" s="1"/>
  <c r="F194"/>
  <c r="G194" s="1"/>
  <c r="E195" l="1"/>
  <c r="H195"/>
  <c r="F195" l="1"/>
  <c r="G195" s="1"/>
  <c r="I195"/>
  <c r="C196" s="1"/>
  <c r="E196" l="1"/>
  <c r="H196"/>
  <c r="I196" l="1"/>
  <c r="C197" s="1"/>
  <c r="F196"/>
  <c r="G196" s="1"/>
  <c r="H197" l="1"/>
  <c r="E197"/>
  <c r="F197" l="1"/>
  <c r="G197" s="1"/>
  <c r="I197"/>
  <c r="C198" s="1"/>
  <c r="H198" l="1"/>
  <c r="E198"/>
  <c r="F198" l="1"/>
  <c r="G198" s="1"/>
  <c r="I198"/>
  <c r="C199" s="1"/>
  <c r="E199" l="1"/>
  <c r="H199"/>
  <c r="I199" l="1"/>
  <c r="C200" s="1"/>
  <c r="F199"/>
  <c r="G199" s="1"/>
  <c r="H200" l="1"/>
  <c r="E200"/>
  <c r="F200" l="1"/>
  <c r="G200" s="1"/>
  <c r="I200"/>
  <c r="C201" s="1"/>
  <c r="H201" l="1"/>
  <c r="E201"/>
  <c r="F201" l="1"/>
  <c r="G201" s="1"/>
  <c r="I201"/>
  <c r="C202" s="1"/>
  <c r="E202" l="1"/>
  <c r="H202"/>
  <c r="I202" l="1"/>
  <c r="C203" s="1"/>
  <c r="F202"/>
  <c r="G202" s="1"/>
  <c r="E203" l="1"/>
  <c r="H203"/>
  <c r="I203" l="1"/>
  <c r="C204" s="1"/>
  <c r="F203"/>
  <c r="G203" s="1"/>
  <c r="H204" l="1"/>
  <c r="E204"/>
  <c r="F204" l="1"/>
  <c r="G204" s="1"/>
  <c r="I204"/>
  <c r="C205" s="1"/>
  <c r="H205" l="1"/>
  <c r="E205"/>
  <c r="F205" l="1"/>
  <c r="G205" s="1"/>
  <c r="I205"/>
  <c r="C206" s="1"/>
  <c r="E206" l="1"/>
  <c r="H206"/>
  <c r="F206" l="1"/>
  <c r="G206" s="1"/>
  <c r="I206"/>
  <c r="C207" s="1"/>
  <c r="E207" l="1"/>
  <c r="H207"/>
  <c r="I207" l="1"/>
  <c r="C208" s="1"/>
  <c r="F207"/>
  <c r="G207" s="1"/>
  <c r="H208" l="1"/>
  <c r="E208"/>
  <c r="F208" l="1"/>
  <c r="G208" s="1"/>
  <c r="I208"/>
  <c r="C209" s="1"/>
  <c r="E209" l="1"/>
  <c r="H209"/>
  <c r="I209" l="1"/>
  <c r="C210" s="1"/>
  <c r="F209"/>
  <c r="G209" s="1"/>
  <c r="E210" l="1"/>
  <c r="H210"/>
  <c r="I210" l="1"/>
  <c r="C211" s="1"/>
  <c r="F210"/>
  <c r="G210" s="1"/>
  <c r="E211" l="1"/>
  <c r="H211"/>
  <c r="I211" l="1"/>
  <c r="C212" s="1"/>
  <c r="F211"/>
  <c r="G211" s="1"/>
  <c r="H212" l="1"/>
  <c r="E212"/>
  <c r="I212" l="1"/>
  <c r="C213" s="1"/>
  <c r="F212"/>
  <c r="G212" s="1"/>
  <c r="H213" l="1"/>
  <c r="E213"/>
  <c r="I213" l="1"/>
  <c r="C214" s="1"/>
  <c r="F213"/>
  <c r="G213" s="1"/>
  <c r="E214" l="1"/>
  <c r="H214"/>
  <c r="I214" l="1"/>
  <c r="C215" s="1"/>
  <c r="F214"/>
  <c r="G214" s="1"/>
  <c r="E215" l="1"/>
  <c r="H215"/>
  <c r="F215" l="1"/>
  <c r="G215" s="1"/>
  <c r="I215"/>
  <c r="C216" s="1"/>
  <c r="E216" l="1"/>
  <c r="H216"/>
  <c r="I216" l="1"/>
  <c r="C217" s="1"/>
  <c r="F216"/>
  <c r="G216" s="1"/>
  <c r="H217" l="1"/>
  <c r="E217"/>
  <c r="F217" l="1"/>
  <c r="G217" s="1"/>
  <c r="I217"/>
  <c r="C218" s="1"/>
  <c r="E218" l="1"/>
  <c r="H218"/>
  <c r="F218" l="1"/>
  <c r="G218" s="1"/>
  <c r="I218"/>
  <c r="C219" s="1"/>
  <c r="E219" l="1"/>
  <c r="H219"/>
  <c r="I219" l="1"/>
  <c r="C220" s="1"/>
  <c r="F219"/>
  <c r="G219" s="1"/>
  <c r="H220" l="1"/>
  <c r="E220"/>
  <c r="I220" l="1"/>
  <c r="C221" s="1"/>
  <c r="F220"/>
  <c r="G220" s="1"/>
  <c r="H221" l="1"/>
  <c r="E221"/>
  <c r="I221" l="1"/>
  <c r="C222" s="1"/>
  <c r="F221"/>
  <c r="G221" s="1"/>
  <c r="H222" l="1"/>
  <c r="E222"/>
  <c r="F222" l="1"/>
  <c r="G222" s="1"/>
  <c r="I222"/>
  <c r="C223" s="1"/>
  <c r="H223" l="1"/>
  <c r="E223"/>
  <c r="I223" l="1"/>
  <c r="C224" s="1"/>
  <c r="F223"/>
  <c r="G223" s="1"/>
  <c r="E224" l="1"/>
  <c r="H224"/>
  <c r="F224" l="1"/>
  <c r="G224" s="1"/>
  <c r="I224"/>
  <c r="C225" s="1"/>
  <c r="H225" l="1"/>
  <c r="E225"/>
  <c r="I225" l="1"/>
  <c r="C226" s="1"/>
  <c r="F225"/>
  <c r="G225" s="1"/>
  <c r="H226" l="1"/>
  <c r="E226"/>
  <c r="F226" l="1"/>
  <c r="G226" s="1"/>
  <c r="I226"/>
  <c r="C227" s="1"/>
  <c r="E227" l="1"/>
  <c r="H227"/>
  <c r="I227" l="1"/>
  <c r="C228" s="1"/>
  <c r="F227"/>
  <c r="G227" s="1"/>
  <c r="H228" l="1"/>
  <c r="E228"/>
  <c r="F228" l="1"/>
  <c r="G228" s="1"/>
  <c r="I228"/>
  <c r="C229" s="1"/>
  <c r="H229" l="1"/>
  <c r="E229"/>
  <c r="I229" l="1"/>
  <c r="C230" s="1"/>
  <c r="F229"/>
  <c r="G229" s="1"/>
  <c r="E230" l="1"/>
  <c r="H230"/>
  <c r="I230" l="1"/>
  <c r="C231" s="1"/>
  <c r="F230"/>
  <c r="G230" s="1"/>
  <c r="H231" l="1"/>
  <c r="E231"/>
  <c r="F231" l="1"/>
  <c r="G231" s="1"/>
  <c r="I231"/>
  <c r="C232" s="1"/>
  <c r="E232" l="1"/>
  <c r="H232"/>
  <c r="I232" l="1"/>
  <c r="C233" s="1"/>
  <c r="F232"/>
  <c r="G232" s="1"/>
  <c r="H233" l="1"/>
  <c r="E233"/>
  <c r="F233" l="1"/>
  <c r="G233" s="1"/>
  <c r="I233"/>
  <c r="C234" s="1"/>
  <c r="H234" l="1"/>
  <c r="E234"/>
  <c r="F234" l="1"/>
  <c r="G234" s="1"/>
  <c r="I234"/>
  <c r="C235" s="1"/>
  <c r="E235" l="1"/>
  <c r="H235"/>
  <c r="F235" l="1"/>
  <c r="G235" s="1"/>
  <c r="I235"/>
  <c r="C236" s="1"/>
  <c r="H236" l="1"/>
  <c r="E236"/>
  <c r="I236" l="1"/>
  <c r="C237" s="1"/>
  <c r="F236"/>
  <c r="G236" s="1"/>
  <c r="H237" l="1"/>
  <c r="E237"/>
  <c r="I237" l="1"/>
  <c r="C238" s="1"/>
  <c r="F237"/>
  <c r="G237" s="1"/>
  <c r="H238" l="1"/>
  <c r="E238"/>
  <c r="I238" l="1"/>
  <c r="C239" s="1"/>
  <c r="F238"/>
  <c r="G238" s="1"/>
  <c r="H239" l="1"/>
  <c r="E239"/>
  <c r="I239" l="1"/>
  <c r="C240" s="1"/>
  <c r="F239"/>
  <c r="G239" s="1"/>
  <c r="E240" l="1"/>
  <c r="H240"/>
  <c r="F240" l="1"/>
  <c r="G240" s="1"/>
  <c r="I240"/>
  <c r="C241" s="1"/>
  <c r="E241" l="1"/>
  <c r="H241"/>
  <c r="I241" l="1"/>
  <c r="C242" s="1"/>
  <c r="F241"/>
  <c r="G241" s="1"/>
  <c r="H242" l="1"/>
  <c r="E242"/>
  <c r="I242" l="1"/>
  <c r="C243" s="1"/>
  <c r="F242"/>
  <c r="G242" s="1"/>
  <c r="E243" l="1"/>
  <c r="H243"/>
  <c r="I243" l="1"/>
  <c r="C244" s="1"/>
  <c r="F243"/>
  <c r="G243" s="1"/>
  <c r="H244" l="1"/>
  <c r="E244"/>
  <c r="F244" l="1"/>
  <c r="G244" s="1"/>
  <c r="I244"/>
  <c r="C245" s="1"/>
  <c r="H245" l="1"/>
  <c r="E245"/>
  <c r="F245" l="1"/>
  <c r="G245" s="1"/>
  <c r="I245"/>
  <c r="C246" s="1"/>
  <c r="E246" l="1"/>
  <c r="H246"/>
  <c r="I246" l="1"/>
  <c r="C247" s="1"/>
  <c r="F246"/>
  <c r="G246" s="1"/>
  <c r="E247" l="1"/>
  <c r="H247"/>
  <c r="I247" l="1"/>
  <c r="C248" s="1"/>
  <c r="F247"/>
  <c r="G247" s="1"/>
  <c r="H248" l="1"/>
  <c r="E248"/>
  <c r="F248" l="1"/>
  <c r="G248" s="1"/>
  <c r="I248"/>
  <c r="C249" s="1"/>
  <c r="H249" l="1"/>
  <c r="E249"/>
  <c r="I249" l="1"/>
  <c r="C250" s="1"/>
  <c r="F249"/>
  <c r="G249" s="1"/>
  <c r="H250" l="1"/>
  <c r="E250"/>
  <c r="I250" l="1"/>
  <c r="C251" s="1"/>
  <c r="F250"/>
  <c r="G250" s="1"/>
  <c r="H251" l="1"/>
  <c r="E251"/>
  <c r="I251" l="1"/>
  <c r="C252" s="1"/>
  <c r="F251"/>
  <c r="G251" s="1"/>
  <c r="E252" l="1"/>
  <c r="H252"/>
  <c r="I252" l="1"/>
  <c r="C253" s="1"/>
  <c r="F252"/>
  <c r="G252" s="1"/>
  <c r="H253" l="1"/>
  <c r="E253"/>
  <c r="I253" l="1"/>
  <c r="C254" s="1"/>
  <c r="F253"/>
  <c r="G253" s="1"/>
  <c r="H254" l="1"/>
  <c r="E254"/>
  <c r="F254" l="1"/>
  <c r="G254" s="1"/>
  <c r="I254"/>
  <c r="C255" s="1"/>
  <c r="H255" l="1"/>
  <c r="E255"/>
  <c r="F255" l="1"/>
  <c r="G255" s="1"/>
  <c r="I255"/>
  <c r="C256" s="1"/>
  <c r="H256" l="1"/>
  <c r="E256"/>
  <c r="I256" l="1"/>
  <c r="C257" s="1"/>
  <c r="F256"/>
  <c r="G256" s="1"/>
  <c r="E257" l="1"/>
  <c r="H257"/>
  <c r="F257" l="1"/>
  <c r="G257" s="1"/>
  <c r="I257"/>
  <c r="C258" s="1"/>
  <c r="H258" l="1"/>
  <c r="E258"/>
  <c r="F258" l="1"/>
  <c r="G258" s="1"/>
  <c r="I258"/>
  <c r="C259" s="1"/>
  <c r="H259" l="1"/>
  <c r="E259"/>
  <c r="I259" l="1"/>
  <c r="C260" s="1"/>
  <c r="F259"/>
  <c r="G259" s="1"/>
  <c r="H260" l="1"/>
  <c r="E260"/>
  <c r="F260" l="1"/>
  <c r="G260" s="1"/>
  <c r="I260"/>
  <c r="C261" s="1"/>
  <c r="E261" l="1"/>
  <c r="H261"/>
  <c r="F261" l="1"/>
  <c r="G261" s="1"/>
  <c r="I261"/>
  <c r="C262" s="1"/>
  <c r="H262" l="1"/>
  <c r="E262"/>
  <c r="F262" l="1"/>
  <c r="G262" s="1"/>
  <c r="I262"/>
  <c r="C263" s="1"/>
  <c r="H263" l="1"/>
  <c r="E263"/>
  <c r="I263" l="1"/>
  <c r="C264" s="1"/>
  <c r="F263"/>
  <c r="G263" s="1"/>
  <c r="H264" l="1"/>
  <c r="E264"/>
  <c r="F264" l="1"/>
  <c r="G264" s="1"/>
  <c r="I264"/>
  <c r="C265" s="1"/>
  <c r="E265" l="1"/>
  <c r="H265"/>
  <c r="F265" l="1"/>
  <c r="G265" s="1"/>
  <c r="I265"/>
  <c r="C266" s="1"/>
  <c r="H266" l="1"/>
  <c r="E266"/>
  <c r="I266" l="1"/>
  <c r="C267" s="1"/>
  <c r="F266"/>
  <c r="G266" s="1"/>
  <c r="H267" l="1"/>
  <c r="E267"/>
  <c r="I267" l="1"/>
  <c r="C268" s="1"/>
  <c r="F267"/>
  <c r="G267" s="1"/>
  <c r="E268" l="1"/>
  <c r="H268"/>
  <c r="F268" l="1"/>
  <c r="G268" s="1"/>
  <c r="I268"/>
  <c r="C269" s="1"/>
  <c r="E269" l="1"/>
  <c r="H269"/>
  <c r="F269" l="1"/>
  <c r="G269" s="1"/>
  <c r="I269"/>
  <c r="C270" s="1"/>
  <c r="H270" l="1"/>
  <c r="E270"/>
  <c r="F270" l="1"/>
  <c r="G270" s="1"/>
  <c r="I270"/>
  <c r="C271" s="1"/>
  <c r="H271" l="1"/>
  <c r="E271"/>
  <c r="I271" l="1"/>
  <c r="C272" s="1"/>
  <c r="F271"/>
  <c r="G271" s="1"/>
  <c r="E272" l="1"/>
  <c r="H272"/>
  <c r="I272" l="1"/>
  <c r="C273" s="1"/>
  <c r="F272"/>
  <c r="G272" s="1"/>
  <c r="E273" l="1"/>
  <c r="H273"/>
  <c r="F273" l="1"/>
  <c r="G273" s="1"/>
  <c r="I273"/>
  <c r="C274" s="1"/>
  <c r="E274" l="1"/>
  <c r="H274"/>
  <c r="F274" l="1"/>
  <c r="G274" s="1"/>
  <c r="I274"/>
  <c r="C275" s="1"/>
  <c r="E275" l="1"/>
  <c r="H275"/>
  <c r="I275" l="1"/>
  <c r="C276" s="1"/>
  <c r="F275"/>
  <c r="G275" s="1"/>
  <c r="E276" l="1"/>
  <c r="H276"/>
  <c r="I276" l="1"/>
  <c r="C277" s="1"/>
  <c r="F276"/>
  <c r="G276" s="1"/>
  <c r="H277" l="1"/>
  <c r="E277"/>
  <c r="I277" l="1"/>
  <c r="C278" s="1"/>
  <c r="F277"/>
  <c r="G277" s="1"/>
  <c r="E278" l="1"/>
  <c r="H278"/>
  <c r="F278" l="1"/>
  <c r="G278" s="1"/>
  <c r="I278"/>
  <c r="C279" s="1"/>
  <c r="H279" l="1"/>
  <c r="E279"/>
  <c r="F279" l="1"/>
  <c r="G279" s="1"/>
  <c r="I279"/>
  <c r="C280" s="1"/>
  <c r="E280" l="1"/>
  <c r="H280"/>
  <c r="F280" l="1"/>
  <c r="G280" s="1"/>
  <c r="I280"/>
  <c r="C281" s="1"/>
  <c r="H281" l="1"/>
  <c r="E281"/>
  <c r="I281" l="1"/>
  <c r="C282" s="1"/>
  <c r="F281"/>
  <c r="G281" s="1"/>
  <c r="E282" l="1"/>
  <c r="H282"/>
  <c r="I282" l="1"/>
  <c r="C283" s="1"/>
  <c r="F282"/>
  <c r="G282" s="1"/>
  <c r="E283" l="1"/>
  <c r="H283"/>
  <c r="I283" l="1"/>
  <c r="C284" s="1"/>
  <c r="F283"/>
  <c r="G283" s="1"/>
  <c r="E284" l="1"/>
  <c r="H284"/>
  <c r="F284" l="1"/>
  <c r="G284" s="1"/>
  <c r="I284"/>
  <c r="C285" s="1"/>
  <c r="H285" l="1"/>
  <c r="E285"/>
  <c r="F285" l="1"/>
  <c r="G285" s="1"/>
  <c r="I285"/>
  <c r="C286" s="1"/>
  <c r="E286" l="1"/>
  <c r="H286"/>
  <c r="I286" l="1"/>
  <c r="C287" s="1"/>
  <c r="F286"/>
  <c r="G286" s="1"/>
  <c r="E287" l="1"/>
  <c r="H287"/>
  <c r="F287" l="1"/>
  <c r="G287" s="1"/>
  <c r="I287"/>
  <c r="C288" s="1"/>
  <c r="E288" l="1"/>
  <c r="H288"/>
  <c r="I288" l="1"/>
  <c r="C289" s="1"/>
  <c r="F288"/>
  <c r="G288" s="1"/>
  <c r="E289" l="1"/>
  <c r="H289"/>
  <c r="F289" l="1"/>
  <c r="G289" s="1"/>
  <c r="I289"/>
  <c r="C290" s="1"/>
  <c r="E290" l="1"/>
  <c r="H290"/>
  <c r="F290" l="1"/>
  <c r="G290" s="1"/>
  <c r="I290"/>
  <c r="C291" s="1"/>
  <c r="E291" l="1"/>
  <c r="H291"/>
  <c r="F291" l="1"/>
  <c r="G291" s="1"/>
  <c r="I291"/>
  <c r="C292" s="1"/>
  <c r="E292" l="1"/>
  <c r="H292"/>
  <c r="F292" l="1"/>
  <c r="G292" s="1"/>
  <c r="I292"/>
  <c r="C293" s="1"/>
  <c r="H293" l="1"/>
  <c r="E293"/>
  <c r="I293" l="1"/>
  <c r="C294" s="1"/>
  <c r="F293"/>
  <c r="G293" s="1"/>
  <c r="E294" l="1"/>
  <c r="H294"/>
  <c r="F294" l="1"/>
  <c r="G294" s="1"/>
  <c r="I294"/>
  <c r="C295" s="1"/>
  <c r="E295" l="1"/>
  <c r="H295"/>
  <c r="F295" l="1"/>
  <c r="G295" s="1"/>
  <c r="I295"/>
  <c r="C296" s="1"/>
  <c r="H296" l="1"/>
  <c r="E296"/>
  <c r="F296" l="1"/>
  <c r="G296" s="1"/>
  <c r="I296"/>
  <c r="C297" s="1"/>
  <c r="E297" l="1"/>
  <c r="H297"/>
  <c r="I297" l="1"/>
  <c r="C298" s="1"/>
  <c r="F297"/>
  <c r="G297" s="1"/>
  <c r="E298" l="1"/>
  <c r="H298"/>
  <c r="I298" l="1"/>
  <c r="C299" s="1"/>
  <c r="F298"/>
  <c r="G298" s="1"/>
  <c r="E299" l="1"/>
  <c r="H299"/>
  <c r="F299" l="1"/>
  <c r="G299" s="1"/>
  <c r="I299"/>
  <c r="C300" s="1"/>
  <c r="E300" l="1"/>
  <c r="H300"/>
  <c r="F300" l="1"/>
  <c r="G300" s="1"/>
  <c r="I300"/>
  <c r="C301" s="1"/>
  <c r="H301" l="1"/>
  <c r="E301"/>
  <c r="F301" l="1"/>
  <c r="G301" s="1"/>
  <c r="I301"/>
  <c r="C302" s="1"/>
  <c r="E302" l="1"/>
  <c r="H302"/>
  <c r="F302" l="1"/>
  <c r="G302" s="1"/>
  <c r="I302"/>
  <c r="C303" s="1"/>
  <c r="H303" l="1"/>
  <c r="E303"/>
  <c r="F303" l="1"/>
  <c r="G303" s="1"/>
  <c r="I303"/>
  <c r="C304" s="1"/>
  <c r="E304" l="1"/>
  <c r="H304"/>
  <c r="I304" l="1"/>
  <c r="C305" s="1"/>
  <c r="F304"/>
  <c r="G304" s="1"/>
  <c r="E305" l="1"/>
  <c r="H305"/>
  <c r="F305" l="1"/>
  <c r="G305" s="1"/>
  <c r="I305"/>
  <c r="C306" s="1"/>
  <c r="E306" l="1"/>
  <c r="H306"/>
  <c r="I306" l="1"/>
  <c r="C307" s="1"/>
  <c r="F306"/>
  <c r="G306" s="1"/>
  <c r="E307" l="1"/>
  <c r="H307"/>
  <c r="F307" l="1"/>
  <c r="G307" s="1"/>
  <c r="I307"/>
  <c r="C308" s="1"/>
  <c r="E308" l="1"/>
  <c r="H308"/>
  <c r="F308" l="1"/>
  <c r="G308" s="1"/>
  <c r="I308"/>
  <c r="C309" s="1"/>
  <c r="E309" l="1"/>
  <c r="H309"/>
  <c r="F309" l="1"/>
  <c r="G309" s="1"/>
  <c r="I309"/>
  <c r="C310" s="1"/>
  <c r="E310" l="1"/>
  <c r="H310"/>
  <c r="F310" l="1"/>
  <c r="G310" s="1"/>
  <c r="I310"/>
  <c r="C311" s="1"/>
  <c r="H311" l="1"/>
  <c r="E311"/>
  <c r="I311" l="1"/>
  <c r="C312" s="1"/>
  <c r="F311"/>
  <c r="G311" s="1"/>
  <c r="E312" l="1"/>
  <c r="H312"/>
  <c r="I312" l="1"/>
  <c r="C313" s="1"/>
  <c r="F312"/>
  <c r="G312" s="1"/>
  <c r="E313" l="1"/>
  <c r="H313"/>
  <c r="I313" l="1"/>
  <c r="C314" s="1"/>
  <c r="F313"/>
  <c r="G313" s="1"/>
  <c r="E314" l="1"/>
  <c r="H314"/>
  <c r="I314" l="1"/>
  <c r="C315" s="1"/>
  <c r="F314"/>
  <c r="G314" s="1"/>
  <c r="E315" l="1"/>
  <c r="H315"/>
  <c r="F315" l="1"/>
  <c r="G315" s="1"/>
  <c r="I315"/>
  <c r="C316" s="1"/>
  <c r="E316" l="1"/>
  <c r="H316"/>
  <c r="I316" l="1"/>
  <c r="C317" s="1"/>
  <c r="F316"/>
  <c r="G316" s="1"/>
  <c r="E317" l="1"/>
  <c r="H317"/>
  <c r="F317" l="1"/>
  <c r="G317" s="1"/>
  <c r="I317"/>
  <c r="C318" s="1"/>
  <c r="E318" l="1"/>
  <c r="H318"/>
  <c r="F318" l="1"/>
  <c r="G318" s="1"/>
  <c r="I318"/>
  <c r="C319" s="1"/>
  <c r="E319" l="1"/>
  <c r="H319"/>
  <c r="F319" l="1"/>
  <c r="G319" s="1"/>
  <c r="I319"/>
  <c r="C320" s="1"/>
  <c r="H320" l="1"/>
  <c r="E320"/>
  <c r="I320" l="1"/>
  <c r="C321" s="1"/>
  <c r="F320"/>
  <c r="G320" s="1"/>
  <c r="H321" l="1"/>
  <c r="E321"/>
  <c r="F321" l="1"/>
  <c r="G321" s="1"/>
  <c r="I321"/>
  <c r="C322" s="1"/>
  <c r="E322" l="1"/>
  <c r="H322"/>
  <c r="F322" l="1"/>
  <c r="G322" s="1"/>
  <c r="I322"/>
  <c r="C323" s="1"/>
  <c r="H323" l="1"/>
  <c r="E323"/>
  <c r="I323" l="1"/>
  <c r="C324" s="1"/>
  <c r="F323"/>
  <c r="G323" s="1"/>
  <c r="H324" l="1"/>
  <c r="E324"/>
  <c r="F324" l="1"/>
  <c r="G324" s="1"/>
  <c r="I324"/>
  <c r="C325" s="1"/>
  <c r="H325" l="1"/>
  <c r="E325"/>
  <c r="F325" l="1"/>
  <c r="G325" s="1"/>
  <c r="I325"/>
  <c r="C326" s="1"/>
  <c r="H326" l="1"/>
  <c r="E326"/>
  <c r="F326" l="1"/>
  <c r="G326" s="1"/>
  <c r="I326"/>
  <c r="C327" s="1"/>
  <c r="E327" l="1"/>
  <c r="H327"/>
  <c r="F327" l="1"/>
  <c r="G327" s="1"/>
  <c r="I327"/>
  <c r="C328" s="1"/>
  <c r="E328" l="1"/>
  <c r="H328"/>
  <c r="F328" l="1"/>
  <c r="G328" s="1"/>
  <c r="I328"/>
  <c r="C329" s="1"/>
  <c r="H329" l="1"/>
  <c r="E329"/>
  <c r="F329" l="1"/>
  <c r="G329" s="1"/>
  <c r="I329"/>
  <c r="C330" s="1"/>
  <c r="E330" l="1"/>
  <c r="H330"/>
  <c r="I330" l="1"/>
  <c r="C331" s="1"/>
  <c r="F330"/>
  <c r="G330" s="1"/>
  <c r="H331" l="1"/>
  <c r="E331"/>
  <c r="I331" l="1"/>
  <c r="C332" s="1"/>
  <c r="F331"/>
  <c r="G331" s="1"/>
  <c r="E332" l="1"/>
  <c r="H332"/>
  <c r="I332" l="1"/>
  <c r="C333" s="1"/>
  <c r="F332"/>
  <c r="G332" s="1"/>
  <c r="H333" l="1"/>
  <c r="E333"/>
  <c r="I333" l="1"/>
  <c r="C334" s="1"/>
  <c r="F333"/>
  <c r="G333" s="1"/>
  <c r="H334" l="1"/>
  <c r="E334"/>
  <c r="I334" l="1"/>
  <c r="C335" s="1"/>
  <c r="F334"/>
  <c r="G334" s="1"/>
  <c r="H335" l="1"/>
  <c r="E335"/>
  <c r="I335" l="1"/>
  <c r="C336" s="1"/>
  <c r="F335"/>
  <c r="G335" s="1"/>
  <c r="H336" l="1"/>
  <c r="E336"/>
  <c r="F336" l="1"/>
  <c r="G336" s="1"/>
  <c r="I336"/>
  <c r="C337" s="1"/>
  <c r="E337" l="1"/>
  <c r="H337"/>
  <c r="F337" l="1"/>
  <c r="G337" s="1"/>
  <c r="I337"/>
  <c r="C338" s="1"/>
  <c r="H338" l="1"/>
  <c r="E338"/>
  <c r="F338" l="1"/>
  <c r="G338" s="1"/>
  <c r="I338"/>
  <c r="C339" s="1"/>
  <c r="E339" l="1"/>
  <c r="H339"/>
  <c r="I339" l="1"/>
  <c r="C340" s="1"/>
  <c r="F339"/>
  <c r="G339" s="1"/>
  <c r="H340" l="1"/>
  <c r="E340"/>
  <c r="F340" l="1"/>
  <c r="G340" s="1"/>
  <c r="I340"/>
  <c r="C341" s="1"/>
  <c r="E341" l="1"/>
  <c r="H341"/>
  <c r="F341" l="1"/>
  <c r="G341" s="1"/>
  <c r="I341"/>
  <c r="C342" s="1"/>
  <c r="H342" l="1"/>
  <c r="E342"/>
  <c r="F342" l="1"/>
  <c r="G342" s="1"/>
  <c r="I342"/>
  <c r="C343" s="1"/>
  <c r="H343" l="1"/>
  <c r="E343"/>
  <c r="F343" l="1"/>
  <c r="G343" s="1"/>
  <c r="I343"/>
  <c r="C344" s="1"/>
  <c r="H344" l="1"/>
  <c r="E344"/>
  <c r="I344" l="1"/>
  <c r="C345" s="1"/>
  <c r="F344"/>
  <c r="G344" s="1"/>
  <c r="H345" l="1"/>
  <c r="E345"/>
  <c r="F345" l="1"/>
  <c r="G345" s="1"/>
  <c r="I345"/>
  <c r="C346" s="1"/>
  <c r="H346" l="1"/>
  <c r="E346"/>
  <c r="I346" l="1"/>
  <c r="C347" s="1"/>
  <c r="F346"/>
  <c r="G346" s="1"/>
  <c r="H347" l="1"/>
  <c r="E347"/>
  <c r="I347" l="1"/>
  <c r="C348" s="1"/>
  <c r="F347"/>
  <c r="G347" s="1"/>
  <c r="E348" l="1"/>
  <c r="H348"/>
  <c r="I348" l="1"/>
  <c r="C349" s="1"/>
  <c r="F348"/>
  <c r="G348" s="1"/>
  <c r="H349" l="1"/>
  <c r="E349"/>
  <c r="I349" l="1"/>
  <c r="C350" s="1"/>
  <c r="F349"/>
  <c r="G349" s="1"/>
  <c r="H350" l="1"/>
  <c r="E350"/>
  <c r="I350" l="1"/>
  <c r="C351" s="1"/>
  <c r="F350"/>
  <c r="G350" s="1"/>
  <c r="H351" l="1"/>
  <c r="E351"/>
  <c r="I351" l="1"/>
  <c r="C352" s="1"/>
  <c r="F351"/>
  <c r="G351" s="1"/>
  <c r="H352" l="1"/>
  <c r="E352"/>
  <c r="I352" l="1"/>
  <c r="C353" s="1"/>
  <c r="F352"/>
  <c r="G352" s="1"/>
  <c r="H353" l="1"/>
  <c r="E353"/>
  <c r="F353" l="1"/>
  <c r="G353" s="1"/>
  <c r="I353"/>
  <c r="C354" s="1"/>
  <c r="E354" l="1"/>
  <c r="H354"/>
  <c r="F354" l="1"/>
  <c r="G354" s="1"/>
  <c r="I354"/>
  <c r="C355" s="1"/>
  <c r="H355" l="1"/>
  <c r="E355"/>
  <c r="I355" l="1"/>
  <c r="C356" s="1"/>
  <c r="F355"/>
  <c r="G355" s="1"/>
  <c r="E356" l="1"/>
  <c r="H356"/>
  <c r="F356" l="1"/>
  <c r="G356" s="1"/>
  <c r="I356"/>
  <c r="C357" s="1"/>
  <c r="H357" l="1"/>
  <c r="E357"/>
  <c r="I357" l="1"/>
  <c r="C358" s="1"/>
  <c r="F357"/>
  <c r="G357" s="1"/>
  <c r="E358" l="1"/>
  <c r="H358"/>
  <c r="I358" l="1"/>
  <c r="C359" s="1"/>
  <c r="F358"/>
  <c r="G358" s="1"/>
  <c r="H359" l="1"/>
  <c r="E359"/>
  <c r="F359" l="1"/>
  <c r="G359" s="1"/>
  <c r="I359"/>
  <c r="C360" s="1"/>
  <c r="H360" l="1"/>
  <c r="E360"/>
  <c r="I360" l="1"/>
  <c r="C361" s="1"/>
  <c r="F360"/>
  <c r="G360" s="1"/>
  <c r="H361" l="1"/>
  <c r="E361"/>
  <c r="I361" l="1"/>
  <c r="C362" s="1"/>
  <c r="F361"/>
  <c r="G361" s="1"/>
  <c r="E362" l="1"/>
  <c r="H362"/>
  <c r="F362" l="1"/>
  <c r="G362" s="1"/>
  <c r="I362"/>
  <c r="C363" s="1"/>
  <c r="H363" l="1"/>
  <c r="E363"/>
  <c r="F363" l="1"/>
  <c r="G363" s="1"/>
  <c r="I363"/>
  <c r="C364" s="1"/>
  <c r="H364" l="1"/>
  <c r="E364"/>
  <c r="F364" l="1"/>
  <c r="G364" s="1"/>
  <c r="I364"/>
  <c r="C365" s="1"/>
  <c r="H365" l="1"/>
  <c r="E365"/>
  <c r="F365" l="1"/>
  <c r="G365" s="1"/>
  <c r="I365"/>
  <c r="C366" s="1"/>
  <c r="H366" l="1"/>
  <c r="E366"/>
  <c r="I366" l="1"/>
  <c r="C367" s="1"/>
  <c r="F366"/>
  <c r="G366" s="1"/>
  <c r="H367" l="1"/>
  <c r="E367"/>
  <c r="F367" l="1"/>
  <c r="G367" s="1"/>
  <c r="I367"/>
  <c r="C368" s="1"/>
  <c r="H368" l="1"/>
  <c r="E368"/>
  <c r="I368" l="1"/>
  <c r="C369" s="1"/>
  <c r="F368"/>
  <c r="G368" s="1"/>
  <c r="H369" l="1"/>
  <c r="E369"/>
  <c r="F369" l="1"/>
  <c r="G369" s="1"/>
  <c r="I369"/>
  <c r="C370" s="1"/>
  <c r="H370" l="1"/>
  <c r="E370"/>
  <c r="I370" l="1"/>
  <c r="C371" s="1"/>
  <c r="F370"/>
  <c r="G370" s="1"/>
  <c r="H371" l="1"/>
  <c r="E371"/>
  <c r="F371" l="1"/>
  <c r="G371" s="1"/>
  <c r="I371"/>
  <c r="C372" s="1"/>
  <c r="E372" l="1"/>
  <c r="H372"/>
  <c r="I372" l="1"/>
  <c r="C373" s="1"/>
  <c r="F372"/>
  <c r="G372" s="1"/>
  <c r="H373" l="1"/>
  <c r="E373"/>
  <c r="I373" l="1"/>
  <c r="C374" s="1"/>
  <c r="F373"/>
  <c r="G373" s="1"/>
  <c r="H7" l="1"/>
  <c r="H8"/>
  <c r="H374"/>
  <c r="E374"/>
  <c r="F374" l="1"/>
  <c r="G374" s="1"/>
  <c r="I374"/>
  <c r="H6" s="1"/>
</calcChain>
</file>

<file path=xl/comments1.xml><?xml version="1.0" encoding="utf-8"?>
<comments xmlns="http://schemas.openxmlformats.org/spreadsheetml/2006/main">
  <authors>
    <author>Alfonso</author>
  </authors>
  <commentList>
    <comment ref="A14" authorId="0">
      <text>
        <r>
          <rPr>
            <b/>
            <sz val="9"/>
            <color indexed="81"/>
            <rFont val="Tahoma"/>
            <charset val="1"/>
          </rPr>
          <t xml:space="preserve">
</t>
        </r>
      </text>
    </comment>
    <comment ref="A16" authorId="0">
      <text>
        <r>
          <rPr>
            <b/>
            <sz val="9"/>
            <color indexed="81"/>
            <rFont val="Tahoma"/>
            <charset val="1"/>
          </rPr>
          <t xml:space="preserve">Johana: Otros sabanas y toallas
</t>
        </r>
      </text>
    </comment>
    <comment ref="A18" authorId="0">
      <text>
        <r>
          <rPr>
            <b/>
            <sz val="9"/>
            <color indexed="81"/>
            <rFont val="Tahoma"/>
            <charset val="1"/>
          </rPr>
          <t xml:space="preserve">Incluye solo insumos y mano de obra variable
</t>
        </r>
      </text>
    </comment>
  </commentList>
</comments>
</file>

<file path=xl/sharedStrings.xml><?xml version="1.0" encoding="utf-8"?>
<sst xmlns="http://schemas.openxmlformats.org/spreadsheetml/2006/main" count="579" uniqueCount="289">
  <si>
    <t>Descripción</t>
  </si>
  <si>
    <t>Precio Unitario</t>
  </si>
  <si>
    <t>Cantidad</t>
  </si>
  <si>
    <t>Precio Total</t>
  </si>
  <si>
    <t>Computadoras</t>
  </si>
  <si>
    <t>Impresora Laser</t>
  </si>
  <si>
    <t>Fax</t>
  </si>
  <si>
    <t>Muebles y Enseres</t>
  </si>
  <si>
    <t>Equipo de Oficina</t>
  </si>
  <si>
    <t>Escritorios</t>
  </si>
  <si>
    <t>Sillas</t>
  </si>
  <si>
    <t>Archivadores</t>
  </si>
  <si>
    <t>Mesa para reuniones</t>
  </si>
  <si>
    <t>Sistema de Alarmas</t>
  </si>
  <si>
    <t>Extintor</t>
  </si>
  <si>
    <t>Adecuaciones de Local</t>
  </si>
  <si>
    <t>Total Equipo de Oficina</t>
  </si>
  <si>
    <t>Total Muebles y Enseres</t>
  </si>
  <si>
    <t>Total Adecuaciones del Local</t>
  </si>
  <si>
    <t>Equipos y maquinaria</t>
  </si>
  <si>
    <t>Total Equipos y Maquinarias</t>
  </si>
  <si>
    <t>Total Activos Fijos</t>
  </si>
  <si>
    <t>Alquiler</t>
  </si>
  <si>
    <t>Telefono</t>
  </si>
  <si>
    <t>Mes 0</t>
  </si>
  <si>
    <t>Mes 1</t>
  </si>
  <si>
    <t>Mes 2</t>
  </si>
  <si>
    <t>Mes 3</t>
  </si>
  <si>
    <t>Mes 4</t>
  </si>
  <si>
    <t>Mes 5</t>
  </si>
  <si>
    <t>Mes 6</t>
  </si>
  <si>
    <t>Mes 7</t>
  </si>
  <si>
    <t>Mes 8</t>
  </si>
  <si>
    <t>Mes 9</t>
  </si>
  <si>
    <t>Mes 10</t>
  </si>
  <si>
    <t>Mes 11</t>
  </si>
  <si>
    <t>Mes 12</t>
  </si>
  <si>
    <t>Total</t>
  </si>
  <si>
    <t>Ingreso Total</t>
  </si>
  <si>
    <t>Paquete</t>
  </si>
  <si>
    <t>Horas Extras</t>
  </si>
  <si>
    <t>Aportaciones al IESS y Secap</t>
  </si>
  <si>
    <t>Vacaciones</t>
  </si>
  <si>
    <t>Fondos de Reserva</t>
  </si>
  <si>
    <t>Decimo Tercero</t>
  </si>
  <si>
    <t>Decimo Cuarto</t>
  </si>
  <si>
    <t>Periodo</t>
  </si>
  <si>
    <t>% Depreciación</t>
  </si>
  <si>
    <t xml:space="preserve">Total </t>
  </si>
  <si>
    <t>Electricidad</t>
  </si>
  <si>
    <t>Agua</t>
  </si>
  <si>
    <t>Internet Banda Ancha</t>
  </si>
  <si>
    <t>Permisos e impuestos</t>
  </si>
  <si>
    <t>Municipio</t>
  </si>
  <si>
    <t>Bomberos</t>
  </si>
  <si>
    <t>Letreros y Rotulos</t>
  </si>
  <si>
    <t>Permiso de Funcionamiento</t>
  </si>
  <si>
    <t>Depreciación Anual</t>
  </si>
  <si>
    <t>Depreciación Acumulada</t>
  </si>
  <si>
    <t>Materiales de oficina</t>
  </si>
  <si>
    <t>PLANTA DE PERSONAL</t>
  </si>
  <si>
    <t>Personal Administrativo</t>
  </si>
  <si>
    <t>Personal Operativo</t>
  </si>
  <si>
    <t>Número de Personas</t>
  </si>
  <si>
    <t>1er. Año</t>
  </si>
  <si>
    <t>2er. Año</t>
  </si>
  <si>
    <t>3er. Año</t>
  </si>
  <si>
    <t>IVA</t>
  </si>
  <si>
    <t>Sueldos Personal de Planta</t>
  </si>
  <si>
    <t>Total Sueldos al Personal de Planta</t>
  </si>
  <si>
    <t>Caja Inicial</t>
  </si>
  <si>
    <t>+ Ingresos Efectivos</t>
  </si>
  <si>
    <t>+ Otros Ingresos</t>
  </si>
  <si>
    <t>= Total Disponible</t>
  </si>
  <si>
    <t>- Inversiones en Activos Fijos</t>
  </si>
  <si>
    <t>- Egresos Efectivos Compras</t>
  </si>
  <si>
    <t>- Egresos Pagos Capital</t>
  </si>
  <si>
    <t>- Impuesto a la Renta y Complementarios</t>
  </si>
  <si>
    <t>Total Egresos</t>
  </si>
  <si>
    <t>= Neto Disponible</t>
  </si>
  <si>
    <t>= Caja Final</t>
  </si>
  <si>
    <t>Año 0</t>
  </si>
  <si>
    <t>Año 1</t>
  </si>
  <si>
    <t>Año 2</t>
  </si>
  <si>
    <t>Año 3</t>
  </si>
  <si>
    <t>+ Ingresos por Ventas</t>
  </si>
  <si>
    <t>- Gastos Operativos</t>
  </si>
  <si>
    <t>- Gastos de financiación</t>
  </si>
  <si>
    <t>Margen de Contribución</t>
  </si>
  <si>
    <t>MEDIOS DE COMUNICACIÓN</t>
  </si>
  <si>
    <t>Publicaciones en revistas</t>
  </si>
  <si>
    <t>OTRAS PROMOCIONES</t>
  </si>
  <si>
    <t>Llaveros, Gorras, T - Shirt</t>
  </si>
  <si>
    <t>Pancartas para la fachada de interiores y exteriores</t>
  </si>
  <si>
    <t>TOTAL</t>
  </si>
  <si>
    <t>Revista dominical - El Universo</t>
  </si>
  <si>
    <t>Revista Energia Total</t>
  </si>
  <si>
    <t>Revista Hogar</t>
  </si>
  <si>
    <t>Medio Publicitario</t>
  </si>
  <si>
    <t>Costo por Anuncio</t>
  </si>
  <si>
    <t>Tipo de Anuncio</t>
  </si>
  <si>
    <t>4x20 cm.</t>
  </si>
  <si>
    <t>8x10 cm.</t>
  </si>
  <si>
    <t># Pautas o Anuncios</t>
  </si>
  <si>
    <t>2do. año</t>
  </si>
  <si>
    <t>Total de Gastos</t>
  </si>
  <si>
    <t>Totales</t>
  </si>
  <si>
    <t>Tabla 1.16</t>
  </si>
  <si>
    <t>Aprobación de Constitución (a)</t>
  </si>
  <si>
    <t>Publicación de Extracto (b)</t>
  </si>
  <si>
    <t xml:space="preserve">Certificación municipal (c) </t>
  </si>
  <si>
    <t>Registro Mercantil (e )</t>
  </si>
  <si>
    <t>Notaría - Anotación Marginal (f )</t>
  </si>
  <si>
    <t>SRI - Obtención del RUC (g)</t>
  </si>
  <si>
    <t>Inscripción en Registro Societario (h)</t>
  </si>
  <si>
    <t>TOTAL APROXIMADO</t>
  </si>
  <si>
    <t>PRESUPUESTO DE GASTOS OPERATIVOS</t>
  </si>
  <si>
    <t>PRESUPUESTO DE GASTOS DE PUBLICIDAD</t>
  </si>
  <si>
    <t>2do. AÑO</t>
  </si>
  <si>
    <t>Total 1er. AÑO</t>
  </si>
  <si>
    <t>3er. AÑO</t>
  </si>
  <si>
    <t>OTROS ACTIVOS</t>
  </si>
  <si>
    <t>Salario de Personal (MENSUAL)</t>
  </si>
  <si>
    <t>TOTAL SUELDO PERSONAL (ANUAL)</t>
  </si>
  <si>
    <t>TOTAL 1er AÑO</t>
  </si>
  <si>
    <t>TOTAL 2do. AÑO</t>
  </si>
  <si>
    <t>TOTAL 3er. AÑO</t>
  </si>
  <si>
    <t>Equipo de computación</t>
  </si>
  <si>
    <t>Costo de adquisición</t>
  </si>
  <si>
    <t>Patente Municipal (i)</t>
  </si>
  <si>
    <t>GASTOS PREOPERATIVOS</t>
  </si>
  <si>
    <t>GASTOS DE CONSTITUCION</t>
  </si>
  <si>
    <t>DEPOSITOS EN GARANTIA</t>
  </si>
  <si>
    <t xml:space="preserve">Tasas Municipio </t>
  </si>
  <si>
    <t>TOTAL 1er. AÑO</t>
  </si>
  <si>
    <t xml:space="preserve">Distribucion de broshure en envio estado de cuenta </t>
  </si>
  <si>
    <t>Tarjeta de Crédito Dinners Club</t>
  </si>
  <si>
    <t>Volantes y broshure</t>
  </si>
  <si>
    <t>3er. año</t>
  </si>
  <si>
    <t>2do. Año</t>
  </si>
  <si>
    <t xml:space="preserve">Medios de comunicación </t>
  </si>
  <si>
    <t>Otras promociones</t>
  </si>
  <si>
    <t>- Gastos Administrativos</t>
  </si>
  <si>
    <t>- Gastos de Ventas</t>
  </si>
  <si>
    <t>TOTAL VENTAS</t>
  </si>
  <si>
    <t>COSTO VARIABLES</t>
  </si>
  <si>
    <t>Total AÑO1</t>
  </si>
  <si>
    <t xml:space="preserve"> AÑO2</t>
  </si>
  <si>
    <t>AÑO 3</t>
  </si>
  <si>
    <t>TOTAL COSTOS VARIABLES</t>
  </si>
  <si>
    <t>PRESUPUESTO DE FINANCIACION</t>
  </si>
  <si>
    <t>Monto de Préstamo:</t>
  </si>
  <si>
    <t>Interés:</t>
  </si>
  <si>
    <t>Tiempo:</t>
  </si>
  <si>
    <t>meses</t>
  </si>
  <si>
    <t>CAPITAL</t>
  </si>
  <si>
    <t>Intereses</t>
  </si>
  <si>
    <t>Total Dividendo</t>
  </si>
  <si>
    <t>Pagos:</t>
  </si>
  <si>
    <t>Mensual</t>
  </si>
  <si>
    <t>COSTOS FIJOS</t>
  </si>
  <si>
    <t>TOTAL COSTOS FIJOS</t>
  </si>
  <si>
    <t>15 % Participación a Trabajadores</t>
  </si>
  <si>
    <t>= Utilidad NETA del EJERCICIO</t>
  </si>
  <si>
    <t>- Egresos Gastos de Publicidad</t>
  </si>
  <si>
    <t>- Egresos Pagos de intereses</t>
  </si>
  <si>
    <t>- Gastos de Constitución y Preoperativos</t>
  </si>
  <si>
    <t xml:space="preserve">Ventas Gym </t>
  </si>
  <si>
    <t>I Cuatrimestre</t>
  </si>
  <si>
    <t>II Cuatrimestre</t>
  </si>
  <si>
    <t>III Cuatrimestre</t>
  </si>
  <si>
    <t>Utilidad antes de Participación a Trabajadores e Impuesto a la Renta</t>
  </si>
  <si>
    <t>Préstamo Bancario</t>
  </si>
  <si>
    <t>Aportación de Accionistas</t>
  </si>
  <si>
    <t>Participacion de Utilidades a Trabajadores</t>
  </si>
  <si>
    <t>Descuentos en Ventas</t>
  </si>
  <si>
    <t>Total Ventas Brutas</t>
  </si>
  <si>
    <t>AREAS</t>
  </si>
  <si>
    <t>TOTAL CAPACIDAD POR HORA</t>
  </si>
  <si>
    <t>REQUERIDO POR HORA</t>
  </si>
  <si>
    <t>VENTAS NETAS</t>
  </si>
  <si>
    <t>-Gastos Depreciacion</t>
  </si>
  <si>
    <t>Gastos de Amortizacion</t>
  </si>
  <si>
    <t>- Egresos Gastos de Personal de Planta</t>
  </si>
  <si>
    <t xml:space="preserve">- Participacion a Trabajadores </t>
  </si>
  <si>
    <t>TIR</t>
  </si>
  <si>
    <t>VAN</t>
  </si>
  <si>
    <t>Escriba los valores</t>
  </si>
  <si>
    <t>Resumen del préstamo</t>
  </si>
  <si>
    <t>Importe del préstamo</t>
  </si>
  <si>
    <t>Pago programado</t>
  </si>
  <si>
    <t>Interés anual</t>
  </si>
  <si>
    <t>Número de pagos programados</t>
  </si>
  <si>
    <t>Período del préstamo en años</t>
  </si>
  <si>
    <t>Número real de pagos</t>
  </si>
  <si>
    <t>Número de pagos anuales</t>
  </si>
  <si>
    <t>Total de adelantos</t>
  </si>
  <si>
    <t>Fecha inicial del préstamo</t>
  </si>
  <si>
    <t>Interés total</t>
  </si>
  <si>
    <t>Pagos extra opcionales</t>
  </si>
  <si>
    <t>Entidad financiera:</t>
  </si>
  <si>
    <t>Pago Nº</t>
  </si>
  <si>
    <t>Fecha del pago</t>
  </si>
  <si>
    <t>Saldo inicial</t>
  </si>
  <si>
    <t>Pago extra</t>
  </si>
  <si>
    <t>Pago total</t>
  </si>
  <si>
    <t>Capital</t>
  </si>
  <si>
    <t>Saldo final</t>
  </si>
  <si>
    <t xml:space="preserve">Flujo </t>
  </si>
  <si>
    <t>Capacitación</t>
  </si>
  <si>
    <t>4er. AÑO</t>
  </si>
  <si>
    <t>5er. AÑO</t>
  </si>
  <si>
    <t>AÑO 4</t>
  </si>
  <si>
    <t>AÑO 5</t>
  </si>
  <si>
    <t>5to. AÑO</t>
  </si>
  <si>
    <t>4to. AÑO</t>
  </si>
  <si>
    <t>TOTAL 4to. AÑO</t>
  </si>
  <si>
    <t>TOTAL 5to. AÑO</t>
  </si>
  <si>
    <t>4to. año</t>
  </si>
  <si>
    <t>5to. año</t>
  </si>
  <si>
    <t>Edificio</t>
  </si>
  <si>
    <t>Año 4</t>
  </si>
  <si>
    <t>Año 5</t>
  </si>
  <si>
    <t xml:space="preserve"> 1er AÑO</t>
  </si>
  <si>
    <t>DEPRECIACION</t>
  </si>
  <si>
    <t>AMORTIZACION</t>
  </si>
  <si>
    <t>AGOTAMIENTO</t>
  </si>
  <si>
    <t>DEDUCCIONES DIFERIDAS</t>
  </si>
  <si>
    <t>TOTAL DE DEDUCCIONES TRIBUTARIAS</t>
  </si>
  <si>
    <t>Camioneta repartidora</t>
  </si>
  <si>
    <t>Aire Acondicionado 24.000 BTU</t>
  </si>
  <si>
    <t>camara de frio</t>
  </si>
  <si>
    <t>Balanza gramera</t>
  </si>
  <si>
    <t xml:space="preserve">Balanza </t>
  </si>
  <si>
    <t>Frigorifico</t>
  </si>
  <si>
    <t>selladoras</t>
  </si>
  <si>
    <t>Gavetas</t>
  </si>
  <si>
    <t>Banco Pichincha</t>
  </si>
  <si>
    <t>Camaron con cabeza</t>
  </si>
  <si>
    <t>camaron Descabezado</t>
  </si>
  <si>
    <t>camaron Pelado y desvenado</t>
  </si>
  <si>
    <t>Ingresos por camaron Pelado y Desvenado</t>
  </si>
  <si>
    <t>Ingresos por camaron Descabezado</t>
  </si>
  <si>
    <t>Ingresos por camaron Entero</t>
  </si>
  <si>
    <t>Compras de Camaron</t>
  </si>
  <si>
    <t>Jefe administrativo</t>
  </si>
  <si>
    <t>Asistente administrativa</t>
  </si>
  <si>
    <t>Jefe Comercial</t>
  </si>
  <si>
    <t>Secretaria</t>
  </si>
  <si>
    <t>Vendedor</t>
  </si>
  <si>
    <t>Contador</t>
  </si>
  <si>
    <t>Jefe de Logistica</t>
  </si>
  <si>
    <t>Chofer de camioneta</t>
  </si>
  <si>
    <t>Asistente de logistica</t>
  </si>
  <si>
    <t xml:space="preserve">Total Sueldos </t>
  </si>
  <si>
    <t>Pagos del coopaking</t>
  </si>
  <si>
    <t>Total Libras</t>
  </si>
  <si>
    <t>Hoteles</t>
  </si>
  <si>
    <t>Camara de frio</t>
  </si>
  <si>
    <t>Frigorificos</t>
  </si>
  <si>
    <t># Libras</t>
  </si>
  <si>
    <t>- Costos Variables por camaron entero</t>
  </si>
  <si>
    <t>- Costos Variables por camaron descabezado</t>
  </si>
  <si>
    <t>- Costos Variables por camaron pelado y desvenado</t>
  </si>
  <si>
    <t>Ingresos por camaron Hoteles</t>
  </si>
  <si>
    <t>Costo variable por libra</t>
  </si>
  <si>
    <t>Transpporte de camaron</t>
  </si>
  <si>
    <t>Hielo</t>
  </si>
  <si>
    <t>SUPER CAMARON</t>
  </si>
  <si>
    <t>Muestras Gratis</t>
  </si>
  <si>
    <t>Degustaciones en comisariatos</t>
  </si>
  <si>
    <t>35 % Impuesto a la Renta</t>
  </si>
  <si>
    <t>Afiliación Camará de Turismo (d)</t>
  </si>
  <si>
    <t>Compras de empaques</t>
  </si>
  <si>
    <t xml:space="preserve"> PRESUPUESTO DE INGRESOS</t>
  </si>
  <si>
    <t>PRESUPUESTO DE GASTOS ADMINISTRATIVOS</t>
  </si>
  <si>
    <t>ESTRATEGIA DE PUBLICIDAD Y PROMOCION</t>
  </si>
  <si>
    <t>FLUJO DE CAJA</t>
  </si>
  <si>
    <t>Valor de Salvamento</t>
  </si>
  <si>
    <t>ESTADO DE RESULTADOS</t>
  </si>
  <si>
    <t>TIR y VAN</t>
  </si>
  <si>
    <t>PREPUESTO DE GASTOS DE PERSONAL</t>
  </si>
  <si>
    <t>INVERSIÓN EN CAPITAL DE TRABAJO</t>
  </si>
  <si>
    <t>INVERSION EN ACTIVOS FIJOS</t>
  </si>
  <si>
    <t>Libras reales compradas</t>
  </si>
  <si>
    <t>DEDUCCIONES TRIBUTARIAS</t>
  </si>
  <si>
    <t>AMORTIZACIÓN DEL PRÉSTAMO</t>
  </si>
  <si>
    <t>GASTOS DE DEPRECIACIÓN</t>
  </si>
  <si>
    <t xml:space="preserve">CÁLCULO DE LA CAPACIDAD INSTALADA </t>
  </si>
</sst>
</file>

<file path=xl/styles.xml><?xml version="1.0" encoding="utf-8"?>
<styleSheet xmlns="http://schemas.openxmlformats.org/spreadsheetml/2006/main">
  <numFmts count="13">
    <numFmt numFmtId="43" formatCode="_(* #,##0.00_);_(* \(#,##0.00\);_(* &quot;-&quot;??_);_(@_)"/>
    <numFmt numFmtId="167" formatCode="&quot;$&quot;\ #,##0.00;[Red]&quot;$&quot;\ \-#,##0.00"/>
    <numFmt numFmtId="169" formatCode="_ * #,##0_ ;_ * \-#,##0_ ;_ * &quot;-&quot;_ ;_ @_ "/>
    <numFmt numFmtId="171" formatCode="_ * #,##0.00_ ;_ * \-#,##0.00_ ;_ * &quot;-&quot;??_ ;_ @_ "/>
    <numFmt numFmtId="178" formatCode="&quot;S/.&quot;\ #,##0.00;[Red]&quot;S/.&quot;\ \-#,##0.00"/>
    <numFmt numFmtId="180" formatCode="_ &quot;S/.&quot;\ * #,##0.00_ ;_ &quot;S/.&quot;\ * \-#,##0.00_ ;_ &quot;S/.&quot;\ * &quot;-&quot;??_ ;_ @_ "/>
    <numFmt numFmtId="181" formatCode="_ * #,##0_ ;_ * \-#,##0_ ;_ * &quot;-&quot;??_ ;_ @_ "/>
    <numFmt numFmtId="182" formatCode="&quot;$&quot;\ #,##0.00"/>
    <numFmt numFmtId="183" formatCode="_(* #,##0\ &quot;pta&quot;_);_(* \(#,##0\ &quot;pta&quot;\);_(* &quot;-&quot;??\ &quot;pta&quot;_);_(@_)"/>
    <numFmt numFmtId="184" formatCode="#,##0_)\ \ \ \ \ ;\(#,##0\)\ \ \ \ \ "/>
    <numFmt numFmtId="185" formatCode="_(* #,##0_);_(* \(#,##0\);_(* &quot;-&quot;??_);_(@_)"/>
    <numFmt numFmtId="186" formatCode="0_)"/>
    <numFmt numFmtId="187" formatCode="0.00?%_)"/>
  </numFmts>
  <fonts count="28">
    <font>
      <sz val="10"/>
      <name val="Arial"/>
    </font>
    <font>
      <sz val="10"/>
      <name val="Arial"/>
    </font>
    <font>
      <sz val="8"/>
      <name val="Verdana"/>
      <family val="2"/>
    </font>
    <font>
      <b/>
      <sz val="10"/>
      <name val="Arial"/>
      <family val="2"/>
    </font>
    <font>
      <b/>
      <sz val="10"/>
      <name val="Arial"/>
    </font>
    <font>
      <sz val="9"/>
      <name val="Verdana"/>
      <family val="2"/>
    </font>
    <font>
      <sz val="8"/>
      <name val="Arial"/>
    </font>
    <font>
      <b/>
      <sz val="9"/>
      <name val="Verdana"/>
      <family val="2"/>
    </font>
    <font>
      <b/>
      <sz val="9"/>
      <color indexed="9"/>
      <name val="Verdana"/>
      <family val="2"/>
    </font>
    <font>
      <b/>
      <sz val="10"/>
      <name val="Verdana"/>
      <family val="2"/>
    </font>
    <font>
      <sz val="10"/>
      <name val="Verdana"/>
      <family val="2"/>
    </font>
    <font>
      <b/>
      <sz val="8"/>
      <color indexed="56"/>
      <name val="Verdana"/>
      <family val="2"/>
    </font>
    <font>
      <b/>
      <sz val="14"/>
      <name val="Verdana"/>
      <family val="2"/>
    </font>
    <font>
      <b/>
      <i/>
      <sz val="10"/>
      <name val="Verdana"/>
      <family val="2"/>
    </font>
    <font>
      <b/>
      <i/>
      <sz val="9"/>
      <name val="Verdana"/>
      <family val="2"/>
    </font>
    <font>
      <sz val="9"/>
      <color indexed="23"/>
      <name val="Verdana"/>
      <family val="2"/>
    </font>
    <font>
      <b/>
      <i/>
      <u/>
      <sz val="9"/>
      <name val="Verdana"/>
      <family val="2"/>
    </font>
    <font>
      <b/>
      <sz val="8"/>
      <name val="Verdana"/>
      <family val="2"/>
    </font>
    <font>
      <b/>
      <i/>
      <sz val="8"/>
      <name val="Verdana"/>
      <family val="2"/>
    </font>
    <font>
      <b/>
      <sz val="8"/>
      <color indexed="9"/>
      <name val="Verdana"/>
      <family val="2"/>
    </font>
    <font>
      <sz val="8"/>
      <color indexed="9"/>
      <name val="Verdana"/>
      <family val="2"/>
    </font>
    <font>
      <b/>
      <sz val="6"/>
      <name val="Verdana"/>
      <family val="2"/>
    </font>
    <font>
      <sz val="10"/>
      <name val="Arial"/>
      <family val="2"/>
    </font>
    <font>
      <b/>
      <sz val="9"/>
      <color indexed="81"/>
      <name val="Tahoma"/>
      <charset val="1"/>
    </font>
    <font>
      <b/>
      <sz val="8"/>
      <name val="Arial"/>
      <family val="2"/>
    </font>
    <font>
      <sz val="8"/>
      <name val="Arial"/>
      <family val="2"/>
    </font>
    <font>
      <b/>
      <sz val="12"/>
      <name val="Arial"/>
      <family val="2"/>
    </font>
    <font>
      <b/>
      <sz val="8"/>
      <name val="Arial"/>
    </font>
  </fonts>
  <fills count="7">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s>
  <borders count="121">
    <border>
      <left/>
      <right/>
      <top/>
      <bottom/>
      <diagonal/>
    </border>
    <border>
      <left style="hair">
        <color indexed="53"/>
      </left>
      <right style="hair">
        <color indexed="53"/>
      </right>
      <top style="hair">
        <color indexed="53"/>
      </top>
      <bottom style="hair">
        <color indexed="53"/>
      </bottom>
      <diagonal/>
    </border>
    <border>
      <left style="hair">
        <color indexed="53"/>
      </left>
      <right style="medium">
        <color indexed="53"/>
      </right>
      <top style="hair">
        <color indexed="53"/>
      </top>
      <bottom style="hair">
        <color indexed="53"/>
      </bottom>
      <diagonal/>
    </border>
    <border>
      <left style="hair">
        <color indexed="53"/>
      </left>
      <right style="hair">
        <color indexed="53"/>
      </right>
      <top style="hair">
        <color indexed="53"/>
      </top>
      <bottom/>
      <diagonal/>
    </border>
    <border>
      <left style="hair">
        <color indexed="53"/>
      </left>
      <right style="medium">
        <color indexed="53"/>
      </right>
      <top style="hair">
        <color indexed="53"/>
      </top>
      <bottom/>
      <diagonal/>
    </border>
    <border>
      <left style="medium">
        <color indexed="53"/>
      </left>
      <right style="hair">
        <color indexed="53"/>
      </right>
      <top style="medium">
        <color indexed="53"/>
      </top>
      <bottom style="medium">
        <color indexed="53"/>
      </bottom>
      <diagonal/>
    </border>
    <border>
      <left style="hair">
        <color indexed="53"/>
      </left>
      <right style="hair">
        <color indexed="53"/>
      </right>
      <top style="medium">
        <color indexed="53"/>
      </top>
      <bottom style="medium">
        <color indexed="53"/>
      </bottom>
      <diagonal/>
    </border>
    <border>
      <left style="hair">
        <color indexed="53"/>
      </left>
      <right style="medium">
        <color indexed="53"/>
      </right>
      <top style="medium">
        <color indexed="53"/>
      </top>
      <bottom style="medium">
        <color indexed="53"/>
      </bottom>
      <diagonal/>
    </border>
    <border>
      <left style="medium">
        <color indexed="53"/>
      </left>
      <right style="hair">
        <color indexed="53"/>
      </right>
      <top style="hair">
        <color indexed="53"/>
      </top>
      <bottom style="hair">
        <color indexed="53"/>
      </bottom>
      <diagonal/>
    </border>
    <border>
      <left style="medium">
        <color indexed="53"/>
      </left>
      <right style="hair">
        <color indexed="53"/>
      </right>
      <top/>
      <bottom style="hair">
        <color indexed="53"/>
      </bottom>
      <diagonal/>
    </border>
    <border>
      <left style="hair">
        <color indexed="53"/>
      </left>
      <right style="hair">
        <color indexed="53"/>
      </right>
      <top/>
      <bottom style="hair">
        <color indexed="53"/>
      </bottom>
      <diagonal/>
    </border>
    <border>
      <left style="hair">
        <color indexed="53"/>
      </left>
      <right style="medium">
        <color indexed="53"/>
      </right>
      <top/>
      <bottom style="hair">
        <color indexed="53"/>
      </bottom>
      <diagonal/>
    </border>
    <border>
      <left style="medium">
        <color indexed="53"/>
      </left>
      <right style="hair">
        <color indexed="53"/>
      </right>
      <top style="medium">
        <color indexed="53"/>
      </top>
      <bottom/>
      <diagonal/>
    </border>
    <border>
      <left style="hair">
        <color indexed="53"/>
      </left>
      <right style="hair">
        <color indexed="53"/>
      </right>
      <top style="medium">
        <color indexed="53"/>
      </top>
      <bottom/>
      <diagonal/>
    </border>
    <border>
      <left style="hair">
        <color indexed="53"/>
      </left>
      <right style="medium">
        <color indexed="53"/>
      </right>
      <top style="medium">
        <color indexed="53"/>
      </top>
      <bottom/>
      <diagonal/>
    </border>
    <border>
      <left style="medium">
        <color indexed="53"/>
      </left>
      <right style="hair">
        <color indexed="53"/>
      </right>
      <top style="hair">
        <color indexed="53"/>
      </top>
      <bottom/>
      <diagonal/>
    </border>
    <border>
      <left style="medium">
        <color indexed="53"/>
      </left>
      <right style="hair">
        <color indexed="53"/>
      </right>
      <top style="hair">
        <color indexed="53"/>
      </top>
      <bottom style="medium">
        <color indexed="53"/>
      </bottom>
      <diagonal/>
    </border>
    <border>
      <left style="hair">
        <color indexed="53"/>
      </left>
      <right style="hair">
        <color indexed="53"/>
      </right>
      <top style="hair">
        <color indexed="53"/>
      </top>
      <bottom style="medium">
        <color indexed="53"/>
      </bottom>
      <diagonal/>
    </border>
    <border>
      <left style="hair">
        <color indexed="53"/>
      </left>
      <right style="medium">
        <color indexed="53"/>
      </right>
      <top style="hair">
        <color indexed="53"/>
      </top>
      <bottom style="medium">
        <color indexed="53"/>
      </bottom>
      <diagonal/>
    </border>
    <border>
      <left style="medium">
        <color indexed="53"/>
      </left>
      <right style="hair">
        <color indexed="53"/>
      </right>
      <top style="medium">
        <color indexed="53"/>
      </top>
      <bottom style="hair">
        <color indexed="53"/>
      </bottom>
      <diagonal/>
    </border>
    <border>
      <left style="hair">
        <color indexed="53"/>
      </left>
      <right style="hair">
        <color indexed="53"/>
      </right>
      <top style="medium">
        <color indexed="53"/>
      </top>
      <bottom style="hair">
        <color indexed="53"/>
      </bottom>
      <diagonal/>
    </border>
    <border>
      <left style="hair">
        <color indexed="53"/>
      </left>
      <right style="medium">
        <color indexed="53"/>
      </right>
      <top style="medium">
        <color indexed="53"/>
      </top>
      <bottom style="hair">
        <color indexed="53"/>
      </bottom>
      <diagonal/>
    </border>
    <border>
      <left style="hair">
        <color indexed="53"/>
      </left>
      <right style="hair">
        <color indexed="53"/>
      </right>
      <top style="thin">
        <color indexed="53"/>
      </top>
      <bottom style="thin">
        <color indexed="53"/>
      </bottom>
      <diagonal/>
    </border>
    <border>
      <left style="hair">
        <color indexed="53"/>
      </left>
      <right style="thin">
        <color indexed="53"/>
      </right>
      <top style="thin">
        <color indexed="53"/>
      </top>
      <bottom style="thin">
        <color indexed="53"/>
      </bottom>
      <diagonal/>
    </border>
    <border>
      <left style="thin">
        <color indexed="53"/>
      </left>
      <right style="hair">
        <color indexed="53"/>
      </right>
      <top style="thin">
        <color indexed="53"/>
      </top>
      <bottom style="thin">
        <color indexed="53"/>
      </bottom>
      <diagonal/>
    </border>
    <border>
      <left style="medium">
        <color indexed="53"/>
      </left>
      <right style="hair">
        <color indexed="53"/>
      </right>
      <top/>
      <bottom/>
      <diagonal/>
    </border>
    <border>
      <left style="hair">
        <color indexed="53"/>
      </left>
      <right style="hair">
        <color indexed="53"/>
      </right>
      <top/>
      <bottom/>
      <diagonal/>
    </border>
    <border>
      <left style="hair">
        <color indexed="53"/>
      </left>
      <right style="medium">
        <color indexed="53"/>
      </right>
      <top/>
      <bottom/>
      <diagonal/>
    </border>
    <border>
      <left/>
      <right style="hair">
        <color indexed="53"/>
      </right>
      <top style="hair">
        <color indexed="53"/>
      </top>
      <bottom style="hair">
        <color indexed="53"/>
      </bottom>
      <diagonal/>
    </border>
    <border>
      <left/>
      <right style="hair">
        <color indexed="53"/>
      </right>
      <top style="hair">
        <color indexed="53"/>
      </top>
      <bottom style="medium">
        <color indexed="53"/>
      </bottom>
      <diagonal/>
    </border>
    <border>
      <left style="medium">
        <color indexed="53"/>
      </left>
      <right style="medium">
        <color indexed="53"/>
      </right>
      <top style="medium">
        <color indexed="53"/>
      </top>
      <bottom style="hair">
        <color indexed="53"/>
      </bottom>
      <diagonal/>
    </border>
    <border>
      <left style="medium">
        <color indexed="53"/>
      </left>
      <right style="medium">
        <color indexed="53"/>
      </right>
      <top style="hair">
        <color indexed="53"/>
      </top>
      <bottom style="hair">
        <color indexed="53"/>
      </bottom>
      <diagonal/>
    </border>
    <border>
      <left style="medium">
        <color indexed="53"/>
      </left>
      <right style="medium">
        <color indexed="53"/>
      </right>
      <top style="hair">
        <color indexed="53"/>
      </top>
      <bottom style="medium">
        <color indexed="53"/>
      </bottom>
      <diagonal/>
    </border>
    <border>
      <left/>
      <right style="hair">
        <color indexed="53"/>
      </right>
      <top/>
      <bottom style="hair">
        <color indexed="53"/>
      </bottom>
      <diagonal/>
    </border>
    <border>
      <left/>
      <right style="hair">
        <color indexed="53"/>
      </right>
      <top style="medium">
        <color indexed="53"/>
      </top>
      <bottom style="hair">
        <color indexed="53"/>
      </bottom>
      <diagonal/>
    </border>
    <border>
      <left/>
      <right style="hair">
        <color indexed="53"/>
      </right>
      <top style="medium">
        <color indexed="53"/>
      </top>
      <bottom style="medium">
        <color indexed="53"/>
      </bottom>
      <diagonal/>
    </border>
    <border>
      <left style="hair">
        <color indexed="53"/>
      </left>
      <right/>
      <top style="hair">
        <color indexed="53"/>
      </top>
      <bottom style="hair">
        <color indexed="53"/>
      </bottom>
      <diagonal/>
    </border>
    <border>
      <left style="hair">
        <color indexed="53"/>
      </left>
      <right/>
      <top style="medium">
        <color indexed="53"/>
      </top>
      <bottom style="hair">
        <color indexed="53"/>
      </bottom>
      <diagonal/>
    </border>
    <border>
      <left style="hair">
        <color indexed="53"/>
      </left>
      <right/>
      <top style="hair">
        <color indexed="53"/>
      </top>
      <bottom style="medium">
        <color indexed="53"/>
      </bottom>
      <diagonal/>
    </border>
    <border>
      <left style="medium">
        <color indexed="53"/>
      </left>
      <right/>
      <top style="hair">
        <color indexed="53"/>
      </top>
      <bottom style="hair">
        <color indexed="53"/>
      </bottom>
      <diagonal/>
    </border>
    <border>
      <left style="medium">
        <color indexed="53"/>
      </left>
      <right/>
      <top style="hair">
        <color indexed="53"/>
      </top>
      <bottom style="medium">
        <color indexed="53"/>
      </bottom>
      <diagonal/>
    </border>
    <border>
      <left style="hair">
        <color indexed="53"/>
      </left>
      <right/>
      <top/>
      <bottom style="hair">
        <color indexed="53"/>
      </bottom>
      <diagonal/>
    </border>
    <border>
      <left style="medium">
        <color indexed="53"/>
      </left>
      <right/>
      <top/>
      <bottom style="hair">
        <color indexed="53"/>
      </bottom>
      <diagonal/>
    </border>
    <border>
      <left style="medium">
        <color indexed="53"/>
      </left>
      <right style="medium">
        <color indexed="53"/>
      </right>
      <top/>
      <bottom style="hair">
        <color indexed="53"/>
      </bottom>
      <diagonal/>
    </border>
    <border>
      <left style="hair">
        <color indexed="53"/>
      </left>
      <right/>
      <top style="medium">
        <color indexed="53"/>
      </top>
      <bottom style="medium">
        <color indexed="53"/>
      </bottom>
      <diagonal/>
    </border>
    <border>
      <left style="medium">
        <color indexed="53"/>
      </left>
      <right/>
      <top style="medium">
        <color indexed="53"/>
      </top>
      <bottom style="medium">
        <color indexed="53"/>
      </bottom>
      <diagonal/>
    </border>
    <border>
      <left style="medium">
        <color indexed="53"/>
      </left>
      <right style="medium">
        <color indexed="53"/>
      </right>
      <top style="medium">
        <color indexed="53"/>
      </top>
      <bottom style="medium">
        <color indexed="53"/>
      </bottom>
      <diagonal/>
    </border>
    <border>
      <left/>
      <right/>
      <top/>
      <bottom style="medium">
        <color indexed="53"/>
      </bottom>
      <diagonal/>
    </border>
    <border>
      <left style="thin">
        <color indexed="53"/>
      </left>
      <right/>
      <top/>
      <bottom style="medium">
        <color indexed="53"/>
      </bottom>
      <diagonal/>
    </border>
    <border>
      <left/>
      <right style="medium">
        <color indexed="53"/>
      </right>
      <top/>
      <bottom style="medium">
        <color indexed="53"/>
      </bottom>
      <diagonal/>
    </border>
    <border>
      <left style="thin">
        <color indexed="53"/>
      </left>
      <right style="hair">
        <color indexed="53"/>
      </right>
      <top style="hair">
        <color indexed="53"/>
      </top>
      <bottom style="hair">
        <color indexed="53"/>
      </bottom>
      <diagonal/>
    </border>
    <border>
      <left style="hair">
        <color indexed="53"/>
      </left>
      <right style="thin">
        <color indexed="53"/>
      </right>
      <top style="hair">
        <color indexed="53"/>
      </top>
      <bottom style="hair">
        <color indexed="53"/>
      </bottom>
      <diagonal/>
    </border>
    <border>
      <left style="thin">
        <color indexed="53"/>
      </left>
      <right style="hair">
        <color indexed="53"/>
      </right>
      <top style="hair">
        <color indexed="53"/>
      </top>
      <bottom style="thin">
        <color indexed="53"/>
      </bottom>
      <diagonal/>
    </border>
    <border>
      <left style="hair">
        <color indexed="53"/>
      </left>
      <right style="hair">
        <color indexed="53"/>
      </right>
      <top style="hair">
        <color indexed="53"/>
      </top>
      <bottom style="thin">
        <color indexed="53"/>
      </bottom>
      <diagonal/>
    </border>
    <border>
      <left style="hair">
        <color indexed="53"/>
      </left>
      <right style="thin">
        <color indexed="53"/>
      </right>
      <top style="hair">
        <color indexed="53"/>
      </top>
      <bottom style="thin">
        <color indexed="53"/>
      </bottom>
      <diagonal/>
    </border>
    <border>
      <left style="medium">
        <color indexed="53"/>
      </left>
      <right/>
      <top/>
      <bottom style="medium">
        <color indexed="53"/>
      </bottom>
      <diagonal/>
    </border>
    <border>
      <left/>
      <right/>
      <top style="medium">
        <color indexed="53"/>
      </top>
      <bottom style="medium">
        <color indexed="53"/>
      </bottom>
      <diagonal/>
    </border>
    <border>
      <left/>
      <right style="medium">
        <color indexed="53"/>
      </right>
      <top style="medium">
        <color indexed="53"/>
      </top>
      <bottom style="medium">
        <color indexed="53"/>
      </bottom>
      <diagonal/>
    </border>
    <border>
      <left/>
      <right style="hair">
        <color indexed="53"/>
      </right>
      <top style="hair">
        <color indexed="53"/>
      </top>
      <bottom/>
      <diagonal/>
    </border>
    <border>
      <left style="medium">
        <color indexed="52"/>
      </left>
      <right style="hair">
        <color indexed="53"/>
      </right>
      <top style="medium">
        <color indexed="52"/>
      </top>
      <bottom style="hair">
        <color indexed="53"/>
      </bottom>
      <diagonal/>
    </border>
    <border>
      <left style="hair">
        <color indexed="53"/>
      </left>
      <right style="hair">
        <color indexed="53"/>
      </right>
      <top style="medium">
        <color indexed="52"/>
      </top>
      <bottom style="hair">
        <color indexed="53"/>
      </bottom>
      <diagonal/>
    </border>
    <border>
      <left style="hair">
        <color indexed="53"/>
      </left>
      <right style="medium">
        <color indexed="52"/>
      </right>
      <top style="medium">
        <color indexed="52"/>
      </top>
      <bottom style="hair">
        <color indexed="53"/>
      </bottom>
      <diagonal/>
    </border>
    <border>
      <left style="medium">
        <color indexed="52"/>
      </left>
      <right style="hair">
        <color indexed="53"/>
      </right>
      <top style="hair">
        <color indexed="53"/>
      </top>
      <bottom style="hair">
        <color indexed="53"/>
      </bottom>
      <diagonal/>
    </border>
    <border>
      <left style="hair">
        <color indexed="53"/>
      </left>
      <right style="medium">
        <color indexed="52"/>
      </right>
      <top style="hair">
        <color indexed="53"/>
      </top>
      <bottom style="hair">
        <color indexed="53"/>
      </bottom>
      <diagonal/>
    </border>
    <border>
      <left style="medium">
        <color indexed="52"/>
      </left>
      <right style="hair">
        <color indexed="53"/>
      </right>
      <top style="hair">
        <color indexed="53"/>
      </top>
      <bottom style="medium">
        <color indexed="52"/>
      </bottom>
      <diagonal/>
    </border>
    <border>
      <left style="hair">
        <color indexed="53"/>
      </left>
      <right style="hair">
        <color indexed="53"/>
      </right>
      <top style="hair">
        <color indexed="53"/>
      </top>
      <bottom style="medium">
        <color indexed="52"/>
      </bottom>
      <diagonal/>
    </border>
    <border>
      <left style="hair">
        <color indexed="53"/>
      </left>
      <right style="medium">
        <color indexed="52"/>
      </right>
      <top style="hair">
        <color indexed="53"/>
      </top>
      <bottom style="medium">
        <color indexed="52"/>
      </bottom>
      <diagonal/>
    </border>
    <border>
      <left style="medium">
        <color indexed="53"/>
      </left>
      <right/>
      <top style="medium">
        <color indexed="53"/>
      </top>
      <bottom style="hair">
        <color indexed="53"/>
      </bottom>
      <diagonal/>
    </border>
    <border>
      <left style="medium">
        <color indexed="52"/>
      </left>
      <right style="hair">
        <color indexed="53"/>
      </right>
      <top style="hair">
        <color indexed="53"/>
      </top>
      <bottom style="medium">
        <color indexed="53"/>
      </bottom>
      <diagonal/>
    </border>
    <border>
      <left style="hair">
        <color indexed="53"/>
      </left>
      <right style="medium">
        <color indexed="52"/>
      </right>
      <top style="hair">
        <color indexed="53"/>
      </top>
      <bottom style="medium">
        <color indexed="53"/>
      </bottom>
      <diagonal/>
    </border>
    <border>
      <left style="medium">
        <color indexed="52"/>
      </left>
      <right style="hair">
        <color indexed="53"/>
      </right>
      <top style="medium">
        <color indexed="53"/>
      </top>
      <bottom style="medium">
        <color indexed="52"/>
      </bottom>
      <diagonal/>
    </border>
    <border>
      <left style="hair">
        <color indexed="53"/>
      </left>
      <right style="hair">
        <color indexed="53"/>
      </right>
      <top style="medium">
        <color indexed="53"/>
      </top>
      <bottom style="medium">
        <color indexed="52"/>
      </bottom>
      <diagonal/>
    </border>
    <border>
      <left style="hair">
        <color indexed="53"/>
      </left>
      <right style="medium">
        <color indexed="53"/>
      </right>
      <top style="medium">
        <color indexed="53"/>
      </top>
      <bottom style="medium">
        <color indexed="52"/>
      </bottom>
      <diagonal/>
    </border>
    <border>
      <left style="hair">
        <color indexed="53"/>
      </left>
      <right style="medium">
        <color indexed="52"/>
      </right>
      <top style="medium">
        <color indexed="53"/>
      </top>
      <bottom style="medium">
        <color indexed="52"/>
      </bottom>
      <diagonal/>
    </border>
    <border>
      <left/>
      <right style="medium">
        <color indexed="53"/>
      </right>
      <top style="medium">
        <color indexed="53"/>
      </top>
      <bottom/>
      <diagonal/>
    </border>
    <border>
      <left style="medium">
        <color indexed="52"/>
      </left>
      <right style="medium">
        <color indexed="52"/>
      </right>
      <top style="medium">
        <color indexed="52"/>
      </top>
      <bottom style="hair">
        <color indexed="53"/>
      </bottom>
      <diagonal/>
    </border>
    <border>
      <left style="medium">
        <color indexed="52"/>
      </left>
      <right style="medium">
        <color indexed="52"/>
      </right>
      <top style="medium">
        <color indexed="53"/>
      </top>
      <bottom style="hair">
        <color indexed="53"/>
      </bottom>
      <diagonal/>
    </border>
    <border>
      <left style="medium">
        <color indexed="52"/>
      </left>
      <right style="medium">
        <color indexed="52"/>
      </right>
      <top/>
      <bottom style="hair">
        <color indexed="53"/>
      </bottom>
      <diagonal/>
    </border>
    <border>
      <left style="medium">
        <color indexed="52"/>
      </left>
      <right style="medium">
        <color indexed="52"/>
      </right>
      <top/>
      <bottom/>
      <diagonal/>
    </border>
    <border>
      <left style="medium">
        <color indexed="52"/>
      </left>
      <right style="medium">
        <color indexed="52"/>
      </right>
      <top style="hair">
        <color indexed="53"/>
      </top>
      <bottom style="hair">
        <color indexed="53"/>
      </bottom>
      <diagonal/>
    </border>
    <border>
      <left style="hair">
        <color indexed="53"/>
      </left>
      <right/>
      <top style="hair">
        <color indexed="53"/>
      </top>
      <bottom/>
      <diagonal/>
    </border>
    <border>
      <left style="medium">
        <color indexed="52"/>
      </left>
      <right style="medium">
        <color indexed="52"/>
      </right>
      <top style="hair">
        <color indexed="53"/>
      </top>
      <bottom style="medium">
        <color indexed="52"/>
      </bottom>
      <diagonal/>
    </border>
    <border>
      <left style="medium">
        <color indexed="52"/>
      </left>
      <right style="medium">
        <color indexed="52"/>
      </right>
      <top style="hair">
        <color indexed="53"/>
      </top>
      <bottom style="medium">
        <color indexed="53"/>
      </bottom>
      <diagonal/>
    </border>
    <border>
      <left style="medium">
        <color indexed="53"/>
      </left>
      <right style="hair">
        <color indexed="53"/>
      </right>
      <top/>
      <bottom style="medium">
        <color indexed="53"/>
      </bottom>
      <diagonal/>
    </border>
    <border>
      <left style="hair">
        <color indexed="53"/>
      </left>
      <right style="medium">
        <color indexed="53"/>
      </right>
      <top/>
      <bottom style="medium">
        <color indexed="53"/>
      </bottom>
      <diagonal/>
    </border>
    <border>
      <left/>
      <right style="medium">
        <color indexed="53"/>
      </right>
      <top style="medium">
        <color indexed="53"/>
      </top>
      <bottom style="hair">
        <color indexed="53"/>
      </bottom>
      <diagonal/>
    </border>
    <border>
      <left/>
      <right style="medium">
        <color indexed="53"/>
      </right>
      <top style="hair">
        <color indexed="53"/>
      </top>
      <bottom style="hair">
        <color indexed="53"/>
      </bottom>
      <diagonal/>
    </border>
    <border>
      <left/>
      <right style="medium">
        <color indexed="53"/>
      </right>
      <top style="hair">
        <color indexed="53"/>
      </top>
      <bottom style="medium">
        <color indexed="5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2"/>
      </left>
      <right/>
      <top style="hair">
        <color indexed="53"/>
      </top>
      <bottom style="hair">
        <color indexed="53"/>
      </bottom>
      <diagonal/>
    </border>
    <border>
      <left style="hair">
        <color indexed="52"/>
      </left>
      <right/>
      <top style="hair">
        <color indexed="53"/>
      </top>
      <bottom style="hair">
        <color indexed="53"/>
      </bottom>
      <diagonal/>
    </border>
    <border>
      <left/>
      <right style="hair">
        <color indexed="52"/>
      </right>
      <top style="hair">
        <color indexed="53"/>
      </top>
      <bottom style="hair">
        <color indexed="53"/>
      </bottom>
      <diagonal/>
    </border>
    <border>
      <left style="hair">
        <color indexed="52"/>
      </left>
      <right style="hair">
        <color indexed="52"/>
      </right>
      <top style="hair">
        <color indexed="53"/>
      </top>
      <bottom style="hair">
        <color indexed="53"/>
      </bottom>
      <diagonal/>
    </border>
    <border>
      <left/>
      <right style="medium">
        <color indexed="52"/>
      </right>
      <top style="hair">
        <color indexed="53"/>
      </top>
      <bottom style="hair">
        <color indexed="53"/>
      </bottom>
      <diagonal/>
    </border>
    <border>
      <left style="hair">
        <color indexed="53"/>
      </left>
      <right style="thin">
        <color indexed="53"/>
      </right>
      <top style="medium">
        <color indexed="53"/>
      </top>
      <bottom/>
      <diagonal/>
    </border>
    <border>
      <left style="medium">
        <color indexed="53"/>
      </left>
      <right/>
      <top/>
      <bottom/>
      <diagonal/>
    </border>
    <border>
      <left/>
      <right style="medium">
        <color indexed="53"/>
      </right>
      <top/>
      <bottom/>
      <diagonal/>
    </border>
    <border>
      <left/>
      <right/>
      <top style="hair">
        <color indexed="53"/>
      </top>
      <bottom/>
      <diagonal/>
    </border>
    <border>
      <left style="hair">
        <color indexed="53"/>
      </left>
      <right style="thin">
        <color indexed="53"/>
      </right>
      <top style="hair">
        <color indexed="53"/>
      </top>
      <bottom/>
      <diagonal/>
    </border>
    <border>
      <left style="thin">
        <color indexed="53"/>
      </left>
      <right/>
      <top style="medium">
        <color indexed="53"/>
      </top>
      <bottom style="medium">
        <color indexed="53"/>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medium">
        <color indexed="52"/>
      </left>
      <right style="medium">
        <color indexed="52"/>
      </right>
      <top style="hair">
        <color indexed="53"/>
      </top>
      <bottom/>
      <diagonal/>
    </border>
    <border>
      <left style="thin">
        <color indexed="53"/>
      </left>
      <right style="hair">
        <color indexed="53"/>
      </right>
      <top style="thin">
        <color indexed="53"/>
      </top>
      <bottom style="hair">
        <color indexed="53"/>
      </bottom>
      <diagonal/>
    </border>
    <border>
      <left style="hair">
        <color indexed="53"/>
      </left>
      <right style="hair">
        <color indexed="53"/>
      </right>
      <top style="thin">
        <color indexed="53"/>
      </top>
      <bottom style="hair">
        <color indexed="53"/>
      </bottom>
      <diagonal/>
    </border>
    <border>
      <left style="hair">
        <color indexed="53"/>
      </left>
      <right style="thin">
        <color indexed="53"/>
      </right>
      <top style="thin">
        <color indexed="53"/>
      </top>
      <bottom style="hair">
        <color indexed="53"/>
      </bottom>
      <diagonal/>
    </border>
    <border>
      <left style="thin">
        <color indexed="53"/>
      </left>
      <right/>
      <top style="hair">
        <color indexed="53"/>
      </top>
      <bottom style="hair">
        <color indexed="53"/>
      </bottom>
      <diagonal/>
    </border>
    <border>
      <left style="thin">
        <color indexed="53"/>
      </left>
      <right/>
      <top style="hair">
        <color indexed="53"/>
      </top>
      <bottom style="thin">
        <color indexed="53"/>
      </bottom>
      <diagonal/>
    </border>
    <border>
      <left/>
      <right style="hair">
        <color indexed="53"/>
      </right>
      <top style="hair">
        <color indexed="53"/>
      </top>
      <bottom style="thin">
        <color indexed="53"/>
      </bottom>
      <diagonal/>
    </border>
    <border>
      <left style="medium">
        <color indexed="53"/>
      </left>
      <right/>
      <top style="medium">
        <color indexed="53"/>
      </top>
      <bottom/>
      <diagonal/>
    </border>
    <border>
      <left/>
      <right/>
      <top style="medium">
        <color indexed="53"/>
      </top>
      <bottom/>
      <diagonal/>
    </border>
    <border>
      <left/>
      <right style="hair">
        <color indexed="53"/>
      </right>
      <top style="thin">
        <color indexed="53"/>
      </top>
      <bottom style="thin">
        <color indexed="53"/>
      </bottom>
      <diagonal/>
    </border>
    <border>
      <left/>
      <right/>
      <top style="hair">
        <color indexed="53"/>
      </top>
      <bottom style="medium">
        <color indexed="53"/>
      </bottom>
      <diagonal/>
    </border>
    <border>
      <left/>
      <right/>
      <top/>
      <bottom style="hair">
        <color indexed="53"/>
      </bottom>
      <diagonal/>
    </border>
    <border>
      <left/>
      <right style="medium">
        <color indexed="53"/>
      </right>
      <top/>
      <bottom style="hair">
        <color indexed="53"/>
      </bottom>
      <diagonal/>
    </border>
    <border>
      <left/>
      <right/>
      <top style="hair">
        <color indexed="53"/>
      </top>
      <bottom style="hair">
        <color indexed="53"/>
      </bottom>
      <diagonal/>
    </border>
    <border>
      <left style="hair">
        <color indexed="53"/>
      </left>
      <right style="hair">
        <color indexed="53"/>
      </right>
      <top style="thin">
        <color indexed="53"/>
      </top>
      <bottom/>
      <diagonal/>
    </border>
    <border>
      <left/>
      <right style="hair">
        <color indexed="53"/>
      </right>
      <top/>
      <bottom/>
      <diagonal/>
    </border>
  </borders>
  <cellStyleXfs count="4">
    <xf numFmtId="0" fontId="0" fillId="0" borderId="0"/>
    <xf numFmtId="171" fontId="1" fillId="0" borderId="0" applyFont="0" applyFill="0" applyBorder="0" applyAlignment="0" applyProtection="0"/>
    <xf numFmtId="180" fontId="1" fillId="0" borderId="0" applyFont="0" applyFill="0" applyBorder="0" applyAlignment="0" applyProtection="0"/>
    <xf numFmtId="183" fontId="1" fillId="0" borderId="0" applyFont="0" applyFill="0" applyBorder="0" applyAlignment="0" applyProtection="0"/>
  </cellStyleXfs>
  <cellXfs count="538">
    <xf numFmtId="0" fontId="0" fillId="0" borderId="0" xfId="0"/>
    <xf numFmtId="0" fontId="2" fillId="0" borderId="0" xfId="0" applyFont="1"/>
    <xf numFmtId="0" fontId="5" fillId="0" borderId="0" xfId="0" applyFont="1"/>
    <xf numFmtId="0" fontId="7" fillId="0" borderId="0" xfId="0" applyFont="1"/>
    <xf numFmtId="0" fontId="5" fillId="0" borderId="1" xfId="0" applyFont="1" applyBorder="1"/>
    <xf numFmtId="0" fontId="5" fillId="0" borderId="0" xfId="0" applyFont="1" applyBorder="1"/>
    <xf numFmtId="0" fontId="2" fillId="0" borderId="0" xfId="0" applyFont="1" applyBorder="1"/>
    <xf numFmtId="0" fontId="9" fillId="0" borderId="0" xfId="0" applyFont="1"/>
    <xf numFmtId="0" fontId="11" fillId="0" borderId="0" xfId="0" applyFont="1"/>
    <xf numFmtId="181" fontId="10" fillId="0" borderId="1" xfId="1" applyNumberFormat="1" applyFont="1" applyBorder="1" applyAlignment="1">
      <alignment horizontal="right"/>
    </xf>
    <xf numFmtId="182" fontId="10" fillId="0" borderId="1" xfId="1" applyNumberFormat="1" applyFont="1" applyBorder="1"/>
    <xf numFmtId="182" fontId="10" fillId="0" borderId="2" xfId="1" applyNumberFormat="1" applyFont="1" applyBorder="1"/>
    <xf numFmtId="0" fontId="10" fillId="0" borderId="1" xfId="0" applyFont="1" applyBorder="1" applyAlignment="1">
      <alignment horizontal="right"/>
    </xf>
    <xf numFmtId="182" fontId="10" fillId="0" borderId="1" xfId="0" applyNumberFormat="1" applyFont="1" applyBorder="1"/>
    <xf numFmtId="182" fontId="10" fillId="0" borderId="2" xfId="0" applyNumberFormat="1" applyFont="1" applyBorder="1"/>
    <xf numFmtId="0" fontId="10" fillId="0" borderId="3" xfId="0" applyFont="1" applyBorder="1" applyAlignment="1">
      <alignment horizontal="right"/>
    </xf>
    <xf numFmtId="182" fontId="10" fillId="0" borderId="3" xfId="0" applyNumberFormat="1" applyFont="1" applyBorder="1"/>
    <xf numFmtId="182" fontId="10" fillId="0" borderId="4" xfId="0" applyNumberFormat="1" applyFont="1" applyBorder="1"/>
    <xf numFmtId="0" fontId="9" fillId="2" borderId="5" xfId="0" applyFont="1" applyFill="1" applyBorder="1"/>
    <xf numFmtId="0" fontId="9" fillId="2" borderId="6" xfId="0" applyFont="1" applyFill="1" applyBorder="1" applyAlignment="1">
      <alignment horizontal="right"/>
    </xf>
    <xf numFmtId="182" fontId="9" fillId="2" borderId="6" xfId="0" applyNumberFormat="1" applyFont="1" applyFill="1" applyBorder="1"/>
    <xf numFmtId="182" fontId="9" fillId="2" borderId="7" xfId="0" applyNumberFormat="1" applyFont="1" applyFill="1" applyBorder="1"/>
    <xf numFmtId="0" fontId="12" fillId="0" borderId="0" xfId="0" applyFont="1"/>
    <xf numFmtId="0" fontId="15" fillId="0" borderId="0" xfId="0" applyFont="1"/>
    <xf numFmtId="0" fontId="14" fillId="0" borderId="0" xfId="0" applyFont="1" applyBorder="1" applyAlignment="1">
      <alignment horizontal="right"/>
    </xf>
    <xf numFmtId="0" fontId="5" fillId="0" borderId="0" xfId="0" applyFont="1" applyFill="1" applyBorder="1"/>
    <xf numFmtId="0" fontId="7" fillId="0" borderId="0" xfId="0" applyFont="1" applyAlignment="1">
      <alignment horizontal="center"/>
    </xf>
    <xf numFmtId="171" fontId="5" fillId="0" borderId="1" xfId="1" applyFont="1" applyBorder="1"/>
    <xf numFmtId="171" fontId="5" fillId="0" borderId="2" xfId="1" applyFont="1" applyBorder="1"/>
    <xf numFmtId="0" fontId="5" fillId="0" borderId="8" xfId="0" applyFont="1" applyBorder="1"/>
    <xf numFmtId="171" fontId="5" fillId="0" borderId="1" xfId="1" applyFont="1" applyFill="1" applyBorder="1"/>
    <xf numFmtId="0" fontId="5" fillId="0" borderId="8" xfId="0" applyFont="1" applyBorder="1" applyAlignment="1">
      <alignment horizontal="justify"/>
    </xf>
    <xf numFmtId="0" fontId="5" fillId="0" borderId="9" xfId="0" applyFont="1" applyBorder="1"/>
    <xf numFmtId="171" fontId="5" fillId="0" borderId="10" xfId="1" applyFont="1" applyBorder="1"/>
    <xf numFmtId="171" fontId="5" fillId="0" borderId="11" xfId="1" applyFont="1" applyBorder="1"/>
    <xf numFmtId="0" fontId="14" fillId="2" borderId="8" xfId="0" applyFont="1" applyFill="1" applyBorder="1" applyAlignment="1">
      <alignment horizontal="right"/>
    </xf>
    <xf numFmtId="171" fontId="5" fillId="2" borderId="1" xfId="1" applyFont="1" applyFill="1" applyBorder="1"/>
    <xf numFmtId="171" fontId="5" fillId="2" borderId="2" xfId="1" applyFont="1" applyFill="1" applyBorder="1"/>
    <xf numFmtId="0" fontId="8" fillId="3" borderId="12" xfId="0" applyFont="1" applyFill="1" applyBorder="1"/>
    <xf numFmtId="0" fontId="8" fillId="3" borderId="13" xfId="0" applyFont="1" applyFill="1" applyBorder="1"/>
    <xf numFmtId="0" fontId="8" fillId="3" borderId="14" xfId="0" applyFont="1" applyFill="1" applyBorder="1"/>
    <xf numFmtId="0" fontId="14" fillId="0" borderId="15" xfId="0" applyFont="1" applyBorder="1" applyAlignment="1">
      <alignment horizontal="right"/>
    </xf>
    <xf numFmtId="0" fontId="5" fillId="0" borderId="3" xfId="0" applyFont="1" applyBorder="1"/>
    <xf numFmtId="0" fontId="5" fillId="0" borderId="4" xfId="0" applyFont="1" applyFill="1" applyBorder="1"/>
    <xf numFmtId="0" fontId="13" fillId="2" borderId="5" xfId="0" applyFont="1" applyFill="1" applyBorder="1" applyAlignment="1">
      <alignment horizontal="right"/>
    </xf>
    <xf numFmtId="0" fontId="9" fillId="2" borderId="6" xfId="0" applyFont="1" applyFill="1" applyBorder="1"/>
    <xf numFmtId="171" fontId="9" fillId="2" borderId="7" xfId="1" applyFont="1" applyFill="1" applyBorder="1"/>
    <xf numFmtId="0" fontId="16" fillId="0" borderId="0" xfId="0" applyFont="1"/>
    <xf numFmtId="0" fontId="5" fillId="0" borderId="0" xfId="0" applyFont="1" applyAlignment="1">
      <alignment horizontal="center"/>
    </xf>
    <xf numFmtId="0" fontId="2" fillId="0" borderId="8" xfId="0" applyFont="1" applyBorder="1" applyAlignment="1">
      <alignment horizontal="justify"/>
    </xf>
    <xf numFmtId="171" fontId="2" fillId="0" borderId="1" xfId="1" applyFont="1" applyBorder="1" applyAlignment="1">
      <alignment horizontal="justify"/>
    </xf>
    <xf numFmtId="171" fontId="2" fillId="0" borderId="2" xfId="1" applyFont="1" applyBorder="1"/>
    <xf numFmtId="0" fontId="17" fillId="2" borderId="16" xfId="0" applyFont="1" applyFill="1" applyBorder="1" applyAlignment="1">
      <alignment horizontal="justify"/>
    </xf>
    <xf numFmtId="171" fontId="17" fillId="2" borderId="17" xfId="1" applyFont="1" applyFill="1" applyBorder="1" applyAlignment="1">
      <alignment horizontal="justify"/>
    </xf>
    <xf numFmtId="171" fontId="17" fillId="2" borderId="18" xfId="1" applyFont="1" applyFill="1" applyBorder="1" applyAlignment="1">
      <alignment horizontal="justify"/>
    </xf>
    <xf numFmtId="0" fontId="17" fillId="0" borderId="19"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2" fillId="0" borderId="0" xfId="0" applyFont="1" applyAlignment="1">
      <alignment horizontal="center"/>
    </xf>
    <xf numFmtId="181" fontId="2" fillId="0" borderId="1" xfId="1" applyNumberFormat="1" applyFont="1" applyBorder="1" applyAlignment="1">
      <alignment horizontal="justify"/>
    </xf>
    <xf numFmtId="0" fontId="2" fillId="0" borderId="17" xfId="0" applyFont="1" applyBorder="1" applyAlignment="1">
      <alignment horizontal="justify"/>
    </xf>
    <xf numFmtId="171" fontId="2" fillId="0" borderId="17" xfId="1" applyFont="1" applyBorder="1" applyAlignment="1">
      <alignment horizontal="justify"/>
    </xf>
    <xf numFmtId="171" fontId="2" fillId="0" borderId="18" xfId="1" applyFont="1" applyBorder="1" applyAlignment="1">
      <alignment horizontal="justify"/>
    </xf>
    <xf numFmtId="171" fontId="2" fillId="0" borderId="0" xfId="0" applyNumberFormat="1" applyFont="1"/>
    <xf numFmtId="0" fontId="2" fillId="0" borderId="0" xfId="0" applyFont="1" applyFill="1" applyBorder="1" applyAlignment="1">
      <alignment horizontal="justify"/>
    </xf>
    <xf numFmtId="43" fontId="2" fillId="0" borderId="0" xfId="0" applyNumberFormat="1" applyFont="1"/>
    <xf numFmtId="171" fontId="2" fillId="0" borderId="0" xfId="1" applyFont="1" applyBorder="1" applyAlignment="1">
      <alignment horizontal="justify"/>
    </xf>
    <xf numFmtId="43" fontId="2" fillId="2" borderId="22" xfId="0" applyNumberFormat="1" applyFont="1" applyFill="1" applyBorder="1"/>
    <xf numFmtId="171" fontId="2" fillId="2" borderId="23" xfId="1" applyFont="1" applyFill="1" applyBorder="1" applyAlignment="1">
      <alignment horizontal="justify"/>
    </xf>
    <xf numFmtId="43" fontId="2" fillId="0" borderId="22" xfId="0" applyNumberFormat="1" applyFont="1" applyBorder="1"/>
    <xf numFmtId="0" fontId="2" fillId="0" borderId="24" xfId="0" applyFont="1" applyBorder="1"/>
    <xf numFmtId="0" fontId="2" fillId="2" borderId="24" xfId="0" applyFont="1" applyFill="1" applyBorder="1"/>
    <xf numFmtId="0" fontId="2" fillId="2" borderId="22" xfId="0" applyFont="1" applyFill="1" applyBorder="1"/>
    <xf numFmtId="171" fontId="2" fillId="2" borderId="22" xfId="0" applyNumberFormat="1" applyFont="1" applyFill="1" applyBorder="1"/>
    <xf numFmtId="171" fontId="2" fillId="0" borderId="0" xfId="1" applyFont="1"/>
    <xf numFmtId="0" fontId="17" fillId="0" borderId="8" xfId="0" applyFont="1" applyBorder="1"/>
    <xf numFmtId="181" fontId="2" fillId="0" borderId="1" xfId="1" applyNumberFormat="1" applyFont="1" applyBorder="1"/>
    <xf numFmtId="181" fontId="17" fillId="2" borderId="17" xfId="1" applyNumberFormat="1" applyFont="1" applyFill="1" applyBorder="1"/>
    <xf numFmtId="0" fontId="17" fillId="0" borderId="0" xfId="0" applyFont="1"/>
    <xf numFmtId="181" fontId="2" fillId="0" borderId="0" xfId="1" applyNumberFormat="1" applyFont="1" applyBorder="1"/>
    <xf numFmtId="171" fontId="2" fillId="0" borderId="0" xfId="1" applyFont="1" applyBorder="1"/>
    <xf numFmtId="0" fontId="2" fillId="0" borderId="8" xfId="0" applyFont="1" applyFill="1" applyBorder="1" applyAlignment="1">
      <alignment horizontal="justify"/>
    </xf>
    <xf numFmtId="171" fontId="2" fillId="0" borderId="1" xfId="1" applyFont="1" applyBorder="1"/>
    <xf numFmtId="0" fontId="2" fillId="0" borderId="8" xfId="0" applyFont="1" applyBorder="1"/>
    <xf numFmtId="0" fontId="2" fillId="0" borderId="8" xfId="0" applyFont="1" applyFill="1" applyBorder="1"/>
    <xf numFmtId="171" fontId="2" fillId="0" borderId="17" xfId="1" applyFont="1" applyBorder="1"/>
    <xf numFmtId="171" fontId="2" fillId="0" borderId="18" xfId="1" applyFont="1" applyBorder="1"/>
    <xf numFmtId="0" fontId="2" fillId="2" borderId="16" xfId="0" applyFont="1" applyFill="1" applyBorder="1"/>
    <xf numFmtId="171" fontId="2" fillId="2" borderId="17" xfId="1" applyFont="1" applyFill="1" applyBorder="1"/>
    <xf numFmtId="171" fontId="2" fillId="2" borderId="18" xfId="1" applyFont="1" applyFill="1" applyBorder="1"/>
    <xf numFmtId="171" fontId="2" fillId="0" borderId="22" xfId="1" applyFont="1" applyBorder="1"/>
    <xf numFmtId="171" fontId="2" fillId="0" borderId="20" xfId="1" applyFont="1" applyBorder="1"/>
    <xf numFmtId="171" fontId="2" fillId="0" borderId="21" xfId="1" applyFont="1" applyBorder="1" applyAlignment="1">
      <alignment vertical="center" wrapText="1"/>
    </xf>
    <xf numFmtId="171" fontId="2" fillId="0" borderId="2" xfId="1" applyNumberFormat="1" applyFont="1" applyBorder="1"/>
    <xf numFmtId="0" fontId="2" fillId="0" borderId="1" xfId="0" applyFont="1" applyBorder="1" applyAlignment="1">
      <alignment vertical="center" wrapText="1"/>
    </xf>
    <xf numFmtId="171" fontId="2" fillId="0" borderId="1" xfId="1" applyFont="1" applyBorder="1" applyAlignment="1">
      <alignment vertical="center" wrapText="1"/>
    </xf>
    <xf numFmtId="10" fontId="2" fillId="0" borderId="1" xfId="0" applyNumberFormat="1" applyFont="1" applyBorder="1" applyAlignment="1">
      <alignment vertical="center" wrapText="1"/>
    </xf>
    <xf numFmtId="171" fontId="2" fillId="0" borderId="2" xfId="1" applyFont="1" applyBorder="1" applyAlignment="1">
      <alignment vertical="center" wrapText="1"/>
    </xf>
    <xf numFmtId="0" fontId="2" fillId="0" borderId="17" xfId="0" applyFont="1" applyBorder="1" applyAlignment="1">
      <alignment vertical="center" wrapText="1"/>
    </xf>
    <xf numFmtId="10" fontId="2" fillId="0" borderId="17" xfId="0" applyNumberFormat="1" applyFont="1" applyBorder="1" applyAlignment="1">
      <alignment vertical="center" wrapText="1"/>
    </xf>
    <xf numFmtId="171" fontId="2" fillId="0" borderId="17" xfId="1" applyFont="1" applyBorder="1" applyAlignment="1">
      <alignment vertical="center" wrapText="1"/>
    </xf>
    <xf numFmtId="171" fontId="2" fillId="0" borderId="18" xfId="1" applyFont="1" applyBorder="1" applyAlignment="1">
      <alignment vertical="center" wrapText="1"/>
    </xf>
    <xf numFmtId="0" fontId="2" fillId="0" borderId="8" xfId="0" applyFont="1" applyBorder="1" applyAlignment="1">
      <alignment horizontal="justify" vertical="center" wrapText="1"/>
    </xf>
    <xf numFmtId="171" fontId="2" fillId="0" borderId="1" xfId="1" applyFont="1" applyBorder="1" applyAlignment="1">
      <alignment horizontal="justify" vertical="center"/>
    </xf>
    <xf numFmtId="171" fontId="2" fillId="0" borderId="2" xfId="1" applyFont="1" applyBorder="1" applyAlignment="1">
      <alignment horizontal="justify" vertical="center"/>
    </xf>
    <xf numFmtId="0" fontId="2" fillId="0" borderId="0" xfId="0" applyFont="1" applyAlignment="1">
      <alignment horizontal="justify" vertical="center"/>
    </xf>
    <xf numFmtId="0" fontId="2" fillId="2" borderId="16" xfId="0" applyFont="1" applyFill="1" applyBorder="1" applyAlignment="1">
      <alignment horizontal="justify"/>
    </xf>
    <xf numFmtId="171" fontId="2" fillId="2" borderId="17" xfId="1" applyFont="1" applyFill="1" applyBorder="1" applyAlignment="1">
      <alignment horizontal="justify"/>
    </xf>
    <xf numFmtId="171" fontId="2" fillId="2" borderId="18" xfId="1" applyFont="1" applyFill="1" applyBorder="1" applyAlignment="1">
      <alignment horizontal="justify"/>
    </xf>
    <xf numFmtId="0" fontId="2" fillId="0" borderId="1" xfId="0" applyFont="1" applyBorder="1"/>
    <xf numFmtId="0" fontId="2" fillId="0" borderId="16" xfId="0" applyFont="1" applyBorder="1"/>
    <xf numFmtId="0" fontId="2" fillId="0" borderId="17" xfId="0" applyFont="1" applyBorder="1"/>
    <xf numFmtId="4" fontId="2" fillId="0" borderId="1" xfId="1" applyNumberFormat="1" applyFont="1" applyBorder="1" applyAlignment="1">
      <alignment horizontal="right"/>
    </xf>
    <xf numFmtId="4" fontId="2" fillId="0" borderId="2" xfId="1" applyNumberFormat="1" applyFont="1" applyBorder="1" applyAlignment="1">
      <alignment horizontal="right"/>
    </xf>
    <xf numFmtId="4" fontId="2" fillId="0" borderId="1" xfId="0" applyNumberFormat="1" applyFont="1" applyBorder="1" applyAlignment="1">
      <alignment horizontal="right"/>
    </xf>
    <xf numFmtId="4" fontId="2" fillId="0" borderId="2" xfId="0" applyNumberFormat="1" applyFont="1" applyBorder="1" applyAlignment="1">
      <alignment horizontal="right"/>
    </xf>
    <xf numFmtId="0" fontId="9" fillId="2" borderId="6" xfId="0" applyFont="1" applyFill="1" applyBorder="1" applyAlignment="1">
      <alignment horizontal="left"/>
    </xf>
    <xf numFmtId="171" fontId="9" fillId="2" borderId="7" xfId="1" applyFont="1" applyFill="1" applyBorder="1" applyAlignment="1">
      <alignment horizontal="left"/>
    </xf>
    <xf numFmtId="0" fontId="9" fillId="2" borderId="5" xfId="0" applyFont="1" applyFill="1" applyBorder="1" applyAlignment="1">
      <alignment horizontal="left"/>
    </xf>
    <xf numFmtId="171" fontId="2" fillId="0" borderId="0" xfId="1" applyFont="1" applyFill="1" applyBorder="1"/>
    <xf numFmtId="0" fontId="9" fillId="2" borderId="25" xfId="0" applyFont="1" applyFill="1" applyBorder="1" applyAlignment="1">
      <alignment horizontal="left"/>
    </xf>
    <xf numFmtId="0" fontId="9" fillId="2" borderId="26" xfId="0" applyFont="1" applyFill="1" applyBorder="1" applyAlignment="1">
      <alignment horizontal="left"/>
    </xf>
    <xf numFmtId="171" fontId="9" fillId="2" borderId="27" xfId="1" applyFont="1" applyFill="1" applyBorder="1" applyAlignment="1">
      <alignment horizontal="left"/>
    </xf>
    <xf numFmtId="0" fontId="10" fillId="0" borderId="8" xfId="0" applyFont="1" applyBorder="1" applyAlignment="1">
      <alignment horizontal="left"/>
    </xf>
    <xf numFmtId="0" fontId="10" fillId="0" borderId="15" xfId="0" applyFont="1" applyBorder="1" applyAlignment="1">
      <alignment horizontal="left"/>
    </xf>
    <xf numFmtId="0" fontId="17" fillId="0" borderId="21" xfId="0" applyFont="1" applyBorder="1" applyAlignment="1">
      <alignment horizontal="center" wrapText="1"/>
    </xf>
    <xf numFmtId="181" fontId="2" fillId="0" borderId="2" xfId="1" applyNumberFormat="1" applyFont="1" applyBorder="1"/>
    <xf numFmtId="181" fontId="17" fillId="2" borderId="18" xfId="1" applyNumberFormat="1" applyFont="1" applyFill="1" applyBorder="1"/>
    <xf numFmtId="181" fontId="17" fillId="0" borderId="21" xfId="1" applyNumberFormat="1" applyFont="1" applyBorder="1" applyAlignment="1">
      <alignment horizontal="center" wrapText="1"/>
    </xf>
    <xf numFmtId="0" fontId="7" fillId="2" borderId="19"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wrapText="1"/>
    </xf>
    <xf numFmtId="4" fontId="17" fillId="0" borderId="1" xfId="1" applyNumberFormat="1" applyFont="1" applyBorder="1" applyAlignment="1">
      <alignment horizontal="right"/>
    </xf>
    <xf numFmtId="171" fontId="2" fillId="0" borderId="0" xfId="1" applyFont="1" applyFill="1" applyBorder="1" applyAlignment="1">
      <alignment horizontal="justify"/>
    </xf>
    <xf numFmtId="0" fontId="2" fillId="0" borderId="0" xfId="0" applyFont="1" applyFill="1"/>
    <xf numFmtId="10" fontId="2" fillId="0" borderId="0" xfId="0" applyNumberFormat="1" applyFont="1"/>
    <xf numFmtId="0" fontId="2" fillId="0" borderId="0" xfId="0" applyNumberFormat="1" applyFont="1"/>
    <xf numFmtId="0" fontId="17" fillId="0" borderId="8" xfId="0" applyFont="1" applyBorder="1" applyAlignment="1">
      <alignment horizontal="justify"/>
    </xf>
    <xf numFmtId="4" fontId="2" fillId="0" borderId="0" xfId="0" applyNumberFormat="1" applyFont="1"/>
    <xf numFmtId="169" fontId="2" fillId="2" borderId="23" xfId="0" applyNumberFormat="1" applyFont="1" applyFill="1" applyBorder="1"/>
    <xf numFmtId="181" fontId="2" fillId="0" borderId="28" xfId="1" applyNumberFormat="1" applyFont="1" applyBorder="1"/>
    <xf numFmtId="181" fontId="17" fillId="2" borderId="29" xfId="1" applyNumberFormat="1" applyFont="1" applyFill="1" applyBorder="1"/>
    <xf numFmtId="0" fontId="17" fillId="0" borderId="30" xfId="0" applyFont="1" applyBorder="1"/>
    <xf numFmtId="0" fontId="17" fillId="0" borderId="31" xfId="0" applyFont="1" applyBorder="1"/>
    <xf numFmtId="0" fontId="17" fillId="2" borderId="32" xfId="0" applyFont="1" applyFill="1" applyBorder="1" applyAlignment="1">
      <alignment horizontal="right"/>
    </xf>
    <xf numFmtId="171" fontId="2" fillId="0" borderId="28" xfId="1" applyNumberFormat="1" applyFont="1" applyBorder="1"/>
    <xf numFmtId="171" fontId="2" fillId="0" borderId="1" xfId="1" applyNumberFormat="1" applyFont="1" applyBorder="1"/>
    <xf numFmtId="171" fontId="17" fillId="2" borderId="29" xfId="1" applyNumberFormat="1" applyFont="1" applyFill="1" applyBorder="1"/>
    <xf numFmtId="171" fontId="2" fillId="0" borderId="1" xfId="2" applyNumberFormat="1" applyFont="1" applyBorder="1"/>
    <xf numFmtId="171" fontId="17" fillId="2" borderId="17" xfId="1" applyNumberFormat="1" applyFont="1" applyFill="1" applyBorder="1"/>
    <xf numFmtId="171" fontId="17" fillId="2" borderId="18" xfId="1" applyNumberFormat="1" applyFont="1" applyFill="1" applyBorder="1"/>
    <xf numFmtId="171" fontId="2" fillId="0" borderId="0" xfId="1" applyNumberFormat="1" applyFont="1"/>
    <xf numFmtId="171" fontId="2" fillId="0" borderId="0" xfId="1" applyNumberFormat="1" applyFont="1" applyFill="1" applyBorder="1"/>
    <xf numFmtId="171" fontId="17" fillId="0" borderId="0" xfId="1" applyFont="1" applyBorder="1" applyAlignment="1">
      <alignment horizontal="center"/>
    </xf>
    <xf numFmtId="0" fontId="17" fillId="0" borderId="0" xfId="0" applyFont="1" applyBorder="1"/>
    <xf numFmtId="171" fontId="2" fillId="0" borderId="10" xfId="2" applyNumberFormat="1" applyFont="1" applyBorder="1"/>
    <xf numFmtId="171" fontId="2" fillId="0" borderId="10" xfId="1" applyNumberFormat="1" applyFont="1" applyBorder="1"/>
    <xf numFmtId="171" fontId="21" fillId="0" borderId="5" xfId="1" applyFont="1" applyBorder="1" applyAlignment="1">
      <alignment wrapText="1"/>
    </xf>
    <xf numFmtId="171" fontId="21" fillId="0" borderId="6" xfId="1" applyFont="1" applyBorder="1" applyAlignment="1">
      <alignment wrapText="1"/>
    </xf>
    <xf numFmtId="171" fontId="17" fillId="0" borderId="6" xfId="1" applyFont="1" applyBorder="1"/>
    <xf numFmtId="171" fontId="17" fillId="0" borderId="7" xfId="1" applyFont="1" applyBorder="1"/>
    <xf numFmtId="171" fontId="2" fillId="0" borderId="33" xfId="1" applyNumberFormat="1" applyFont="1" applyBorder="1"/>
    <xf numFmtId="171" fontId="2" fillId="0" borderId="11" xfId="1" applyNumberFormat="1" applyFont="1" applyBorder="1"/>
    <xf numFmtId="171" fontId="2" fillId="0" borderId="21" xfId="1" applyNumberFormat="1" applyFont="1" applyBorder="1"/>
    <xf numFmtId="181" fontId="2" fillId="0" borderId="33" xfId="1" applyNumberFormat="1" applyFont="1" applyBorder="1"/>
    <xf numFmtId="181" fontId="2" fillId="0" borderId="10" xfId="1" applyNumberFormat="1" applyFont="1" applyBorder="1"/>
    <xf numFmtId="181" fontId="2" fillId="0" borderId="11" xfId="1" applyNumberFormat="1" applyFont="1" applyBorder="1"/>
    <xf numFmtId="171" fontId="17" fillId="0" borderId="5" xfId="1" applyFont="1" applyBorder="1"/>
    <xf numFmtId="0" fontId="17" fillId="0" borderId="0" xfId="0" applyFont="1" applyBorder="1" applyAlignment="1">
      <alignment horizontal="center" vertical="center" wrapText="1"/>
    </xf>
    <xf numFmtId="0" fontId="2" fillId="0" borderId="0" xfId="0" applyFont="1" applyBorder="1" applyAlignment="1">
      <alignment vertical="center" wrapText="1"/>
    </xf>
    <xf numFmtId="10" fontId="2" fillId="0" borderId="0" xfId="0" applyNumberFormat="1" applyFont="1" applyBorder="1" applyAlignment="1">
      <alignment vertical="center" wrapText="1"/>
    </xf>
    <xf numFmtId="171" fontId="2" fillId="0" borderId="0" xfId="1" applyFont="1" applyBorder="1" applyAlignment="1">
      <alignment vertical="center" wrapText="1"/>
    </xf>
    <xf numFmtId="0" fontId="2" fillId="0" borderId="3" xfId="0" applyFont="1" applyBorder="1" applyAlignment="1">
      <alignment vertical="center" wrapText="1"/>
    </xf>
    <xf numFmtId="10" fontId="2" fillId="0" borderId="3" xfId="0" applyNumberFormat="1" applyFont="1" applyBorder="1" applyAlignment="1">
      <alignmen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 fillId="0" borderId="20" xfId="0" applyFont="1" applyBorder="1" applyAlignment="1">
      <alignment vertical="center" wrapText="1"/>
    </xf>
    <xf numFmtId="171" fontId="2" fillId="0" borderId="20" xfId="1" applyFont="1" applyBorder="1" applyAlignment="1">
      <alignment vertical="center" wrapText="1"/>
    </xf>
    <xf numFmtId="10" fontId="2" fillId="0" borderId="20" xfId="0" applyNumberFormat="1" applyFont="1" applyBorder="1" applyAlignment="1">
      <alignment vertical="center" wrapText="1"/>
    </xf>
    <xf numFmtId="0" fontId="2" fillId="0" borderId="10" xfId="0" applyFont="1" applyBorder="1" applyAlignment="1">
      <alignment vertical="center" wrapText="1"/>
    </xf>
    <xf numFmtId="171" fontId="2" fillId="0" borderId="10" xfId="1" applyFont="1" applyBorder="1" applyAlignment="1">
      <alignment vertical="center" wrapText="1"/>
    </xf>
    <xf numFmtId="10" fontId="2" fillId="0" borderId="10" xfId="0" applyNumberFormat="1" applyFont="1" applyBorder="1" applyAlignment="1">
      <alignment vertical="center" wrapText="1"/>
    </xf>
    <xf numFmtId="171" fontId="2" fillId="0" borderId="11" xfId="1" applyFont="1" applyBorder="1" applyAlignment="1">
      <alignment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7" fillId="2" borderId="13" xfId="0" applyFont="1" applyFill="1" applyBorder="1" applyAlignment="1">
      <alignment horizontal="center" wrapText="1"/>
    </xf>
    <xf numFmtId="0" fontId="17" fillId="2" borderId="14" xfId="0" applyFont="1" applyFill="1" applyBorder="1" applyAlignment="1">
      <alignment horizontal="center" vertical="center" wrapText="1"/>
    </xf>
    <xf numFmtId="171" fontId="2" fillId="0" borderId="21" xfId="1" applyFont="1" applyBorder="1"/>
    <xf numFmtId="171" fontId="2" fillId="0" borderId="31" xfId="1" applyFont="1" applyBorder="1"/>
    <xf numFmtId="4" fontId="0" fillId="0" borderId="0" xfId="0" applyNumberFormat="1"/>
    <xf numFmtId="171" fontId="0" fillId="0" borderId="0" xfId="0" applyNumberFormat="1"/>
    <xf numFmtId="0" fontId="7" fillId="2" borderId="34" xfId="0" applyFont="1" applyFill="1" applyBorder="1" applyAlignment="1">
      <alignment horizontal="center"/>
    </xf>
    <xf numFmtId="0" fontId="2" fillId="0" borderId="28" xfId="0" applyFont="1" applyBorder="1" applyAlignment="1">
      <alignment horizontal="justify"/>
    </xf>
    <xf numFmtId="171" fontId="17" fillId="2" borderId="29" xfId="0" applyNumberFormat="1" applyFont="1" applyFill="1" applyBorder="1" applyAlignment="1">
      <alignment horizontal="justify"/>
    </xf>
    <xf numFmtId="171" fontId="2" fillId="0" borderId="1" xfId="0" applyNumberFormat="1" applyFont="1" applyBorder="1" applyAlignment="1">
      <alignment horizontal="justify"/>
    </xf>
    <xf numFmtId="171" fontId="2" fillId="0" borderId="1" xfId="1" applyNumberFormat="1" applyFont="1" applyBorder="1" applyAlignment="1">
      <alignment horizontal="justify"/>
    </xf>
    <xf numFmtId="181" fontId="2" fillId="0" borderId="1" xfId="0" applyNumberFormat="1" applyFont="1" applyBorder="1" applyAlignment="1">
      <alignment horizontal="justify"/>
    </xf>
    <xf numFmtId="181" fontId="2" fillId="0" borderId="0" xfId="0" applyNumberFormat="1" applyFont="1"/>
    <xf numFmtId="181" fontId="2" fillId="0" borderId="0" xfId="1" applyNumberFormat="1" applyFont="1"/>
    <xf numFmtId="171" fontId="21" fillId="0" borderId="5" xfId="1" applyFont="1" applyBorder="1" applyAlignment="1">
      <alignment horizontal="center" wrapText="1"/>
    </xf>
    <xf numFmtId="171" fontId="21" fillId="0" borderId="6" xfId="1" applyFont="1" applyBorder="1" applyAlignment="1">
      <alignment horizontal="center" wrapText="1"/>
    </xf>
    <xf numFmtId="171" fontId="21" fillId="0" borderId="35" xfId="1" applyFont="1" applyBorder="1" applyAlignment="1">
      <alignment horizontal="center" wrapText="1"/>
    </xf>
    <xf numFmtId="0" fontId="7" fillId="0" borderId="0" xfId="0" applyFont="1" applyBorder="1"/>
    <xf numFmtId="171" fontId="5" fillId="0" borderId="0" xfId="1" applyFont="1" applyBorder="1"/>
    <xf numFmtId="4" fontId="2" fillId="0" borderId="1" xfId="1" applyNumberFormat="1" applyFont="1" applyFill="1" applyBorder="1" applyAlignment="1">
      <alignment horizontal="right"/>
    </xf>
    <xf numFmtId="4" fontId="17" fillId="0" borderId="1" xfId="1" applyNumberFormat="1" applyFont="1" applyFill="1" applyBorder="1" applyAlignment="1">
      <alignment horizontal="right"/>
    </xf>
    <xf numFmtId="171" fontId="2" fillId="0" borderId="31" xfId="1" applyFont="1" applyFill="1" applyBorder="1"/>
    <xf numFmtId="0" fontId="17" fillId="0" borderId="5" xfId="0" applyFont="1" applyBorder="1" applyAlignment="1">
      <alignment horizont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7" xfId="0" applyFont="1" applyFill="1" applyBorder="1" applyAlignment="1">
      <alignment horizontal="center"/>
    </xf>
    <xf numFmtId="4" fontId="2" fillId="0" borderId="17" xfId="0" applyNumberFormat="1" applyFont="1" applyBorder="1"/>
    <xf numFmtId="4" fontId="2" fillId="0" borderId="17" xfId="0" applyNumberFormat="1" applyFont="1" applyBorder="1" applyAlignment="1">
      <alignment horizontal="right"/>
    </xf>
    <xf numFmtId="4" fontId="2" fillId="0" borderId="18" xfId="0" applyNumberFormat="1" applyFont="1" applyBorder="1"/>
    <xf numFmtId="171" fontId="2" fillId="0" borderId="36" xfId="1" applyFont="1" applyBorder="1"/>
    <xf numFmtId="0" fontId="17" fillId="2" borderId="14" xfId="0" applyFont="1" applyFill="1" applyBorder="1" applyAlignment="1">
      <alignment horizontal="center"/>
    </xf>
    <xf numFmtId="0" fontId="22" fillId="4" borderId="0" xfId="0" applyFont="1" applyFill="1" applyBorder="1" applyAlignment="1">
      <alignment horizontal="left"/>
    </xf>
    <xf numFmtId="0" fontId="22" fillId="0" borderId="0" xfId="0" applyFont="1" applyBorder="1" applyAlignment="1">
      <alignment horizontal="center"/>
    </xf>
    <xf numFmtId="0" fontId="22" fillId="0" borderId="0" xfId="0" applyFont="1" applyBorder="1"/>
    <xf numFmtId="0" fontId="1" fillId="4" borderId="0" xfId="0" applyFont="1" applyFill="1" applyBorder="1"/>
    <xf numFmtId="0" fontId="0" fillId="4" borderId="0" xfId="0" applyFill="1" applyBorder="1"/>
    <xf numFmtId="0" fontId="22" fillId="0" borderId="0" xfId="0" applyNumberFormat="1" applyFont="1" applyBorder="1" applyAlignment="1">
      <alignment horizontal="left"/>
    </xf>
    <xf numFmtId="0" fontId="22" fillId="4" borderId="0" xfId="0" applyFont="1" applyFill="1" applyBorder="1" applyAlignment="1">
      <alignment horizontal="center"/>
    </xf>
    <xf numFmtId="0" fontId="22" fillId="4" borderId="0" xfId="0" applyFont="1" applyFill="1" applyBorder="1" applyAlignment="1">
      <alignment horizontal="right"/>
    </xf>
    <xf numFmtId="0" fontId="22" fillId="4" borderId="0" xfId="0" applyNumberFormat="1" applyFont="1" applyFill="1" applyBorder="1" applyAlignment="1">
      <alignment horizontal="left"/>
    </xf>
    <xf numFmtId="0" fontId="3" fillId="4" borderId="0" xfId="0" applyFont="1" applyFill="1" applyBorder="1" applyAlignment="1">
      <alignment horizontal="right"/>
    </xf>
    <xf numFmtId="0" fontId="0" fillId="0" borderId="0" xfId="0" applyNumberFormat="1" applyFont="1" applyFill="1" applyBorder="1" applyAlignment="1" applyProtection="1"/>
    <xf numFmtId="0" fontId="22" fillId="0" borderId="0" xfId="0" applyNumberFormat="1" applyFont="1" applyBorder="1" applyAlignment="1">
      <alignment wrapText="1"/>
    </xf>
    <xf numFmtId="0" fontId="22" fillId="0" borderId="0" xfId="0" applyFont="1" applyBorder="1" applyAlignment="1">
      <alignment wrapText="1"/>
    </xf>
    <xf numFmtId="14" fontId="22" fillId="4" borderId="0" xfId="0" applyNumberFormat="1" applyFont="1" applyFill="1" applyBorder="1" applyAlignment="1">
      <alignment horizontal="right"/>
    </xf>
    <xf numFmtId="184" fontId="22" fillId="4" borderId="0" xfId="3" applyNumberFormat="1" applyFont="1" applyFill="1" applyBorder="1" applyAlignment="1">
      <alignment horizontal="right"/>
    </xf>
    <xf numFmtId="185" fontId="22" fillId="4" borderId="0" xfId="3" applyNumberFormat="1" applyFont="1" applyFill="1" applyBorder="1" applyAlignment="1" applyProtection="1">
      <alignment horizontal="right"/>
      <protection locked="0"/>
    </xf>
    <xf numFmtId="0" fontId="22" fillId="0" borderId="0" xfId="0" applyFont="1"/>
    <xf numFmtId="0" fontId="22" fillId="0" borderId="0" xfId="0" applyNumberFormat="1" applyFont="1" applyBorder="1" applyAlignment="1">
      <alignment horizontal="center"/>
    </xf>
    <xf numFmtId="9" fontId="2" fillId="0" borderId="1" xfId="0" applyNumberFormat="1" applyFont="1" applyBorder="1" applyAlignment="1">
      <alignment vertical="center" wrapText="1"/>
    </xf>
    <xf numFmtId="171" fontId="2" fillId="0" borderId="3" xfId="1" applyFont="1" applyBorder="1" applyAlignment="1">
      <alignment vertical="center" wrapText="1"/>
    </xf>
    <xf numFmtId="0" fontId="2" fillId="0" borderId="1" xfId="0" quotePrefix="1" applyFont="1" applyBorder="1"/>
    <xf numFmtId="9" fontId="2" fillId="0" borderId="1" xfId="0" quotePrefix="1" applyNumberFormat="1" applyFont="1" applyBorder="1"/>
    <xf numFmtId="9" fontId="2" fillId="0" borderId="2" xfId="0" quotePrefix="1" applyNumberFormat="1" applyFont="1" applyBorder="1"/>
    <xf numFmtId="0" fontId="4" fillId="0" borderId="1" xfId="0" applyFont="1" applyBorder="1" applyAlignment="1">
      <alignment horizontal="justify"/>
    </xf>
    <xf numFmtId="0" fontId="4" fillId="0" borderId="2" xfId="0" applyFont="1" applyBorder="1" applyAlignment="1">
      <alignment horizontal="justify"/>
    </xf>
    <xf numFmtId="178" fontId="2" fillId="0" borderId="1" xfId="0" quotePrefix="1" applyNumberFormat="1" applyFont="1" applyBorder="1"/>
    <xf numFmtId="0" fontId="17" fillId="0" borderId="37" xfId="0" applyFont="1" applyBorder="1" applyAlignment="1">
      <alignment horizontal="center"/>
    </xf>
    <xf numFmtId="171" fontId="2" fillId="0" borderId="36" xfId="1" applyFont="1" applyBorder="1" applyAlignment="1">
      <alignment horizontal="justify"/>
    </xf>
    <xf numFmtId="171" fontId="2" fillId="2" borderId="38" xfId="1" applyFont="1" applyFill="1" applyBorder="1" applyAlignment="1">
      <alignment horizontal="justify"/>
    </xf>
    <xf numFmtId="0" fontId="17" fillId="0" borderId="30" xfId="0" applyFont="1" applyBorder="1" applyAlignment="1">
      <alignment horizontal="center" wrapText="1"/>
    </xf>
    <xf numFmtId="171" fontId="2" fillId="2" borderId="32" xfId="1" applyFont="1" applyFill="1" applyBorder="1" applyAlignment="1">
      <alignment horizontal="justify"/>
    </xf>
    <xf numFmtId="171" fontId="2" fillId="0" borderId="31" xfId="1" applyFont="1" applyBorder="1" applyAlignment="1">
      <alignment horizontal="justify" vertical="center"/>
    </xf>
    <xf numFmtId="0" fontId="17" fillId="2" borderId="24" xfId="0" applyFont="1" applyFill="1" applyBorder="1"/>
    <xf numFmtId="171" fontId="2" fillId="2" borderId="22" xfId="1" applyFont="1" applyFill="1" applyBorder="1"/>
    <xf numFmtId="171" fontId="2" fillId="2" borderId="38" xfId="1" applyFont="1" applyFill="1" applyBorder="1"/>
    <xf numFmtId="171" fontId="2" fillId="0" borderId="39" xfId="1" applyFont="1" applyBorder="1"/>
    <xf numFmtId="171" fontId="2" fillId="2" borderId="40" xfId="1" applyFont="1" applyFill="1" applyBorder="1"/>
    <xf numFmtId="171" fontId="2" fillId="2" borderId="32" xfId="1" applyFont="1" applyFill="1" applyBorder="1"/>
    <xf numFmtId="0" fontId="2" fillId="0" borderId="9" xfId="0" applyFont="1" applyFill="1" applyBorder="1" applyAlignment="1">
      <alignment horizontal="justify"/>
    </xf>
    <xf numFmtId="171" fontId="2" fillId="0" borderId="10" xfId="1" applyFont="1" applyBorder="1"/>
    <xf numFmtId="171" fontId="2" fillId="0" borderId="41" xfId="1" applyFont="1" applyBorder="1"/>
    <xf numFmtId="171" fontId="2" fillId="0" borderId="42" xfId="1" applyFont="1" applyBorder="1"/>
    <xf numFmtId="171" fontId="2" fillId="0" borderId="43" xfId="1" applyFont="1" applyBorder="1"/>
    <xf numFmtId="171" fontId="2" fillId="0" borderId="11" xfId="1" applyFont="1" applyBorder="1"/>
    <xf numFmtId="171" fontId="17" fillId="0" borderId="6" xfId="1" applyFont="1" applyBorder="1" applyAlignment="1">
      <alignment horizontal="center"/>
    </xf>
    <xf numFmtId="171" fontId="17" fillId="0" borderId="44" xfId="1" applyFont="1" applyBorder="1" applyAlignment="1">
      <alignment horizontal="center"/>
    </xf>
    <xf numFmtId="181" fontId="17" fillId="0" borderId="45" xfId="1" applyNumberFormat="1" applyFont="1" applyBorder="1" applyAlignment="1">
      <alignment horizontal="center" wrapText="1"/>
    </xf>
    <xf numFmtId="181" fontId="17" fillId="0" borderId="46" xfId="1" applyNumberFormat="1" applyFont="1" applyBorder="1" applyAlignment="1">
      <alignment horizontal="center" wrapText="1"/>
    </xf>
    <xf numFmtId="181" fontId="17" fillId="0" borderId="7" xfId="1" applyNumberFormat="1" applyFont="1" applyBorder="1" applyAlignment="1">
      <alignment horizontal="center" wrapText="1"/>
    </xf>
    <xf numFmtId="0" fontId="7" fillId="0" borderId="1" xfId="0" applyFont="1" applyBorder="1"/>
    <xf numFmtId="1" fontId="5" fillId="0" borderId="1" xfId="0" applyNumberFormat="1" applyFont="1" applyBorder="1" applyAlignment="1">
      <alignment horizontal="center"/>
    </xf>
    <xf numFmtId="181" fontId="5" fillId="0" borderId="1" xfId="1" applyNumberFormat="1" applyFont="1" applyBorder="1" applyAlignment="1"/>
    <xf numFmtId="1" fontId="5" fillId="0" borderId="1" xfId="1" applyNumberFormat="1" applyFont="1" applyBorder="1" applyAlignment="1">
      <alignment horizontal="center"/>
    </xf>
    <xf numFmtId="0" fontId="7" fillId="2" borderId="47" xfId="0" applyFont="1" applyFill="1" applyBorder="1" applyAlignment="1">
      <alignment horizontal="center"/>
    </xf>
    <xf numFmtId="0" fontId="7" fillId="2" borderId="48" xfId="0" applyFont="1" applyFill="1" applyBorder="1" applyAlignment="1">
      <alignment horizontal="center"/>
    </xf>
    <xf numFmtId="181" fontId="4" fillId="2" borderId="47" xfId="0" applyNumberFormat="1" applyFont="1" applyFill="1" applyBorder="1" applyAlignment="1"/>
    <xf numFmtId="0" fontId="4" fillId="2" borderId="47" xfId="0" applyFont="1" applyFill="1" applyBorder="1" applyAlignment="1">
      <alignment horizontal="center"/>
    </xf>
    <xf numFmtId="0" fontId="4" fillId="2" borderId="49" xfId="0" applyFont="1" applyFill="1" applyBorder="1" applyAlignment="1">
      <alignment horizontal="center"/>
    </xf>
    <xf numFmtId="0" fontId="5" fillId="0" borderId="16" xfId="0" applyFont="1" applyBorder="1"/>
    <xf numFmtId="0" fontId="5" fillId="0" borderId="17" xfId="0" applyFont="1" applyBorder="1"/>
    <xf numFmtId="1" fontId="5" fillId="0" borderId="17" xfId="0" applyNumberFormat="1" applyFont="1" applyBorder="1" applyAlignment="1">
      <alignment horizontal="center"/>
    </xf>
    <xf numFmtId="181" fontId="5" fillId="0" borderId="17" xfId="1" applyNumberFormat="1" applyFont="1" applyBorder="1" applyAlignment="1"/>
    <xf numFmtId="0" fontId="22" fillId="4" borderId="50" xfId="0" applyFont="1" applyFill="1" applyBorder="1" applyAlignment="1">
      <alignment horizontal="left"/>
    </xf>
    <xf numFmtId="0" fontId="22" fillId="4" borderId="1" xfId="0" applyFont="1" applyFill="1" applyBorder="1" applyAlignment="1">
      <alignment horizontal="right"/>
    </xf>
    <xf numFmtId="4" fontId="22" fillId="4" borderId="51" xfId="3" applyNumberFormat="1" applyFont="1" applyFill="1" applyBorder="1" applyAlignment="1" applyProtection="1">
      <alignment horizontal="right"/>
      <protection locked="0"/>
    </xf>
    <xf numFmtId="187" fontId="22" fillId="4" borderId="51" xfId="0" applyNumberFormat="1" applyFont="1" applyFill="1" applyBorder="1" applyAlignment="1" applyProtection="1">
      <alignment horizontal="right"/>
      <protection locked="0"/>
    </xf>
    <xf numFmtId="186" fontId="22" fillId="4" borderId="51" xfId="0" applyNumberFormat="1" applyFont="1" applyFill="1" applyBorder="1" applyAlignment="1" applyProtection="1">
      <alignment horizontal="right"/>
      <protection locked="0"/>
    </xf>
    <xf numFmtId="14" fontId="22" fillId="4" borderId="51" xfId="0" applyNumberFormat="1" applyFont="1" applyFill="1" applyBorder="1" applyAlignment="1" applyProtection="1">
      <alignment horizontal="right"/>
      <protection locked="0"/>
    </xf>
    <xf numFmtId="0" fontId="22" fillId="4" borderId="52" xfId="0" applyFont="1" applyFill="1" applyBorder="1" applyAlignment="1">
      <alignment horizontal="left"/>
    </xf>
    <xf numFmtId="0" fontId="22" fillId="4" borderId="53" xfId="0" applyFont="1" applyFill="1" applyBorder="1" applyAlignment="1">
      <alignment horizontal="right"/>
    </xf>
    <xf numFmtId="183" fontId="22" fillId="4" borderId="54" xfId="3" applyFont="1" applyFill="1" applyBorder="1" applyAlignment="1" applyProtection="1">
      <alignment horizontal="right"/>
      <protection locked="0"/>
    </xf>
    <xf numFmtId="4" fontId="22" fillId="5" borderId="51" xfId="3" applyNumberFormat="1" applyFont="1" applyFill="1" applyBorder="1" applyAlignment="1">
      <alignment horizontal="right"/>
    </xf>
    <xf numFmtId="186" fontId="22" fillId="5" borderId="51" xfId="0" applyNumberFormat="1" applyFont="1" applyFill="1" applyBorder="1" applyAlignment="1">
      <alignment horizontal="right"/>
    </xf>
    <xf numFmtId="4" fontId="22" fillId="5" borderId="54" xfId="3" applyNumberFormat="1" applyFont="1" applyFill="1" applyBorder="1" applyAlignment="1">
      <alignment horizontal="right"/>
    </xf>
    <xf numFmtId="182" fontId="2" fillId="0" borderId="1" xfId="0" quotePrefix="1" applyNumberFormat="1" applyFont="1" applyBorder="1"/>
    <xf numFmtId="182" fontId="2" fillId="0" borderId="2" xfId="0" quotePrefix="1" applyNumberFormat="1" applyFont="1" applyBorder="1"/>
    <xf numFmtId="0" fontId="12" fillId="0" borderId="0" xfId="0" applyFont="1" applyAlignment="1"/>
    <xf numFmtId="171" fontId="5" fillId="0" borderId="1" xfId="1" applyFont="1" applyBorder="1" applyAlignment="1"/>
    <xf numFmtId="171" fontId="5" fillId="0" borderId="0" xfId="1" applyFont="1" applyBorder="1" applyAlignment="1"/>
    <xf numFmtId="0" fontId="5" fillId="0" borderId="0" xfId="0" applyFont="1" applyAlignment="1"/>
    <xf numFmtId="0" fontId="7" fillId="2" borderId="55" xfId="0" applyFont="1" applyFill="1" applyBorder="1" applyAlignment="1">
      <alignment horizontal="left"/>
    </xf>
    <xf numFmtId="0" fontId="3" fillId="4" borderId="0" xfId="0" applyFont="1" applyFill="1" applyBorder="1" applyAlignment="1" applyProtection="1">
      <alignment horizontal="left" wrapText="1" indent="2"/>
    </xf>
    <xf numFmtId="0" fontId="3" fillId="4" borderId="0" xfId="0" applyFont="1" applyFill="1" applyBorder="1" applyAlignment="1" applyProtection="1">
      <alignment horizontal="left" wrapText="1" indent="3"/>
    </xf>
    <xf numFmtId="0" fontId="3" fillId="4" borderId="45" xfId="0" applyFont="1" applyFill="1" applyBorder="1" applyAlignment="1" applyProtection="1">
      <alignment horizontal="left" wrapText="1"/>
    </xf>
    <xf numFmtId="0" fontId="3" fillId="4" borderId="56" xfId="0" applyFont="1" applyFill="1" applyBorder="1" applyAlignment="1" applyProtection="1">
      <alignment horizontal="left" wrapText="1" indent="2"/>
    </xf>
    <xf numFmtId="0" fontId="3" fillId="4" borderId="57" xfId="0" applyFont="1" applyFill="1" applyBorder="1" applyAlignment="1" applyProtection="1">
      <alignment horizontal="left" wrapText="1" indent="3"/>
    </xf>
    <xf numFmtId="14" fontId="22" fillId="4" borderId="1" xfId="0" applyNumberFormat="1" applyFont="1" applyFill="1" applyBorder="1" applyAlignment="1">
      <alignment horizontal="right"/>
    </xf>
    <xf numFmtId="4" fontId="22" fillId="4" borderId="1" xfId="3" applyNumberFormat="1" applyFont="1" applyFill="1" applyBorder="1" applyAlignment="1">
      <alignment horizontal="right"/>
    </xf>
    <xf numFmtId="4" fontId="22" fillId="4" borderId="1" xfId="3" applyNumberFormat="1" applyFont="1" applyFill="1" applyBorder="1" applyAlignment="1" applyProtection="1">
      <alignment horizontal="right"/>
      <protection locked="0"/>
    </xf>
    <xf numFmtId="14" fontId="22" fillId="2" borderId="1" xfId="0" applyNumberFormat="1" applyFont="1" applyFill="1" applyBorder="1" applyAlignment="1">
      <alignment horizontal="right"/>
    </xf>
    <xf numFmtId="4" fontId="22" fillId="2" borderId="1" xfId="3" applyNumberFormat="1" applyFont="1" applyFill="1" applyBorder="1" applyAlignment="1">
      <alignment horizontal="right"/>
    </xf>
    <xf numFmtId="171" fontId="5" fillId="0" borderId="0" xfId="0" applyNumberFormat="1" applyFont="1"/>
    <xf numFmtId="43" fontId="5" fillId="0" borderId="0" xfId="0" applyNumberFormat="1" applyFont="1"/>
    <xf numFmtId="0" fontId="2" fillId="0" borderId="34" xfId="0" applyFont="1" applyBorder="1" applyAlignment="1">
      <alignment vertical="center" wrapText="1"/>
    </xf>
    <xf numFmtId="0" fontId="2" fillId="0" borderId="28" xfId="0" applyFont="1" applyBorder="1" applyAlignment="1">
      <alignment vertical="center" wrapText="1"/>
    </xf>
    <xf numFmtId="0" fontId="2" fillId="0" borderId="58" xfId="0" applyFont="1" applyBorder="1" applyAlignment="1">
      <alignment vertical="center" wrapText="1"/>
    </xf>
    <xf numFmtId="0" fontId="2" fillId="0" borderId="29" xfId="0" applyFont="1" applyBorder="1" applyAlignment="1">
      <alignment vertical="center" wrapText="1"/>
    </xf>
    <xf numFmtId="0" fontId="22" fillId="4" borderId="59" xfId="0" applyFont="1" applyFill="1" applyBorder="1" applyAlignment="1">
      <alignment horizontal="right"/>
    </xf>
    <xf numFmtId="14" fontId="22" fillId="4" borderId="60" xfId="0" applyNumberFormat="1" applyFont="1" applyFill="1" applyBorder="1" applyAlignment="1">
      <alignment horizontal="right"/>
    </xf>
    <xf numFmtId="4" fontId="22" fillId="4" borderId="60" xfId="3" applyNumberFormat="1" applyFont="1" applyFill="1" applyBorder="1" applyAlignment="1">
      <alignment horizontal="right"/>
    </xf>
    <xf numFmtId="4" fontId="22" fillId="4" borderId="60" xfId="3" applyNumberFormat="1" applyFont="1" applyFill="1" applyBorder="1" applyAlignment="1" applyProtection="1">
      <alignment horizontal="right"/>
      <protection locked="0"/>
    </xf>
    <xf numFmtId="4" fontId="22" fillId="4" borderId="61" xfId="3" applyNumberFormat="1" applyFont="1" applyFill="1" applyBorder="1" applyAlignment="1">
      <alignment horizontal="right"/>
    </xf>
    <xf numFmtId="0" fontId="22" fillId="0" borderId="62" xfId="0" applyFont="1" applyFill="1" applyBorder="1" applyAlignment="1">
      <alignment horizontal="right"/>
    </xf>
    <xf numFmtId="4" fontId="22" fillId="4" borderId="63" xfId="3" applyNumberFormat="1" applyFont="1" applyFill="1" applyBorder="1" applyAlignment="1">
      <alignment horizontal="right"/>
    </xf>
    <xf numFmtId="0" fontId="22" fillId="4" borderId="62" xfId="0" applyFont="1" applyFill="1" applyBorder="1" applyAlignment="1">
      <alignment horizontal="right"/>
    </xf>
    <xf numFmtId="0" fontId="22" fillId="2" borderId="62" xfId="0" applyFont="1" applyFill="1" applyBorder="1" applyAlignment="1">
      <alignment horizontal="right"/>
    </xf>
    <xf numFmtId="0" fontId="22" fillId="4" borderId="64" xfId="0" applyFont="1" applyFill="1" applyBorder="1" applyAlignment="1">
      <alignment horizontal="right"/>
    </xf>
    <xf numFmtId="14" fontId="22" fillId="4" borderId="65" xfId="0" applyNumberFormat="1" applyFont="1" applyFill="1" applyBorder="1" applyAlignment="1">
      <alignment horizontal="right"/>
    </xf>
    <xf numFmtId="4" fontId="22" fillId="4" borderId="65" xfId="3" applyNumberFormat="1" applyFont="1" applyFill="1" applyBorder="1" applyAlignment="1">
      <alignment horizontal="right"/>
    </xf>
    <xf numFmtId="4" fontId="22" fillId="4" borderId="65" xfId="3" applyNumberFormat="1" applyFont="1" applyFill="1" applyBorder="1" applyAlignment="1" applyProtection="1">
      <alignment horizontal="right"/>
      <protection locked="0"/>
    </xf>
    <xf numFmtId="4" fontId="22" fillId="4" borderId="66" xfId="3" applyNumberFormat="1" applyFont="1" applyFill="1" applyBorder="1" applyAlignment="1">
      <alignment horizontal="right"/>
    </xf>
    <xf numFmtId="0" fontId="2" fillId="0" borderId="67" xfId="0" applyFont="1" applyBorder="1" applyAlignment="1">
      <alignment horizontal="justify"/>
    </xf>
    <xf numFmtId="0" fontId="2" fillId="0" borderId="39" xfId="0" quotePrefix="1" applyFont="1" applyBorder="1" applyAlignment="1">
      <alignment horizontal="justify"/>
    </xf>
    <xf numFmtId="0" fontId="2" fillId="0" borderId="39" xfId="0" applyFont="1" applyBorder="1" applyAlignment="1">
      <alignment horizontal="justify"/>
    </xf>
    <xf numFmtId="0" fontId="17" fillId="0" borderId="39" xfId="0" applyFont="1" applyBorder="1" applyAlignment="1">
      <alignment horizontal="justify"/>
    </xf>
    <xf numFmtId="0" fontId="2" fillId="0" borderId="39" xfId="0" applyFont="1" applyFill="1" applyBorder="1" applyAlignment="1">
      <alignment horizontal="justify"/>
    </xf>
    <xf numFmtId="0" fontId="2" fillId="0" borderId="39" xfId="0" applyFont="1" applyBorder="1"/>
    <xf numFmtId="0" fontId="2" fillId="0" borderId="40" xfId="0" applyFont="1" applyBorder="1"/>
    <xf numFmtId="0" fontId="17" fillId="2" borderId="45" xfId="0" quotePrefix="1" applyFont="1" applyFill="1" applyBorder="1"/>
    <xf numFmtId="171" fontId="2" fillId="0" borderId="59" xfId="1" applyFont="1" applyBorder="1" applyAlignment="1">
      <alignment horizontal="justify"/>
    </xf>
    <xf numFmtId="171" fontId="2" fillId="0" borderId="60" xfId="1" applyFont="1" applyBorder="1" applyAlignment="1">
      <alignment horizontal="justify"/>
    </xf>
    <xf numFmtId="171" fontId="2" fillId="0" borderId="61" xfId="1" applyFont="1" applyBorder="1" applyAlignment="1">
      <alignment horizontal="justify"/>
    </xf>
    <xf numFmtId="4" fontId="2" fillId="0" borderId="62" xfId="1" applyNumberFormat="1" applyFont="1" applyBorder="1" applyAlignment="1">
      <alignment horizontal="right"/>
    </xf>
    <xf numFmtId="4" fontId="2" fillId="0" borderId="63" xfId="1" applyNumberFormat="1" applyFont="1" applyBorder="1" applyAlignment="1">
      <alignment horizontal="right"/>
    </xf>
    <xf numFmtId="4" fontId="17" fillId="0" borderId="62" xfId="1" applyNumberFormat="1" applyFont="1" applyBorder="1" applyAlignment="1">
      <alignment horizontal="right"/>
    </xf>
    <xf numFmtId="4" fontId="17" fillId="0" borderId="63" xfId="1" applyNumberFormat="1" applyFont="1" applyBorder="1" applyAlignment="1">
      <alignment horizontal="right"/>
    </xf>
    <xf numFmtId="4" fontId="2" fillId="0" borderId="62" xfId="0" applyNumberFormat="1" applyFont="1" applyBorder="1" applyAlignment="1">
      <alignment horizontal="right"/>
    </xf>
    <xf numFmtId="4" fontId="2" fillId="0" borderId="63" xfId="0" applyNumberFormat="1" applyFont="1" applyBorder="1" applyAlignment="1">
      <alignment horizontal="right"/>
    </xf>
    <xf numFmtId="4" fontId="2" fillId="0" borderId="68" xfId="0" applyNumberFormat="1" applyFont="1" applyBorder="1" applyAlignment="1">
      <alignment horizontal="right"/>
    </xf>
    <xf numFmtId="4" fontId="2" fillId="0" borderId="69" xfId="0" applyNumberFormat="1" applyFont="1" applyBorder="1" applyAlignment="1">
      <alignment horizontal="right"/>
    </xf>
    <xf numFmtId="4" fontId="17" fillId="2" borderId="70" xfId="0" applyNumberFormat="1" applyFont="1" applyFill="1" applyBorder="1" applyAlignment="1">
      <alignment horizontal="right"/>
    </xf>
    <xf numFmtId="4" fontId="17" fillId="2" borderId="71" xfId="0" applyNumberFormat="1" applyFont="1" applyFill="1" applyBorder="1" applyAlignment="1">
      <alignment horizontal="right"/>
    </xf>
    <xf numFmtId="4" fontId="17" fillId="2" borderId="72" xfId="0" applyNumberFormat="1" applyFont="1" applyFill="1" applyBorder="1" applyAlignment="1">
      <alignment horizontal="right"/>
    </xf>
    <xf numFmtId="4" fontId="17" fillId="2" borderId="73" xfId="0" applyNumberFormat="1" applyFont="1" applyFill="1" applyBorder="1" applyAlignment="1">
      <alignment horizontal="right"/>
    </xf>
    <xf numFmtId="0" fontId="24" fillId="0" borderId="0" xfId="0" applyFont="1"/>
    <xf numFmtId="0" fontId="25" fillId="0" borderId="0" xfId="0" applyFont="1"/>
    <xf numFmtId="0" fontId="24" fillId="2" borderId="5" xfId="0" applyFont="1" applyFill="1" applyBorder="1" applyAlignment="1">
      <alignment horizontal="center"/>
    </xf>
    <xf numFmtId="0" fontId="24" fillId="2" borderId="6" xfId="0" applyFont="1" applyFill="1" applyBorder="1" applyAlignment="1">
      <alignment horizontal="center"/>
    </xf>
    <xf numFmtId="0" fontId="24" fillId="2" borderId="7" xfId="0" applyFont="1" applyFill="1" applyBorder="1" applyAlignment="1">
      <alignment horizontal="center"/>
    </xf>
    <xf numFmtId="0" fontId="24" fillId="2" borderId="74" xfId="0" applyFont="1" applyFill="1" applyBorder="1" applyAlignment="1">
      <alignment horizontal="center" wrapText="1"/>
    </xf>
    <xf numFmtId="0" fontId="24" fillId="2" borderId="14" xfId="0" applyFont="1" applyFill="1" applyBorder="1" applyAlignment="1">
      <alignment horizontal="center" wrapText="1"/>
    </xf>
    <xf numFmtId="0" fontId="24" fillId="2" borderId="46" xfId="0" applyFont="1" applyFill="1" applyBorder="1" applyAlignment="1">
      <alignment horizontal="center" wrapText="1"/>
    </xf>
    <xf numFmtId="0" fontId="24" fillId="0" borderId="19" xfId="0" applyFont="1" applyFill="1" applyBorder="1" applyAlignment="1">
      <alignment horizontal="center"/>
    </xf>
    <xf numFmtId="0" fontId="24" fillId="0" borderId="20" xfId="0" applyFont="1" applyFill="1" applyBorder="1" applyAlignment="1">
      <alignment horizontal="center"/>
    </xf>
    <xf numFmtId="0" fontId="24" fillId="0" borderId="37" xfId="0" applyFont="1" applyFill="1" applyBorder="1" applyAlignment="1">
      <alignment horizontal="center"/>
    </xf>
    <xf numFmtId="0" fontId="24" fillId="0" borderId="75" xfId="0" applyFont="1" applyFill="1" applyBorder="1" applyAlignment="1">
      <alignment horizontal="center" wrapText="1"/>
    </xf>
    <xf numFmtId="0" fontId="24" fillId="0" borderId="76" xfId="0" applyFont="1" applyFill="1" applyBorder="1" applyAlignment="1">
      <alignment horizontal="center" wrapText="1"/>
    </xf>
    <xf numFmtId="0" fontId="25" fillId="0" borderId="9" xfId="0" applyFont="1" applyBorder="1" applyAlignment="1">
      <alignment horizontal="left"/>
    </xf>
    <xf numFmtId="171" fontId="25" fillId="0" borderId="10" xfId="1" applyFont="1" applyBorder="1" applyAlignment="1">
      <alignment horizontal="justify"/>
    </xf>
    <xf numFmtId="0" fontId="24" fillId="0" borderId="10" xfId="0" applyFont="1" applyBorder="1" applyAlignment="1">
      <alignment horizontal="center"/>
    </xf>
    <xf numFmtId="0" fontId="24" fillId="0" borderId="41" xfId="0" applyFont="1" applyBorder="1" applyAlignment="1">
      <alignment horizontal="center"/>
    </xf>
    <xf numFmtId="171" fontId="24" fillId="0" borderId="77" xfId="0" applyNumberFormat="1" applyFont="1" applyBorder="1" applyAlignment="1">
      <alignment horizontal="center" wrapText="1"/>
    </xf>
    <xf numFmtId="0" fontId="24" fillId="0" borderId="78" xfId="0" applyFont="1" applyBorder="1" applyAlignment="1">
      <alignment horizontal="center" wrapText="1"/>
    </xf>
    <xf numFmtId="171" fontId="25" fillId="0" borderId="1" xfId="1" applyFont="1" applyBorder="1" applyAlignment="1">
      <alignment horizontal="justify"/>
    </xf>
    <xf numFmtId="171" fontId="25" fillId="0" borderId="79" xfId="1" applyFont="1" applyFill="1" applyBorder="1"/>
    <xf numFmtId="0" fontId="25" fillId="0" borderId="8" xfId="0" applyFont="1" applyBorder="1" applyAlignment="1">
      <alignment horizontal="justify"/>
    </xf>
    <xf numFmtId="171" fontId="25" fillId="0" borderId="36" xfId="1" applyFont="1" applyBorder="1" applyAlignment="1">
      <alignment horizontal="justify"/>
    </xf>
    <xf numFmtId="171" fontId="25" fillId="0" borderId="79" xfId="1" applyFont="1" applyBorder="1"/>
    <xf numFmtId="0" fontId="25" fillId="0" borderId="8" xfId="0" quotePrefix="1" applyFont="1" applyBorder="1" applyAlignment="1">
      <alignment horizontal="justify"/>
    </xf>
    <xf numFmtId="0" fontId="24" fillId="0" borderId="8" xfId="0" quotePrefix="1" applyFont="1" applyBorder="1" applyAlignment="1">
      <alignment horizontal="justify"/>
    </xf>
    <xf numFmtId="171" fontId="24" fillId="0" borderId="1" xfId="1" applyFont="1" applyBorder="1" applyAlignment="1">
      <alignment horizontal="justify"/>
    </xf>
    <xf numFmtId="171" fontId="24" fillId="0" borderId="36" xfId="1" applyFont="1" applyBorder="1" applyAlignment="1">
      <alignment horizontal="justify"/>
    </xf>
    <xf numFmtId="171" fontId="24" fillId="0" borderId="79" xfId="1" applyFont="1" applyBorder="1"/>
    <xf numFmtId="171" fontId="25" fillId="0" borderId="1" xfId="1" applyFont="1" applyFill="1" applyBorder="1" applyAlignment="1">
      <alignment horizontal="justify"/>
    </xf>
    <xf numFmtId="171" fontId="25" fillId="0" borderId="79" xfId="1" applyFont="1" applyBorder="1" applyAlignment="1">
      <alignment horizontal="justify"/>
    </xf>
    <xf numFmtId="171" fontId="25" fillId="0" borderId="79" xfId="1" applyFont="1" applyFill="1" applyBorder="1" applyAlignment="1">
      <alignment horizontal="justify"/>
    </xf>
    <xf numFmtId="171" fontId="25" fillId="0" borderId="79" xfId="1" applyNumberFormat="1" applyFont="1" applyBorder="1"/>
    <xf numFmtId="0" fontId="24" fillId="0" borderId="8" xfId="0" applyFont="1" applyFill="1" applyBorder="1" applyAlignment="1">
      <alignment horizontal="justify"/>
    </xf>
    <xf numFmtId="171" fontId="24" fillId="0" borderId="1" xfId="0" applyNumberFormat="1" applyFont="1" applyBorder="1"/>
    <xf numFmtId="171" fontId="24" fillId="0" borderId="36" xfId="0" applyNumberFormat="1" applyFont="1" applyBorder="1"/>
    <xf numFmtId="171" fontId="24" fillId="0" borderId="79" xfId="0" applyNumberFormat="1" applyFont="1" applyBorder="1"/>
    <xf numFmtId="0" fontId="25" fillId="0" borderId="8" xfId="0" applyFont="1" applyBorder="1"/>
    <xf numFmtId="0" fontId="25" fillId="0" borderId="1" xfId="0" applyFont="1" applyBorder="1"/>
    <xf numFmtId="0" fontId="25" fillId="0" borderId="36" xfId="0" applyFont="1" applyBorder="1"/>
    <xf numFmtId="0" fontId="25" fillId="0" borderId="79" xfId="0" applyFont="1" applyBorder="1"/>
    <xf numFmtId="0" fontId="25" fillId="0" borderId="8" xfId="0" quotePrefix="1" applyFont="1" applyFill="1" applyBorder="1" applyAlignment="1">
      <alignment horizontal="justify"/>
    </xf>
    <xf numFmtId="43" fontId="25" fillId="0" borderId="1" xfId="0" applyNumberFormat="1" applyFont="1" applyBorder="1"/>
    <xf numFmtId="43" fontId="25" fillId="0" borderId="36" xfId="0" applyNumberFormat="1" applyFont="1" applyBorder="1"/>
    <xf numFmtId="43" fontId="25" fillId="0" borderId="79" xfId="0" applyNumberFormat="1" applyFont="1" applyBorder="1"/>
    <xf numFmtId="0" fontId="25" fillId="0" borderId="8" xfId="0" quotePrefix="1" applyFont="1" applyBorder="1"/>
    <xf numFmtId="0" fontId="25" fillId="0" borderId="16" xfId="0" applyFont="1" applyBorder="1"/>
    <xf numFmtId="0" fontId="25" fillId="0" borderId="17" xfId="0" applyFont="1" applyBorder="1"/>
    <xf numFmtId="0" fontId="25" fillId="0" borderId="3" xfId="0" applyFont="1" applyBorder="1"/>
    <xf numFmtId="0" fontId="25" fillId="0" borderId="80" xfId="0" applyFont="1" applyBorder="1"/>
    <xf numFmtId="0" fontId="25" fillId="0" borderId="81" xfId="0" applyFont="1" applyBorder="1"/>
    <xf numFmtId="0" fontId="25" fillId="0" borderId="82" xfId="0" applyFont="1" applyBorder="1"/>
    <xf numFmtId="0" fontId="25" fillId="2" borderId="55" xfId="0" quotePrefix="1" applyFont="1" applyFill="1" applyBorder="1"/>
    <xf numFmtId="43" fontId="25" fillId="2" borderId="83" xfId="0" applyNumberFormat="1" applyFont="1" applyFill="1" applyBorder="1"/>
    <xf numFmtId="43" fontId="25" fillId="2" borderId="6" xfId="0" applyNumberFormat="1" applyFont="1" applyFill="1" applyBorder="1"/>
    <xf numFmtId="43" fontId="25" fillId="2" borderId="7" xfId="0" applyNumberFormat="1" applyFont="1" applyFill="1" applyBorder="1"/>
    <xf numFmtId="43" fontId="25" fillId="2" borderId="49" xfId="0" applyNumberFormat="1" applyFont="1" applyFill="1" applyBorder="1"/>
    <xf numFmtId="43" fontId="25" fillId="2" borderId="84" xfId="0" applyNumberFormat="1" applyFont="1" applyFill="1" applyBorder="1"/>
    <xf numFmtId="167" fontId="26" fillId="0" borderId="0" xfId="0" applyNumberFormat="1" applyFont="1"/>
    <xf numFmtId="171" fontId="2" fillId="0" borderId="36" xfId="1" applyFont="1" applyBorder="1" applyAlignment="1">
      <alignment horizontal="justify" vertical="center"/>
    </xf>
    <xf numFmtId="0" fontId="17" fillId="0" borderId="85" xfId="0" applyFont="1" applyBorder="1" applyAlignment="1">
      <alignment horizontal="center" wrapText="1"/>
    </xf>
    <xf numFmtId="171" fontId="2" fillId="0" borderId="86" xfId="1" applyFont="1" applyBorder="1"/>
    <xf numFmtId="171" fontId="2" fillId="2" borderId="87" xfId="1" applyFont="1" applyFill="1" applyBorder="1" applyAlignment="1">
      <alignment horizontal="justify"/>
    </xf>
    <xf numFmtId="4" fontId="5" fillId="6" borderId="88" xfId="0" applyNumberFormat="1" applyFont="1" applyFill="1" applyBorder="1"/>
    <xf numFmtId="4" fontId="5" fillId="6" borderId="89" xfId="0" applyNumberFormat="1" applyFont="1" applyFill="1" applyBorder="1"/>
    <xf numFmtId="4" fontId="5" fillId="6" borderId="90" xfId="0" applyNumberFormat="1" applyFont="1" applyFill="1" applyBorder="1"/>
    <xf numFmtId="4" fontId="5" fillId="0" borderId="0" xfId="0" applyNumberFormat="1" applyFont="1"/>
    <xf numFmtId="4" fontId="2" fillId="0" borderId="91" xfId="1" applyNumberFormat="1" applyFont="1" applyBorder="1" applyAlignment="1">
      <alignment horizontal="right"/>
    </xf>
    <xf numFmtId="4" fontId="2" fillId="0" borderId="92" xfId="1" applyNumberFormat="1" applyFont="1" applyBorder="1" applyAlignment="1">
      <alignment horizontal="right"/>
    </xf>
    <xf numFmtId="4" fontId="2" fillId="0" borderId="93" xfId="1" applyNumberFormat="1" applyFont="1" applyBorder="1" applyAlignment="1">
      <alignment horizontal="right"/>
    </xf>
    <xf numFmtId="4" fontId="2" fillId="0" borderId="94" xfId="1" applyNumberFormat="1" applyFont="1" applyBorder="1" applyAlignment="1">
      <alignment horizontal="right"/>
    </xf>
    <xf numFmtId="4" fontId="2" fillId="0" borderId="95" xfId="1" applyNumberFormat="1" applyFont="1" applyBorder="1" applyAlignment="1">
      <alignment horizontal="right"/>
    </xf>
    <xf numFmtId="0" fontId="2" fillId="0" borderId="0" xfId="0" applyFont="1" applyBorder="1" applyAlignment="1"/>
    <xf numFmtId="0" fontId="6" fillId="0" borderId="0" xfId="0" applyFont="1" applyBorder="1" applyAlignment="1"/>
    <xf numFmtId="0" fontId="17" fillId="2" borderId="12" xfId="0" applyFont="1" applyFill="1" applyBorder="1"/>
    <xf numFmtId="0" fontId="11" fillId="2" borderId="13"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xf>
    <xf numFmtId="0" fontId="11" fillId="2" borderId="96" xfId="0" applyFont="1" applyFill="1" applyBorder="1" applyAlignment="1">
      <alignment horizontal="center"/>
    </xf>
    <xf numFmtId="0" fontId="11" fillId="2" borderId="14" xfId="0" applyFont="1" applyFill="1" applyBorder="1" applyAlignment="1">
      <alignment horizontal="center"/>
    </xf>
    <xf numFmtId="0" fontId="2" fillId="0" borderId="20" xfId="0" applyFont="1" applyBorder="1"/>
    <xf numFmtId="0" fontId="2" fillId="0" borderId="21" xfId="0" applyFont="1" applyBorder="1"/>
    <xf numFmtId="182" fontId="2" fillId="0" borderId="1" xfId="0" applyNumberFormat="1" applyFont="1" applyBorder="1"/>
    <xf numFmtId="0" fontId="2" fillId="0" borderId="1" xfId="0" applyFont="1" applyBorder="1" applyAlignment="1">
      <alignment horizontal="center"/>
    </xf>
    <xf numFmtId="182" fontId="2" fillId="0" borderId="2" xfId="0" applyNumberFormat="1" applyFont="1" applyBorder="1"/>
    <xf numFmtId="182" fontId="2" fillId="0" borderId="16" xfId="0" applyNumberFormat="1" applyFont="1" applyBorder="1"/>
    <xf numFmtId="182" fontId="2" fillId="0" borderId="17" xfId="0" applyNumberFormat="1" applyFont="1" applyBorder="1"/>
    <xf numFmtId="182" fontId="2" fillId="0" borderId="18" xfId="0" applyNumberFormat="1" applyFont="1" applyBorder="1"/>
    <xf numFmtId="0" fontId="2" fillId="2" borderId="97" xfId="0" applyFont="1" applyFill="1" applyBorder="1" applyAlignment="1">
      <alignment horizontal="center"/>
    </xf>
    <xf numFmtId="0" fontId="2" fillId="2" borderId="0" xfId="0" applyFont="1" applyFill="1" applyBorder="1"/>
    <xf numFmtId="182" fontId="2" fillId="2" borderId="0" xfId="0" applyNumberFormat="1" applyFont="1" applyFill="1" applyBorder="1"/>
    <xf numFmtId="182" fontId="2" fillId="2" borderId="98" xfId="0" applyNumberFormat="1" applyFont="1" applyFill="1" applyBorder="1"/>
    <xf numFmtId="0" fontId="2" fillId="0" borderId="97" xfId="0" applyFont="1" applyBorder="1" applyAlignment="1">
      <alignment horizontal="center"/>
    </xf>
    <xf numFmtId="182" fontId="2" fillId="0" borderId="0" xfId="0" applyNumberFormat="1" applyFont="1" applyBorder="1"/>
    <xf numFmtId="0" fontId="2" fillId="0" borderId="98" xfId="0" applyFont="1" applyBorder="1"/>
    <xf numFmtId="0" fontId="11" fillId="2" borderId="58" xfId="0" applyFont="1" applyFill="1" applyBorder="1" applyAlignment="1">
      <alignment horizontal="center"/>
    </xf>
    <xf numFmtId="0" fontId="11" fillId="2" borderId="99" xfId="0" applyFont="1" applyFill="1" applyBorder="1" applyAlignment="1">
      <alignment horizontal="center"/>
    </xf>
    <xf numFmtId="0" fontId="11" fillId="2" borderId="100" xfId="0" applyFont="1" applyFill="1" applyBorder="1" applyAlignment="1">
      <alignment horizontal="center"/>
    </xf>
    <xf numFmtId="0" fontId="11" fillId="2" borderId="4" xfId="0" applyFont="1" applyFill="1" applyBorder="1" applyAlignment="1">
      <alignment horizontal="center"/>
    </xf>
    <xf numFmtId="0" fontId="2" fillId="0" borderId="55" xfId="0" applyFont="1" applyBorder="1" applyAlignment="1"/>
    <xf numFmtId="0" fontId="6" fillId="0" borderId="47" xfId="0" applyFont="1" applyBorder="1" applyAlignment="1"/>
    <xf numFmtId="182" fontId="2" fillId="2" borderId="47" xfId="0" applyNumberFormat="1" applyFont="1" applyFill="1" applyBorder="1"/>
    <xf numFmtId="182" fontId="2" fillId="2" borderId="49" xfId="0" applyNumberFormat="1" applyFont="1" applyFill="1" applyBorder="1"/>
    <xf numFmtId="182" fontId="17" fillId="0" borderId="6" xfId="0" applyNumberFormat="1" applyFont="1" applyBorder="1"/>
    <xf numFmtId="0" fontId="2" fillId="0" borderId="31" xfId="0" applyFont="1" applyBorder="1" applyAlignment="1">
      <alignment horizontal="left"/>
    </xf>
    <xf numFmtId="0" fontId="2" fillId="0" borderId="0" xfId="0" applyFont="1" applyBorder="1" applyAlignment="1">
      <alignment horizontal="left"/>
    </xf>
    <xf numFmtId="0" fontId="17" fillId="0" borderId="30" xfId="0" applyFont="1" applyBorder="1" applyAlignment="1">
      <alignment horizontal="left"/>
    </xf>
    <xf numFmtId="0" fontId="17" fillId="0" borderId="31" xfId="0" applyFont="1" applyBorder="1" applyAlignment="1">
      <alignment horizontal="left"/>
    </xf>
    <xf numFmtId="0" fontId="2" fillId="0" borderId="31" xfId="0" applyFont="1" applyFill="1" applyBorder="1" applyAlignment="1">
      <alignment horizontal="left"/>
    </xf>
    <xf numFmtId="0" fontId="7" fillId="2" borderId="101" xfId="0" applyFont="1" applyFill="1" applyBorder="1" applyAlignment="1">
      <alignment horizontal="center"/>
    </xf>
    <xf numFmtId="0" fontId="7" fillId="2" borderId="56" xfId="0" applyFont="1" applyFill="1" applyBorder="1" applyAlignment="1">
      <alignment horizontal="center"/>
    </xf>
    <xf numFmtId="0" fontId="7" fillId="2" borderId="57"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171" fontId="5" fillId="0" borderId="36" xfId="1" applyFont="1" applyBorder="1" applyAlignment="1"/>
    <xf numFmtId="0" fontId="0" fillId="0" borderId="86" xfId="0" applyBorder="1" applyAlignment="1"/>
    <xf numFmtId="0" fontId="7" fillId="0" borderId="102" xfId="0" applyFont="1" applyBorder="1" applyAlignment="1"/>
    <xf numFmtId="0" fontId="0" fillId="0" borderId="103" xfId="0" applyBorder="1" applyAlignment="1"/>
    <xf numFmtId="0" fontId="0" fillId="0" borderId="104" xfId="0" applyBorder="1" applyAlignment="1"/>
    <xf numFmtId="0" fontId="17" fillId="0" borderId="12" xfId="0" applyFont="1" applyBorder="1" applyAlignment="1">
      <alignment horizontal="center" vertical="center"/>
    </xf>
    <xf numFmtId="0" fontId="17" fillId="0" borderId="25" xfId="0" applyFont="1" applyBorder="1" applyAlignment="1">
      <alignment horizontal="center" vertical="center"/>
    </xf>
    <xf numFmtId="0" fontId="17" fillId="0" borderId="83" xfId="0" applyFont="1" applyBorder="1" applyAlignment="1">
      <alignment horizontal="center" vertical="center"/>
    </xf>
    <xf numFmtId="0" fontId="17" fillId="0" borderId="12"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81" xfId="0" applyFont="1" applyBorder="1" applyAlignment="1">
      <alignment horizontal="center" vertical="center" wrapText="1"/>
    </xf>
    <xf numFmtId="0" fontId="3" fillId="4" borderId="106" xfId="0" applyFont="1" applyFill="1" applyBorder="1" applyAlignment="1">
      <alignment horizontal="center"/>
    </xf>
    <xf numFmtId="0" fontId="3" fillId="4" borderId="107" xfId="0" applyFont="1" applyFill="1" applyBorder="1" applyAlignment="1">
      <alignment horizontal="center"/>
    </xf>
    <xf numFmtId="0" fontId="3" fillId="4" borderId="108" xfId="0" applyFont="1" applyFill="1" applyBorder="1" applyAlignment="1">
      <alignment horizontal="center"/>
    </xf>
    <xf numFmtId="0" fontId="22" fillId="4" borderId="0"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22" fillId="4" borderId="109" xfId="0" applyFont="1" applyFill="1" applyBorder="1" applyAlignment="1">
      <alignment horizontal="right"/>
    </xf>
    <xf numFmtId="0" fontId="0" fillId="0" borderId="28" xfId="0" applyBorder="1" applyAlignment="1"/>
    <xf numFmtId="0" fontId="22" fillId="4" borderId="110" xfId="0" applyFont="1" applyFill="1" applyBorder="1" applyAlignment="1">
      <alignment horizontal="right"/>
    </xf>
    <xf numFmtId="0" fontId="0" fillId="0" borderId="111" xfId="0" applyBorder="1" applyAlignment="1"/>
    <xf numFmtId="0" fontId="12" fillId="0" borderId="0" xfId="0" applyFont="1" applyAlignment="1">
      <alignment horizontal="center"/>
    </xf>
    <xf numFmtId="0" fontId="12" fillId="0" borderId="0" xfId="0" applyFont="1" applyAlignment="1">
      <alignment horizontal="left"/>
    </xf>
    <xf numFmtId="171" fontId="17" fillId="0" borderId="112" xfId="1" applyFont="1" applyBorder="1" applyAlignment="1">
      <alignment horizontal="center"/>
    </xf>
    <xf numFmtId="171" fontId="17" fillId="0" borderId="113" xfId="1" applyFont="1" applyBorder="1" applyAlignment="1">
      <alignment horizontal="center"/>
    </xf>
    <xf numFmtId="171" fontId="17" fillId="0" borderId="74" xfId="1" applyFont="1" applyBorder="1" applyAlignment="1">
      <alignment horizontal="center"/>
    </xf>
    <xf numFmtId="171" fontId="17" fillId="0" borderId="45" xfId="1" applyFont="1" applyBorder="1" applyAlignment="1">
      <alignment horizontal="center"/>
    </xf>
    <xf numFmtId="171" fontId="17" fillId="0" borderId="56" xfId="1" applyFont="1" applyBorder="1" applyAlignment="1">
      <alignment horizontal="center"/>
    </xf>
    <xf numFmtId="171" fontId="17" fillId="0" borderId="57" xfId="1" applyFont="1" applyBorder="1" applyAlignment="1">
      <alignment horizontal="center"/>
    </xf>
    <xf numFmtId="0" fontId="19" fillId="3" borderId="0" xfId="0" applyFont="1" applyFill="1" applyAlignment="1">
      <alignment horizontal="center" wrapText="1"/>
    </xf>
    <xf numFmtId="0" fontId="20" fillId="3" borderId="0" xfId="0" applyFont="1" applyFill="1" applyAlignment="1">
      <alignment wrapText="1"/>
    </xf>
    <xf numFmtId="0" fontId="2" fillId="2" borderId="102" xfId="0" applyFont="1" applyFill="1" applyBorder="1" applyAlignment="1"/>
    <xf numFmtId="0" fontId="0" fillId="2" borderId="114" xfId="0" applyFill="1" applyBorder="1" applyAlignment="1"/>
    <xf numFmtId="0" fontId="2" fillId="0" borderId="102" xfId="0" applyFont="1" applyBorder="1" applyAlignment="1"/>
    <xf numFmtId="0" fontId="0" fillId="0" borderId="114" xfId="0" applyBorder="1" applyAlignment="1"/>
    <xf numFmtId="0" fontId="2" fillId="0" borderId="0" xfId="0" applyFont="1" applyAlignment="1"/>
    <xf numFmtId="0" fontId="0" fillId="0" borderId="0" xfId="0" applyAlignment="1"/>
    <xf numFmtId="0" fontId="18" fillId="0" borderId="8" xfId="0" applyFont="1" applyBorder="1" applyAlignment="1">
      <alignment horizontal="center" vertical="center" wrapText="1"/>
    </xf>
    <xf numFmtId="0" fontId="18" fillId="0" borderId="16" xfId="0" applyFont="1" applyBorder="1" applyAlignment="1">
      <alignment horizontal="center" vertical="center" wrapText="1"/>
    </xf>
    <xf numFmtId="0" fontId="20" fillId="3" borderId="119" xfId="0" applyFont="1" applyFill="1" applyBorder="1" applyAlignment="1">
      <alignment horizontal="center"/>
    </xf>
    <xf numFmtId="0" fontId="2" fillId="0" borderId="0" xfId="0" applyFont="1" applyBorder="1" applyAlignment="1"/>
    <xf numFmtId="0" fontId="6" fillId="0" borderId="0" xfId="0" applyFont="1" applyBorder="1" applyAlignment="1"/>
    <xf numFmtId="0" fontId="6" fillId="0" borderId="120" xfId="0" applyFont="1" applyBorder="1" applyAlignment="1"/>
    <xf numFmtId="0" fontId="2" fillId="0" borderId="8" xfId="0" applyFont="1" applyBorder="1" applyAlignment="1">
      <alignment horizontal="center" vertical="center"/>
    </xf>
    <xf numFmtId="0" fontId="6" fillId="0" borderId="8" xfId="0" applyFont="1" applyBorder="1" applyAlignment="1">
      <alignment horizontal="center" vertical="center"/>
    </xf>
    <xf numFmtId="0" fontId="17" fillId="0" borderId="19" xfId="0" applyFont="1" applyBorder="1" applyAlignment="1"/>
    <xf numFmtId="0" fontId="6" fillId="0" borderId="20" xfId="0" applyFont="1" applyBorder="1" applyAlignment="1"/>
    <xf numFmtId="0" fontId="2" fillId="0" borderId="40" xfId="0" applyFont="1" applyBorder="1" applyAlignment="1"/>
    <xf numFmtId="0" fontId="6" fillId="0" borderId="115" xfId="0" applyFont="1" applyBorder="1" applyAlignment="1"/>
    <xf numFmtId="0" fontId="6" fillId="0" borderId="29" xfId="0" applyFont="1" applyBorder="1" applyAlignment="1"/>
    <xf numFmtId="0" fontId="17" fillId="0" borderId="45" xfId="0" applyFont="1" applyBorder="1" applyAlignment="1"/>
    <xf numFmtId="0" fontId="27" fillId="0" borderId="56" xfId="0" applyFont="1" applyBorder="1" applyAlignment="1"/>
    <xf numFmtId="0" fontId="27" fillId="0" borderId="35" xfId="0" applyFont="1" applyBorder="1" applyAlignment="1"/>
    <xf numFmtId="0" fontId="20" fillId="3" borderId="41" xfId="0" applyFont="1" applyFill="1" applyBorder="1" applyAlignment="1">
      <alignment horizontal="center"/>
    </xf>
    <xf numFmtId="0" fontId="20" fillId="3" borderId="116" xfId="0" applyFont="1" applyFill="1" applyBorder="1" applyAlignment="1">
      <alignment horizontal="center"/>
    </xf>
    <xf numFmtId="0" fontId="20" fillId="3" borderId="117" xfId="0" applyFont="1" applyFill="1" applyBorder="1" applyAlignment="1">
      <alignment horizontal="center"/>
    </xf>
    <xf numFmtId="0" fontId="17" fillId="0" borderId="42" xfId="0" applyFont="1" applyBorder="1" applyAlignment="1">
      <alignment horizontal="center"/>
    </xf>
    <xf numFmtId="0" fontId="17" fillId="0" borderId="116" xfId="0" applyFont="1" applyBorder="1" applyAlignment="1">
      <alignment horizontal="center"/>
    </xf>
    <xf numFmtId="0" fontId="17" fillId="0" borderId="117" xfId="0" applyFont="1" applyBorder="1" applyAlignment="1">
      <alignment horizontal="center"/>
    </xf>
    <xf numFmtId="0" fontId="2" fillId="0" borderId="39" xfId="0" applyFont="1" applyBorder="1" applyAlignment="1"/>
    <xf numFmtId="0" fontId="6" fillId="0" borderId="118" xfId="0" applyFont="1" applyBorder="1" applyAlignment="1"/>
    <xf numFmtId="0" fontId="6" fillId="0" borderId="28" xfId="0" applyFont="1" applyBorder="1" applyAlignment="1"/>
  </cellXfs>
  <cellStyles count="4">
    <cellStyle name="Comma" xfId="1" builtinId="3"/>
    <cellStyle name="Currency" xfId="2" builtinId="4"/>
    <cellStyle name="Normal" xfId="0" builtinId="0"/>
    <cellStyle name="Währung" xfId="3"/>
  </cellStyles>
  <dxfs count="8">
    <dxf>
      <fill>
        <patternFill patternType="solid">
          <bgColor indexed="9"/>
        </patternFill>
      </fill>
      <border>
        <left/>
        <right/>
        <top/>
        <bottom style="thin">
          <color indexed="22"/>
        </bottom>
      </border>
    </dxf>
    <dxf>
      <font>
        <i val="0"/>
        <condense val="0"/>
        <extend val="0"/>
        <color indexed="9"/>
      </font>
      <fill>
        <patternFill patternType="solid">
          <bgColor indexed="9"/>
        </patternFill>
      </fill>
    </dxf>
    <dxf>
      <fill>
        <patternFill>
          <bgColor indexed="26"/>
        </patternFill>
      </fill>
    </dxf>
    <dxf>
      <fill>
        <patternFill patternType="solid">
          <bgColor indexed="26"/>
        </patternFill>
      </fill>
      <border>
        <left/>
        <right/>
        <top/>
        <bottom style="thin">
          <color indexed="22"/>
        </bottom>
      </border>
    </dxf>
    <dxf>
      <font>
        <i val="0"/>
        <condense val="0"/>
        <extend val="0"/>
        <color indexed="9"/>
      </font>
      <fill>
        <patternFill patternType="solid">
          <bgColor indexed="9"/>
        </patternFill>
      </fill>
    </dxf>
    <dxf>
      <fill>
        <patternFill>
          <bgColor indexed="26"/>
        </patternFill>
      </fill>
    </dxf>
    <dxf>
      <fill>
        <patternFill patternType="solid">
          <bgColor indexed="26"/>
        </patternFill>
      </fill>
      <border>
        <left/>
        <right/>
        <top/>
        <bottom style="thin">
          <color indexed="22"/>
        </bottom>
      </border>
    </dxf>
    <dxf>
      <font>
        <i val="0"/>
        <condense val="0"/>
        <extend val="0"/>
        <color indexed="9"/>
      </font>
      <fill>
        <patternFill patternType="solid">
          <bgColor indexed="9"/>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4">
    <tabColor rgb="FFFFFF00"/>
  </sheetPr>
  <dimension ref="A1:F19"/>
  <sheetViews>
    <sheetView showGridLines="0" tabSelected="1" workbookViewId="0"/>
  </sheetViews>
  <sheetFormatPr defaultColWidth="11.42578125" defaultRowHeight="11.25"/>
  <cols>
    <col min="1" max="1" width="28.85546875" style="2" customWidth="1"/>
    <col min="2" max="2" width="28.140625" style="2" bestFit="1" customWidth="1"/>
    <col min="3" max="3" width="25.28515625" style="2" customWidth="1"/>
    <col min="4" max="4" width="3.28515625" style="299" bestFit="1" customWidth="1"/>
    <col min="5" max="5" width="4.85546875" style="2" customWidth="1"/>
    <col min="6" max="6" width="2.140625" style="2" customWidth="1"/>
    <col min="7" max="16384" width="11.42578125" style="2"/>
  </cols>
  <sheetData>
    <row r="1" spans="1:6" s="3" customFormat="1" ht="18">
      <c r="A1" s="22" t="s">
        <v>288</v>
      </c>
      <c r="C1" s="22"/>
      <c r="D1" s="296"/>
      <c r="E1" s="22"/>
      <c r="F1" s="22"/>
    </row>
    <row r="2" spans="1:6" s="3" customFormat="1" ht="18.75" thickBot="1">
      <c r="A2" s="22"/>
      <c r="C2" s="22"/>
      <c r="D2" s="296"/>
      <c r="E2" s="22"/>
      <c r="F2" s="22"/>
    </row>
    <row r="3" spans="1:6" s="3" customFormat="1" ht="13.5" customHeight="1" thickBot="1">
      <c r="C3" s="463" t="s">
        <v>179</v>
      </c>
      <c r="D3" s="464"/>
      <c r="E3" s="464"/>
      <c r="F3" s="465"/>
    </row>
    <row r="4" spans="1:6" ht="12.75">
      <c r="A4" s="129" t="s">
        <v>177</v>
      </c>
      <c r="B4" s="130"/>
      <c r="C4" s="130" t="s">
        <v>260</v>
      </c>
      <c r="D4" s="466"/>
      <c r="E4" s="466"/>
      <c r="F4" s="467"/>
    </row>
    <row r="5" spans="1:6" ht="12.75">
      <c r="A5" s="29"/>
      <c r="B5" s="4"/>
      <c r="C5" s="269"/>
      <c r="D5" s="297"/>
      <c r="E5" s="468"/>
      <c r="F5" s="469"/>
    </row>
    <row r="6" spans="1:6" ht="12.75">
      <c r="A6" s="29" t="s">
        <v>258</v>
      </c>
      <c r="B6" s="4"/>
      <c r="C6" s="272">
        <v>20000</v>
      </c>
      <c r="D6" s="271">
        <v>1</v>
      </c>
      <c r="E6" s="468"/>
      <c r="F6" s="469"/>
    </row>
    <row r="7" spans="1:6" ht="12.75">
      <c r="A7" s="29"/>
      <c r="B7" s="4"/>
      <c r="C7" s="270"/>
      <c r="D7" s="271"/>
      <c r="E7" s="468"/>
      <c r="F7" s="469"/>
    </row>
    <row r="8" spans="1:6" ht="12.75">
      <c r="A8" s="29" t="s">
        <v>259</v>
      </c>
      <c r="B8" s="4"/>
      <c r="C8" s="270">
        <v>4000</v>
      </c>
      <c r="D8" s="271">
        <v>2</v>
      </c>
      <c r="E8" s="468"/>
      <c r="F8" s="469"/>
    </row>
    <row r="9" spans="1:6" ht="12.75">
      <c r="A9" s="29"/>
      <c r="B9" s="4"/>
      <c r="C9" s="270"/>
      <c r="D9" s="271"/>
      <c r="E9" s="468"/>
      <c r="F9" s="469"/>
    </row>
    <row r="10" spans="1:6" ht="12.75">
      <c r="A10" s="29"/>
      <c r="B10" s="4"/>
      <c r="C10" s="270"/>
      <c r="D10" s="271"/>
      <c r="E10" s="468"/>
      <c r="F10" s="469"/>
    </row>
    <row r="11" spans="1:6" ht="12.75">
      <c r="A11" s="29"/>
      <c r="B11" s="4"/>
      <c r="C11" s="270"/>
      <c r="D11" s="271"/>
      <c r="E11" s="468"/>
      <c r="F11" s="469"/>
    </row>
    <row r="12" spans="1:6" ht="13.5" thickBot="1">
      <c r="A12" s="278"/>
      <c r="B12" s="279"/>
      <c r="C12" s="280"/>
      <c r="D12" s="281"/>
      <c r="E12" s="468"/>
      <c r="F12" s="469"/>
    </row>
    <row r="13" spans="1:6" ht="13.5" thickBot="1">
      <c r="A13" s="300" t="s">
        <v>178</v>
      </c>
      <c r="B13" s="273"/>
      <c r="C13" s="274">
        <f>SUM(C6:C12)</f>
        <v>24000</v>
      </c>
      <c r="D13" s="275">
        <f>SUM(D6:D12)</f>
        <v>3</v>
      </c>
      <c r="E13" s="276"/>
      <c r="F13" s="277"/>
    </row>
    <row r="14" spans="1:6">
      <c r="C14" s="206"/>
      <c r="D14" s="298"/>
      <c r="E14" s="207"/>
      <c r="F14" s="207"/>
    </row>
    <row r="15" spans="1:6">
      <c r="C15" s="206"/>
      <c r="D15" s="298"/>
      <c r="E15" s="207"/>
      <c r="F15" s="207"/>
    </row>
    <row r="16" spans="1:6">
      <c r="C16" s="206"/>
      <c r="D16" s="298"/>
      <c r="E16" s="207"/>
      <c r="F16" s="207"/>
    </row>
    <row r="17" spans="3:6">
      <c r="C17" s="206"/>
      <c r="D17" s="298"/>
      <c r="E17" s="207"/>
      <c r="F17" s="207"/>
    </row>
    <row r="18" spans="3:6">
      <c r="C18" s="206"/>
      <c r="D18" s="298"/>
      <c r="E18" s="207"/>
      <c r="F18" s="207"/>
    </row>
    <row r="19" spans="3:6">
      <c r="C19" s="206"/>
      <c r="D19" s="298"/>
      <c r="E19" s="207"/>
      <c r="F19" s="207"/>
    </row>
  </sheetData>
  <mergeCells count="10">
    <mergeCell ref="C3:F3"/>
    <mergeCell ref="D4:F4"/>
    <mergeCell ref="E6:F6"/>
    <mergeCell ref="E12:F12"/>
    <mergeCell ref="E10:F10"/>
    <mergeCell ref="E11:F11"/>
    <mergeCell ref="E9:F9"/>
    <mergeCell ref="E8:F8"/>
    <mergeCell ref="E5:F5"/>
    <mergeCell ref="E7:F7"/>
  </mergeCells>
  <phoneticPr fontId="0" type="noConversion"/>
  <printOptions horizontalCentered="1" verticalCentered="1"/>
  <pageMargins left="0.51181102362204722" right="0.19685039370078741" top="0.43307086614173229" bottom="0.6692913385826772" header="0" footer="0"/>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Hoja6">
    <tabColor rgb="FFFFFF00"/>
  </sheetPr>
  <dimension ref="A1:T50"/>
  <sheetViews>
    <sheetView showGridLines="0" workbookViewId="0">
      <pane xSplit="1" topLeftCell="B1" activePane="topRight" state="frozen"/>
      <selection pane="topRight" activeCell="E16" sqref="E16"/>
    </sheetView>
  </sheetViews>
  <sheetFormatPr defaultColWidth="11.42578125" defaultRowHeight="11.25"/>
  <cols>
    <col min="1" max="1" width="12.5703125" style="2" customWidth="1"/>
    <col min="2" max="2" width="13.42578125" style="2" customWidth="1"/>
    <col min="3" max="3" width="7.5703125" style="2" customWidth="1"/>
    <col min="4" max="8" width="10.5703125" style="2" customWidth="1"/>
    <col min="9" max="14" width="11.42578125" style="2" customWidth="1"/>
    <col min="15" max="15" width="11.28515625" style="2" customWidth="1"/>
    <col min="16" max="16" width="14.42578125" style="2" bestFit="1" customWidth="1"/>
    <col min="17" max="20" width="14.140625" style="2" bestFit="1" customWidth="1"/>
    <col min="21" max="16384" width="11.42578125" style="2"/>
  </cols>
  <sheetData>
    <row r="1" spans="1:20" ht="18">
      <c r="A1" s="22" t="s">
        <v>274</v>
      </c>
      <c r="C1" s="26"/>
      <c r="D1" s="26"/>
      <c r="E1" s="26"/>
    </row>
    <row r="2" spans="1:20" ht="12" thickBot="1"/>
    <row r="3" spans="1:20" s="58" customFormat="1" ht="10.5">
      <c r="A3" s="55" t="s">
        <v>39</v>
      </c>
      <c r="B3" s="56" t="s">
        <v>0</v>
      </c>
      <c r="C3" s="56" t="s">
        <v>24</v>
      </c>
      <c r="D3" s="56" t="s">
        <v>25</v>
      </c>
      <c r="E3" s="56" t="s">
        <v>26</v>
      </c>
      <c r="F3" s="56" t="s">
        <v>27</v>
      </c>
      <c r="G3" s="56" t="s">
        <v>28</v>
      </c>
      <c r="H3" s="56" t="s">
        <v>29</v>
      </c>
      <c r="I3" s="56" t="s">
        <v>30</v>
      </c>
      <c r="J3" s="56" t="s">
        <v>31</v>
      </c>
      <c r="K3" s="56" t="s">
        <v>32</v>
      </c>
      <c r="L3" s="56" t="s">
        <v>33</v>
      </c>
      <c r="M3" s="56" t="s">
        <v>34</v>
      </c>
      <c r="N3" s="56" t="s">
        <v>35</v>
      </c>
      <c r="O3" s="56" t="s">
        <v>36</v>
      </c>
      <c r="P3" s="57" t="s">
        <v>119</v>
      </c>
      <c r="Q3" s="57" t="s">
        <v>118</v>
      </c>
      <c r="R3" s="57" t="s">
        <v>120</v>
      </c>
      <c r="S3" s="57" t="s">
        <v>215</v>
      </c>
      <c r="T3" s="57" t="s">
        <v>214</v>
      </c>
    </row>
    <row r="4" spans="1:20" s="201" customFormat="1" ht="10.5">
      <c r="A4" s="513" t="s">
        <v>257</v>
      </c>
      <c r="B4" s="200" t="s">
        <v>2</v>
      </c>
      <c r="C4" s="59">
        <v>0</v>
      </c>
      <c r="D4" s="59">
        <f>D26*0.7718</f>
        <v>3859</v>
      </c>
      <c r="E4" s="59">
        <f t="shared" ref="E4:O4" si="0">E26*0.7718</f>
        <v>5788.5</v>
      </c>
      <c r="F4" s="59">
        <f t="shared" si="0"/>
        <v>7718</v>
      </c>
      <c r="G4" s="59">
        <f t="shared" si="0"/>
        <v>11577</v>
      </c>
      <c r="H4" s="59">
        <f t="shared" si="0"/>
        <v>15436</v>
      </c>
      <c r="I4" s="59">
        <f t="shared" si="0"/>
        <v>17188.317874</v>
      </c>
      <c r="J4" s="59">
        <f t="shared" si="0"/>
        <v>17188.317874</v>
      </c>
      <c r="K4" s="59">
        <f t="shared" si="0"/>
        <v>17188.317874</v>
      </c>
      <c r="L4" s="59">
        <f t="shared" si="0"/>
        <v>17188.317874</v>
      </c>
      <c r="M4" s="59">
        <f t="shared" si="0"/>
        <v>17188.317874</v>
      </c>
      <c r="N4" s="59">
        <f t="shared" si="0"/>
        <v>17188.317874</v>
      </c>
      <c r="O4" s="59">
        <f t="shared" si="0"/>
        <v>17188.317874</v>
      </c>
      <c r="P4" s="126">
        <f>SUM(D4:O4)</f>
        <v>164696.725118</v>
      </c>
      <c r="Q4" s="126">
        <f>+(O4*1.05)*12</f>
        <v>216572.80521239998</v>
      </c>
      <c r="R4" s="126">
        <f>+(Q4*1.05)</f>
        <v>227401.44547301999</v>
      </c>
      <c r="S4" s="126">
        <f>+(R4*1.05)</f>
        <v>238771.51774667102</v>
      </c>
      <c r="T4" s="126">
        <f>+(S4*1.05)</f>
        <v>250710.09363400459</v>
      </c>
    </row>
    <row r="5" spans="1:20" s="63" customFormat="1" ht="21">
      <c r="A5" s="513"/>
      <c r="B5" s="198" t="s">
        <v>1</v>
      </c>
      <c r="C5" s="199">
        <v>3.1</v>
      </c>
      <c r="D5" s="199">
        <v>3.1</v>
      </c>
      <c r="E5" s="199">
        <v>3.1</v>
      </c>
      <c r="F5" s="199">
        <v>3.1</v>
      </c>
      <c r="G5" s="199">
        <v>3.1</v>
      </c>
      <c r="H5" s="199">
        <v>3.1</v>
      </c>
      <c r="I5" s="199">
        <v>3.1</v>
      </c>
      <c r="J5" s="199">
        <v>3.2</v>
      </c>
      <c r="K5" s="199">
        <v>3.2</v>
      </c>
      <c r="L5" s="199">
        <v>3.2</v>
      </c>
      <c r="M5" s="199">
        <v>3.2</v>
      </c>
      <c r="N5" s="199">
        <v>3.2</v>
      </c>
      <c r="O5" s="199">
        <v>3.2</v>
      </c>
      <c r="P5" s="93"/>
      <c r="Q5" s="93">
        <f>+O5*1.05</f>
        <v>3.3600000000000003</v>
      </c>
      <c r="R5" s="93">
        <f>+Q5*1.05</f>
        <v>3.5280000000000005</v>
      </c>
      <c r="S5" s="93">
        <f>+R5*1.05</f>
        <v>3.7044000000000006</v>
      </c>
      <c r="T5" s="93">
        <f>+S5*1.05</f>
        <v>3.8896200000000007</v>
      </c>
    </row>
    <row r="6" spans="1:20" s="1" customFormat="1" thickBot="1">
      <c r="A6" s="514"/>
      <c r="B6" s="60" t="s">
        <v>38</v>
      </c>
      <c r="C6" s="61">
        <f>C5*C4</f>
        <v>0</v>
      </c>
      <c r="D6" s="61">
        <f t="shared" ref="D6:O6" si="1">D5*D4</f>
        <v>11962.9</v>
      </c>
      <c r="E6" s="61">
        <f t="shared" si="1"/>
        <v>17944.350000000002</v>
      </c>
      <c r="F6" s="61">
        <f t="shared" si="1"/>
        <v>23925.8</v>
      </c>
      <c r="G6" s="61">
        <f t="shared" si="1"/>
        <v>35888.700000000004</v>
      </c>
      <c r="H6" s="61">
        <f t="shared" si="1"/>
        <v>47851.6</v>
      </c>
      <c r="I6" s="61">
        <f t="shared" si="1"/>
        <v>53283.785409399999</v>
      </c>
      <c r="J6" s="61">
        <f t="shared" si="1"/>
        <v>55002.617196800005</v>
      </c>
      <c r="K6" s="61">
        <f t="shared" si="1"/>
        <v>55002.617196800005</v>
      </c>
      <c r="L6" s="61">
        <f t="shared" si="1"/>
        <v>55002.617196800005</v>
      </c>
      <c r="M6" s="61">
        <f t="shared" si="1"/>
        <v>55002.617196800005</v>
      </c>
      <c r="N6" s="61">
        <f t="shared" si="1"/>
        <v>55002.617196800005</v>
      </c>
      <c r="O6" s="61">
        <f t="shared" si="1"/>
        <v>55002.617196800005</v>
      </c>
      <c r="P6" s="62">
        <f>SUM(C6:O6)</f>
        <v>520872.83859020006</v>
      </c>
      <c r="Q6" s="62">
        <f>+Q4*Q5</f>
        <v>727684.62551366398</v>
      </c>
      <c r="R6" s="62">
        <f>+R4*R5</f>
        <v>802272.29962881468</v>
      </c>
      <c r="S6" s="62">
        <f>+S4*S5</f>
        <v>884505.21034076822</v>
      </c>
      <c r="T6" s="62">
        <f>+T4*T5</f>
        <v>975166.99440069706</v>
      </c>
    </row>
    <row r="7" spans="1:20" s="1" customFormat="1" ht="10.5"/>
    <row r="8" spans="1:20" s="1" customFormat="1" thickBot="1"/>
    <row r="9" spans="1:20" s="58" customFormat="1" ht="10.5">
      <c r="A9" s="55" t="s">
        <v>39</v>
      </c>
      <c r="B9" s="56" t="s">
        <v>0</v>
      </c>
      <c r="C9" s="56" t="s">
        <v>24</v>
      </c>
      <c r="D9" s="56" t="s">
        <v>25</v>
      </c>
      <c r="E9" s="56" t="s">
        <v>26</v>
      </c>
      <c r="F9" s="56" t="s">
        <v>27</v>
      </c>
      <c r="G9" s="56" t="s">
        <v>28</v>
      </c>
      <c r="H9" s="56" t="s">
        <v>29</v>
      </c>
      <c r="I9" s="56" t="s">
        <v>30</v>
      </c>
      <c r="J9" s="56" t="s">
        <v>31</v>
      </c>
      <c r="K9" s="56" t="s">
        <v>32</v>
      </c>
      <c r="L9" s="56" t="s">
        <v>33</v>
      </c>
      <c r="M9" s="56" t="s">
        <v>34</v>
      </c>
      <c r="N9" s="56" t="s">
        <v>35</v>
      </c>
      <c r="O9" s="56" t="s">
        <v>36</v>
      </c>
      <c r="P9" s="57" t="s">
        <v>119</v>
      </c>
      <c r="Q9" s="57" t="s">
        <v>118</v>
      </c>
      <c r="R9" s="57" t="s">
        <v>120</v>
      </c>
      <c r="S9" s="57" t="s">
        <v>215</v>
      </c>
      <c r="T9" s="57" t="s">
        <v>214</v>
      </c>
    </row>
    <row r="10" spans="1:20" s="202" customFormat="1" ht="10.5">
      <c r="A10" s="513" t="s">
        <v>238</v>
      </c>
      <c r="B10" s="59" t="s">
        <v>2</v>
      </c>
      <c r="C10" s="59">
        <v>0</v>
      </c>
      <c r="D10" s="59">
        <f>D26*0.179*0.2282</f>
        <v>204.23899999999998</v>
      </c>
      <c r="E10" s="59">
        <f t="shared" ref="E10:O10" si="2">E26*0.179*0.2282</f>
        <v>306.35849999999999</v>
      </c>
      <c r="F10" s="59">
        <f t="shared" si="2"/>
        <v>408.47799999999995</v>
      </c>
      <c r="G10" s="59">
        <f t="shared" si="2"/>
        <v>612.71699999999998</v>
      </c>
      <c r="H10" s="59">
        <f t="shared" si="2"/>
        <v>816.9559999999999</v>
      </c>
      <c r="I10" s="59">
        <f t="shared" si="2"/>
        <v>909.69807055399997</v>
      </c>
      <c r="J10" s="59">
        <f t="shared" si="2"/>
        <v>909.69807055399997</v>
      </c>
      <c r="K10" s="59">
        <f t="shared" si="2"/>
        <v>909.69807055399997</v>
      </c>
      <c r="L10" s="59">
        <f t="shared" si="2"/>
        <v>909.69807055399997</v>
      </c>
      <c r="M10" s="59">
        <f t="shared" si="2"/>
        <v>909.69807055399997</v>
      </c>
      <c r="N10" s="59">
        <f t="shared" si="2"/>
        <v>909.69807055399997</v>
      </c>
      <c r="O10" s="59">
        <f t="shared" si="2"/>
        <v>909.69807055399997</v>
      </c>
      <c r="P10" s="126">
        <f>SUM(C10:O10)</f>
        <v>8716.6349938780004</v>
      </c>
      <c r="Q10" s="126">
        <f>+(O10*1.05)*12</f>
        <v>11462.195688980399</v>
      </c>
      <c r="R10" s="126">
        <f>+(Q10*1.05)</f>
        <v>12035.305473429418</v>
      </c>
      <c r="S10" s="126">
        <f>+(R10*1.05)</f>
        <v>12637.07074710089</v>
      </c>
      <c r="T10" s="126">
        <f>+(S10*1.05)</f>
        <v>13268.924284455936</v>
      </c>
    </row>
    <row r="11" spans="1:20" s="63" customFormat="1" ht="21">
      <c r="A11" s="513"/>
      <c r="B11" s="198" t="s">
        <v>1</v>
      </c>
      <c r="C11" s="199">
        <v>2.4</v>
      </c>
      <c r="D11" s="199">
        <v>2.4</v>
      </c>
      <c r="E11" s="199">
        <v>2.4</v>
      </c>
      <c r="F11" s="199">
        <v>2.4</v>
      </c>
      <c r="G11" s="199">
        <v>2.4</v>
      </c>
      <c r="H11" s="199">
        <v>2.4</v>
      </c>
      <c r="I11" s="199">
        <v>2.4</v>
      </c>
      <c r="J11" s="199">
        <v>2.5</v>
      </c>
      <c r="K11" s="199">
        <v>2.5</v>
      </c>
      <c r="L11" s="199">
        <v>2.5</v>
      </c>
      <c r="M11" s="199">
        <v>2.5</v>
      </c>
      <c r="N11" s="199">
        <v>2.5</v>
      </c>
      <c r="O11" s="199">
        <v>2.5</v>
      </c>
      <c r="P11" s="93"/>
      <c r="Q11" s="93">
        <f>+O11*1.05</f>
        <v>2.625</v>
      </c>
      <c r="R11" s="93">
        <f>+Q11*1.05</f>
        <v>2.7562500000000001</v>
      </c>
      <c r="S11" s="93">
        <f>+R11*1.05</f>
        <v>2.8940625000000004</v>
      </c>
      <c r="T11" s="93">
        <f>+S11*1.05</f>
        <v>3.0387656250000004</v>
      </c>
    </row>
    <row r="12" spans="1:20" s="1" customFormat="1" thickBot="1">
      <c r="A12" s="514"/>
      <c r="B12" s="60" t="s">
        <v>38</v>
      </c>
      <c r="C12" s="61">
        <f>C11*C10</f>
        <v>0</v>
      </c>
      <c r="D12" s="61">
        <f t="shared" ref="D12:O12" si="3">D11*D10</f>
        <v>490.17359999999991</v>
      </c>
      <c r="E12" s="61">
        <f t="shared" si="3"/>
        <v>735.2604</v>
      </c>
      <c r="F12" s="61">
        <f t="shared" si="3"/>
        <v>980.34719999999982</v>
      </c>
      <c r="G12" s="61">
        <f t="shared" si="3"/>
        <v>1470.5208</v>
      </c>
      <c r="H12" s="61">
        <f t="shared" si="3"/>
        <v>1960.6943999999996</v>
      </c>
      <c r="I12" s="61">
        <f t="shared" si="3"/>
        <v>2183.2753693295999</v>
      </c>
      <c r="J12" s="61">
        <f t="shared" si="3"/>
        <v>2274.2451763849999</v>
      </c>
      <c r="K12" s="61">
        <f t="shared" si="3"/>
        <v>2274.2451763849999</v>
      </c>
      <c r="L12" s="61">
        <f t="shared" si="3"/>
        <v>2274.2451763849999</v>
      </c>
      <c r="M12" s="61">
        <f t="shared" si="3"/>
        <v>2274.2451763849999</v>
      </c>
      <c r="N12" s="61">
        <f t="shared" si="3"/>
        <v>2274.2451763849999</v>
      </c>
      <c r="O12" s="61">
        <f t="shared" si="3"/>
        <v>2274.2451763849999</v>
      </c>
      <c r="P12" s="62">
        <f>SUM(C12:O12)</f>
        <v>21465.742827639599</v>
      </c>
      <c r="Q12" s="62">
        <f>+Q10*Q11</f>
        <v>30088.263683573547</v>
      </c>
      <c r="R12" s="62">
        <f>+R10*R11</f>
        <v>33172.310711139835</v>
      </c>
      <c r="S12" s="62">
        <f>+S10*S11</f>
        <v>36572.472559031674</v>
      </c>
      <c r="T12" s="62">
        <f>+T10*T11</f>
        <v>40321.150996332421</v>
      </c>
    </row>
    <row r="13" spans="1:20" s="1" customFormat="1" ht="10.5"/>
    <row r="14" spans="1:20" s="1" customFormat="1" thickBot="1"/>
    <row r="15" spans="1:20" s="58" customFormat="1" ht="10.5">
      <c r="A15" s="55" t="s">
        <v>39</v>
      </c>
      <c r="B15" s="56" t="s">
        <v>0</v>
      </c>
      <c r="C15" s="56" t="s">
        <v>24</v>
      </c>
      <c r="D15" s="56" t="s">
        <v>25</v>
      </c>
      <c r="E15" s="56" t="s">
        <v>26</v>
      </c>
      <c r="F15" s="56" t="s">
        <v>27</v>
      </c>
      <c r="G15" s="56" t="s">
        <v>28</v>
      </c>
      <c r="H15" s="56" t="s">
        <v>29</v>
      </c>
      <c r="I15" s="56" t="s">
        <v>30</v>
      </c>
      <c r="J15" s="56" t="s">
        <v>31</v>
      </c>
      <c r="K15" s="56" t="s">
        <v>32</v>
      </c>
      <c r="L15" s="56" t="s">
        <v>33</v>
      </c>
      <c r="M15" s="56" t="s">
        <v>34</v>
      </c>
      <c r="N15" s="56" t="s">
        <v>35</v>
      </c>
      <c r="O15" s="56" t="s">
        <v>36</v>
      </c>
      <c r="P15" s="57" t="s">
        <v>119</v>
      </c>
      <c r="Q15" s="57" t="s">
        <v>118</v>
      </c>
      <c r="R15" s="57" t="s">
        <v>120</v>
      </c>
      <c r="S15" s="57" t="s">
        <v>215</v>
      </c>
      <c r="T15" s="57" t="s">
        <v>214</v>
      </c>
    </row>
    <row r="16" spans="1:20" s="201" customFormat="1" ht="10.5">
      <c r="A16" s="513" t="s">
        <v>239</v>
      </c>
      <c r="B16" s="200" t="s">
        <v>2</v>
      </c>
      <c r="C16" s="59">
        <v>0</v>
      </c>
      <c r="D16" s="59">
        <f>D26*0.382*0.2282</f>
        <v>435.86199999999997</v>
      </c>
      <c r="E16" s="59">
        <f t="shared" ref="E16:O16" si="4">E26*0.382*0.2282</f>
        <v>653.79300000000001</v>
      </c>
      <c r="F16" s="59">
        <f t="shared" si="4"/>
        <v>871.72399999999993</v>
      </c>
      <c r="G16" s="59">
        <f t="shared" si="4"/>
        <v>1307.586</v>
      </c>
      <c r="H16" s="59">
        <f t="shared" si="4"/>
        <v>1743.4479999999999</v>
      </c>
      <c r="I16" s="59">
        <f t="shared" si="4"/>
        <v>1941.3668321320001</v>
      </c>
      <c r="J16" s="59">
        <f t="shared" si="4"/>
        <v>1941.3668321320001</v>
      </c>
      <c r="K16" s="59">
        <f t="shared" si="4"/>
        <v>1941.3668321320001</v>
      </c>
      <c r="L16" s="59">
        <f t="shared" si="4"/>
        <v>1941.3668321320001</v>
      </c>
      <c r="M16" s="59">
        <f t="shared" si="4"/>
        <v>1941.3668321320001</v>
      </c>
      <c r="N16" s="59">
        <f t="shared" si="4"/>
        <v>1941.3668321320001</v>
      </c>
      <c r="O16" s="59">
        <f t="shared" si="4"/>
        <v>1941.3668321320001</v>
      </c>
      <c r="P16" s="126">
        <f>SUM(C16:O16)</f>
        <v>18601.980824924001</v>
      </c>
      <c r="Q16" s="126">
        <f>+(O16*1.05)*12</f>
        <v>24461.222084863202</v>
      </c>
      <c r="R16" s="126">
        <f>+(Q16*1.05)</f>
        <v>25684.283189106365</v>
      </c>
      <c r="S16" s="126">
        <f>+(R16*1.05)</f>
        <v>26968.497348561683</v>
      </c>
      <c r="T16" s="126">
        <f>+(S16*1.05)</f>
        <v>28316.922215989769</v>
      </c>
    </row>
    <row r="17" spans="1:20" s="63" customFormat="1" ht="21">
      <c r="A17" s="513"/>
      <c r="B17" s="198" t="s">
        <v>1</v>
      </c>
      <c r="C17" s="199">
        <v>2.8</v>
      </c>
      <c r="D17" s="199">
        <v>2.8</v>
      </c>
      <c r="E17" s="199">
        <v>2.8</v>
      </c>
      <c r="F17" s="199">
        <v>2.8</v>
      </c>
      <c r="G17" s="199">
        <v>2.8</v>
      </c>
      <c r="H17" s="199">
        <v>2.8</v>
      </c>
      <c r="I17" s="199">
        <v>2.8</v>
      </c>
      <c r="J17" s="199">
        <v>3</v>
      </c>
      <c r="K17" s="199">
        <v>3</v>
      </c>
      <c r="L17" s="199">
        <v>3</v>
      </c>
      <c r="M17" s="199">
        <v>3</v>
      </c>
      <c r="N17" s="199">
        <v>3</v>
      </c>
      <c r="O17" s="199">
        <v>3</v>
      </c>
      <c r="P17" s="93"/>
      <c r="Q17" s="93">
        <f>+O17*1.05</f>
        <v>3.1500000000000004</v>
      </c>
      <c r="R17" s="93">
        <f>+Q17*1.05</f>
        <v>3.3075000000000006</v>
      </c>
      <c r="S17" s="93">
        <f>+R17*1.05</f>
        <v>3.4728750000000006</v>
      </c>
      <c r="T17" s="93">
        <f>+S17*1.05</f>
        <v>3.6465187500000007</v>
      </c>
    </row>
    <row r="18" spans="1:20" s="1" customFormat="1" thickBot="1">
      <c r="A18" s="514"/>
      <c r="B18" s="60" t="s">
        <v>38</v>
      </c>
      <c r="C18" s="61">
        <f>C17*C16</f>
        <v>0</v>
      </c>
      <c r="D18" s="61">
        <f t="shared" ref="D18:O18" si="5">D17*D16</f>
        <v>1220.4135999999999</v>
      </c>
      <c r="E18" s="61">
        <f t="shared" si="5"/>
        <v>1830.6203999999998</v>
      </c>
      <c r="F18" s="61">
        <f t="shared" si="5"/>
        <v>2440.8271999999997</v>
      </c>
      <c r="G18" s="61">
        <f t="shared" si="5"/>
        <v>3661.2407999999996</v>
      </c>
      <c r="H18" s="61">
        <f t="shared" si="5"/>
        <v>4881.6543999999994</v>
      </c>
      <c r="I18" s="61">
        <f t="shared" si="5"/>
        <v>5435.8271299695998</v>
      </c>
      <c r="J18" s="61">
        <f t="shared" si="5"/>
        <v>5824.1004963960004</v>
      </c>
      <c r="K18" s="61">
        <f t="shared" si="5"/>
        <v>5824.1004963960004</v>
      </c>
      <c r="L18" s="61">
        <f t="shared" si="5"/>
        <v>5824.1004963960004</v>
      </c>
      <c r="M18" s="61">
        <f t="shared" si="5"/>
        <v>5824.1004963960004</v>
      </c>
      <c r="N18" s="61">
        <f t="shared" si="5"/>
        <v>5824.1004963960004</v>
      </c>
      <c r="O18" s="61">
        <f t="shared" si="5"/>
        <v>5824.1004963960004</v>
      </c>
      <c r="P18" s="62">
        <f>SUM(C18:O18)</f>
        <v>54415.1865083456</v>
      </c>
      <c r="Q18" s="62">
        <f>+Q16*Q17</f>
        <v>77052.849567319092</v>
      </c>
      <c r="R18" s="62">
        <f>+R16*R17</f>
        <v>84950.766647969314</v>
      </c>
      <c r="S18" s="62">
        <f>+S16*S17</f>
        <v>93658.220229386177</v>
      </c>
      <c r="T18" s="62">
        <f>+T16*T17</f>
        <v>103258.18780289826</v>
      </c>
    </row>
    <row r="19" spans="1:20" s="1" customFormat="1" ht="10.5"/>
    <row r="20" spans="1:20" s="1" customFormat="1" thickBot="1"/>
    <row r="21" spans="1:20" s="58" customFormat="1" ht="10.5">
      <c r="A21" s="55" t="s">
        <v>39</v>
      </c>
      <c r="B21" s="56" t="s">
        <v>0</v>
      </c>
      <c r="C21" s="56" t="s">
        <v>24</v>
      </c>
      <c r="D21" s="56" t="s">
        <v>25</v>
      </c>
      <c r="E21" s="56" t="s">
        <v>26</v>
      </c>
      <c r="F21" s="56" t="s">
        <v>27</v>
      </c>
      <c r="G21" s="56" t="s">
        <v>28</v>
      </c>
      <c r="H21" s="56" t="s">
        <v>29</v>
      </c>
      <c r="I21" s="56" t="s">
        <v>30</v>
      </c>
      <c r="J21" s="56" t="s">
        <v>31</v>
      </c>
      <c r="K21" s="56" t="s">
        <v>32</v>
      </c>
      <c r="L21" s="56" t="s">
        <v>33</v>
      </c>
      <c r="M21" s="56" t="s">
        <v>34</v>
      </c>
      <c r="N21" s="56" t="s">
        <v>35</v>
      </c>
      <c r="O21" s="56" t="s">
        <v>36</v>
      </c>
      <c r="P21" s="57" t="s">
        <v>119</v>
      </c>
      <c r="Q21" s="57" t="s">
        <v>118</v>
      </c>
      <c r="R21" s="57" t="s">
        <v>120</v>
      </c>
      <c r="S21" s="57" t="s">
        <v>215</v>
      </c>
      <c r="T21" s="57" t="s">
        <v>214</v>
      </c>
    </row>
    <row r="22" spans="1:20" s="201" customFormat="1" ht="10.5">
      <c r="A22" s="513" t="s">
        <v>240</v>
      </c>
      <c r="B22" s="200" t="s">
        <v>2</v>
      </c>
      <c r="C22" s="59">
        <v>0</v>
      </c>
      <c r="D22" s="59">
        <f>D26*0.439*0.2282</f>
        <v>500.89899999999994</v>
      </c>
      <c r="E22" s="59">
        <f t="shared" ref="E22:O22" si="6">E26*0.439*0.2282</f>
        <v>751.34849999999994</v>
      </c>
      <c r="F22" s="59">
        <f t="shared" si="6"/>
        <v>1001.7979999999999</v>
      </c>
      <c r="G22" s="59">
        <f t="shared" si="6"/>
        <v>1502.6969999999999</v>
      </c>
      <c r="H22" s="59">
        <f t="shared" si="6"/>
        <v>2003.5959999999998</v>
      </c>
      <c r="I22" s="59">
        <f t="shared" si="6"/>
        <v>2231.0472233139999</v>
      </c>
      <c r="J22" s="59">
        <f t="shared" si="6"/>
        <v>2231.0472233139999</v>
      </c>
      <c r="K22" s="59">
        <f t="shared" si="6"/>
        <v>2231.0472233139999</v>
      </c>
      <c r="L22" s="59">
        <f t="shared" si="6"/>
        <v>2231.0472233139999</v>
      </c>
      <c r="M22" s="59">
        <f t="shared" si="6"/>
        <v>2231.0472233139999</v>
      </c>
      <c r="N22" s="59">
        <f t="shared" si="6"/>
        <v>2231.0472233139999</v>
      </c>
      <c r="O22" s="59">
        <f t="shared" si="6"/>
        <v>2231.0472233139999</v>
      </c>
      <c r="P22" s="126">
        <f>SUM(C22:O22)</f>
        <v>21377.669063197995</v>
      </c>
      <c r="Q22" s="126">
        <f>+(O22*1.05)*12</f>
        <v>28111.195013756398</v>
      </c>
      <c r="R22" s="126">
        <f>+(Q22*1.05)</f>
        <v>29516.75476444422</v>
      </c>
      <c r="S22" s="126">
        <f>+(R22*1.05)</f>
        <v>30992.592502666434</v>
      </c>
      <c r="T22" s="126">
        <f>+(S22*1.05)</f>
        <v>32542.222127799756</v>
      </c>
    </row>
    <row r="23" spans="1:20" s="63" customFormat="1" ht="21">
      <c r="A23" s="513"/>
      <c r="B23" s="198" t="s">
        <v>1</v>
      </c>
      <c r="C23" s="199">
        <v>4.2</v>
      </c>
      <c r="D23" s="199">
        <v>4.2</v>
      </c>
      <c r="E23" s="199">
        <v>4.2</v>
      </c>
      <c r="F23" s="199">
        <v>4.2</v>
      </c>
      <c r="G23" s="199">
        <v>4.2</v>
      </c>
      <c r="H23" s="199">
        <v>4.2</v>
      </c>
      <c r="I23" s="199">
        <v>4.2</v>
      </c>
      <c r="J23" s="199">
        <v>4.5</v>
      </c>
      <c r="K23" s="199">
        <v>4.5</v>
      </c>
      <c r="L23" s="199">
        <v>4.5</v>
      </c>
      <c r="M23" s="199">
        <v>4.5</v>
      </c>
      <c r="N23" s="199">
        <v>4.5</v>
      </c>
      <c r="O23" s="199">
        <v>4.5</v>
      </c>
      <c r="P23" s="93"/>
      <c r="Q23" s="93">
        <f>+O23*1.05</f>
        <v>4.7250000000000005</v>
      </c>
      <c r="R23" s="93">
        <f>+Q23*1.05</f>
        <v>4.9612500000000006</v>
      </c>
      <c r="S23" s="93">
        <f>+R23*1.05</f>
        <v>5.2093125000000011</v>
      </c>
      <c r="T23" s="93">
        <f>+S23*1.05</f>
        <v>5.4697781250000013</v>
      </c>
    </row>
    <row r="24" spans="1:20" s="1" customFormat="1" thickBot="1">
      <c r="A24" s="514"/>
      <c r="B24" s="60" t="s">
        <v>38</v>
      </c>
      <c r="C24" s="61">
        <f>C23*C22</f>
        <v>0</v>
      </c>
      <c r="D24" s="61">
        <f t="shared" ref="D24:O24" si="7">D23*D22</f>
        <v>2103.7757999999999</v>
      </c>
      <c r="E24" s="61">
        <f t="shared" si="7"/>
        <v>3155.6637000000001</v>
      </c>
      <c r="F24" s="61">
        <f t="shared" si="7"/>
        <v>4207.5515999999998</v>
      </c>
      <c r="G24" s="61">
        <f t="shared" si="7"/>
        <v>6311.3274000000001</v>
      </c>
      <c r="H24" s="61">
        <f t="shared" si="7"/>
        <v>8415.1031999999996</v>
      </c>
      <c r="I24" s="61">
        <f t="shared" si="7"/>
        <v>9370.3983379187994</v>
      </c>
      <c r="J24" s="61">
        <f t="shared" si="7"/>
        <v>10039.712504912999</v>
      </c>
      <c r="K24" s="61">
        <f t="shared" si="7"/>
        <v>10039.712504912999</v>
      </c>
      <c r="L24" s="61">
        <f t="shared" si="7"/>
        <v>10039.712504912999</v>
      </c>
      <c r="M24" s="61">
        <f t="shared" si="7"/>
        <v>10039.712504912999</v>
      </c>
      <c r="N24" s="61">
        <f t="shared" si="7"/>
        <v>10039.712504912999</v>
      </c>
      <c r="O24" s="61">
        <f t="shared" si="7"/>
        <v>10039.712504912999</v>
      </c>
      <c r="P24" s="62">
        <f>SUM(C24:O24)</f>
        <v>93802.095067396789</v>
      </c>
      <c r="Q24" s="62">
        <f>+Q22*Q23</f>
        <v>132825.39643999899</v>
      </c>
      <c r="R24" s="62">
        <f>+R22*R23</f>
        <v>146439.99957509892</v>
      </c>
      <c r="S24" s="62">
        <f>+S22*S23</f>
        <v>161450.09953154658</v>
      </c>
      <c r="T24" s="62">
        <f>+T22*T23</f>
        <v>177998.73473353009</v>
      </c>
    </row>
    <row r="25" spans="1:20" s="1" customFormat="1" ht="10.5"/>
    <row r="26" spans="1:20" s="1" customFormat="1" ht="10.5">
      <c r="A26" s="71" t="s">
        <v>256</v>
      </c>
      <c r="B26" s="72"/>
      <c r="C26" s="73">
        <f>C4+C10+C16+C22</f>
        <v>0</v>
      </c>
      <c r="D26" s="73">
        <v>5000</v>
      </c>
      <c r="E26" s="73">
        <v>7500</v>
      </c>
      <c r="F26" s="73">
        <v>10000</v>
      </c>
      <c r="G26" s="73">
        <v>15000</v>
      </c>
      <c r="H26" s="73">
        <v>20000</v>
      </c>
      <c r="I26" s="73">
        <v>22270.43</v>
      </c>
      <c r="J26" s="73">
        <v>22270.43</v>
      </c>
      <c r="K26" s="73">
        <v>22270.43</v>
      </c>
      <c r="L26" s="73">
        <v>22270.43</v>
      </c>
      <c r="M26" s="73">
        <v>22270.43</v>
      </c>
      <c r="N26" s="73">
        <v>22270.43</v>
      </c>
      <c r="O26" s="73">
        <v>22270.43</v>
      </c>
      <c r="P26" s="139">
        <f>SUM(C26:O26)</f>
        <v>213393.00999999995</v>
      </c>
      <c r="Q26" s="139">
        <f>+Q4+Q10+Q16+Q22</f>
        <v>280607.41799999995</v>
      </c>
      <c r="R26" s="139">
        <f>+R4+R10+R16+R22</f>
        <v>294637.78889999999</v>
      </c>
      <c r="S26" s="139">
        <f>+S4+S10+S16+S22</f>
        <v>309369.67834500002</v>
      </c>
      <c r="T26" s="139">
        <f>+T4+T10+T16+T22</f>
        <v>324838.16226225009</v>
      </c>
    </row>
    <row r="27" spans="1:20" s="1" customFormat="1" ht="10.5">
      <c r="C27" s="63"/>
      <c r="D27" s="63"/>
      <c r="E27" s="63"/>
      <c r="F27" s="63"/>
      <c r="G27" s="63"/>
      <c r="H27" s="63"/>
      <c r="I27" s="63"/>
      <c r="J27" s="63"/>
      <c r="K27" s="63"/>
      <c r="L27" s="63"/>
      <c r="M27" s="63"/>
      <c r="N27" s="63"/>
      <c r="O27" s="63"/>
    </row>
    <row r="28" spans="1:20" s="1" customFormat="1" ht="12.75" hidden="1">
      <c r="A28" s="511" t="s">
        <v>167</v>
      </c>
      <c r="B28" s="512"/>
      <c r="C28" s="65">
        <f t="shared" ref="C28:O28" si="8">C6+C12+C18+C24</f>
        <v>0</v>
      </c>
      <c r="D28" s="65">
        <f>D6+D12+D18+D24</f>
        <v>15777.262999999999</v>
      </c>
      <c r="E28" s="65">
        <f t="shared" si="8"/>
        <v>23665.894500000002</v>
      </c>
      <c r="F28" s="65">
        <f t="shared" si="8"/>
        <v>31554.525999999998</v>
      </c>
      <c r="G28" s="65">
        <f t="shared" si="8"/>
        <v>47331.789000000004</v>
      </c>
      <c r="H28" s="65">
        <f t="shared" si="8"/>
        <v>63109.051999999996</v>
      </c>
      <c r="I28" s="65">
        <f t="shared" si="8"/>
        <v>70273.286246617994</v>
      </c>
      <c r="J28" s="65">
        <f t="shared" si="8"/>
        <v>73140.675374494007</v>
      </c>
      <c r="K28" s="65">
        <f t="shared" si="8"/>
        <v>73140.675374494007</v>
      </c>
      <c r="L28" s="65">
        <f t="shared" si="8"/>
        <v>73140.675374494007</v>
      </c>
      <c r="M28" s="65">
        <f t="shared" si="8"/>
        <v>73140.675374494007</v>
      </c>
      <c r="N28" s="65">
        <f t="shared" si="8"/>
        <v>73140.675374494007</v>
      </c>
      <c r="O28" s="65">
        <f t="shared" si="8"/>
        <v>73140.675374494007</v>
      </c>
      <c r="P28" s="66">
        <f>SUM(C28:O28)</f>
        <v>690555.86299358215</v>
      </c>
      <c r="Q28" s="66">
        <f>+Q6+Q12+Q18+Q24</f>
        <v>967651.13520455558</v>
      </c>
      <c r="R28" s="66">
        <f>+R6+R12+R18+R24</f>
        <v>1066835.3765630228</v>
      </c>
      <c r="S28" s="66">
        <f>+S6+S12+S18+S24</f>
        <v>1176186.0026607327</v>
      </c>
      <c r="T28" s="66">
        <f>+T6+T12+T18+T24</f>
        <v>1296745.0679334579</v>
      </c>
    </row>
    <row r="29" spans="1:20" s="1" customFormat="1" ht="12.75" hidden="1">
      <c r="A29" s="511"/>
      <c r="B29" s="512"/>
      <c r="D29" s="65"/>
      <c r="E29" s="65"/>
      <c r="F29" s="65"/>
      <c r="G29" s="65"/>
      <c r="H29" s="65"/>
      <c r="I29" s="65"/>
      <c r="J29" s="65"/>
      <c r="K29" s="65"/>
      <c r="L29" s="65"/>
      <c r="M29" s="65"/>
      <c r="N29" s="65"/>
      <c r="O29" s="65"/>
      <c r="P29" s="66"/>
      <c r="Q29" s="66"/>
      <c r="R29" s="66"/>
      <c r="S29" s="66"/>
      <c r="T29" s="66"/>
    </row>
    <row r="30" spans="1:20" s="1" customFormat="1" ht="12.75" hidden="1">
      <c r="A30" s="511"/>
      <c r="B30" s="512"/>
      <c r="D30" s="65"/>
      <c r="E30" s="65"/>
      <c r="F30" s="65"/>
      <c r="G30" s="65"/>
      <c r="H30" s="65"/>
      <c r="I30" s="65"/>
      <c r="J30" s="65"/>
      <c r="K30" s="65"/>
      <c r="L30" s="65"/>
      <c r="M30" s="65"/>
      <c r="N30" s="65"/>
      <c r="O30" s="65"/>
      <c r="P30" s="66"/>
      <c r="Q30" s="66"/>
      <c r="R30" s="66"/>
      <c r="S30" s="66"/>
      <c r="T30" s="66"/>
    </row>
    <row r="31" spans="1:20" s="1" customFormat="1" ht="10.5">
      <c r="B31" s="64"/>
      <c r="D31" s="65"/>
      <c r="E31" s="65"/>
      <c r="F31" s="65"/>
      <c r="G31" s="65"/>
      <c r="H31" s="65"/>
      <c r="I31" s="65"/>
      <c r="J31" s="65"/>
      <c r="K31" s="65"/>
      <c r="L31" s="65"/>
      <c r="M31" s="65"/>
      <c r="N31" s="65"/>
      <c r="O31" s="65"/>
      <c r="P31" s="66"/>
      <c r="Q31" s="66"/>
      <c r="R31" s="66"/>
      <c r="S31" s="66"/>
      <c r="T31" s="66"/>
    </row>
    <row r="32" spans="1:20" s="1" customFormat="1" ht="12.75">
      <c r="A32" s="507" t="s">
        <v>176</v>
      </c>
      <c r="B32" s="508"/>
      <c r="C32" s="67">
        <f>SUM(C28:C30)</f>
        <v>0</v>
      </c>
      <c r="D32" s="67">
        <f>SUM(D28:D30)</f>
        <v>15777.262999999999</v>
      </c>
      <c r="E32" s="67">
        <f t="shared" ref="E32:N32" si="9">SUM(E28:E30)</f>
        <v>23665.894500000002</v>
      </c>
      <c r="F32" s="67">
        <f t="shared" si="9"/>
        <v>31554.525999999998</v>
      </c>
      <c r="G32" s="67">
        <f t="shared" si="9"/>
        <v>47331.789000000004</v>
      </c>
      <c r="H32" s="67">
        <f t="shared" si="9"/>
        <v>63109.051999999996</v>
      </c>
      <c r="I32" s="67">
        <f t="shared" si="9"/>
        <v>70273.286246617994</v>
      </c>
      <c r="J32" s="67">
        <f t="shared" si="9"/>
        <v>73140.675374494007</v>
      </c>
      <c r="K32" s="67">
        <f t="shared" si="9"/>
        <v>73140.675374494007</v>
      </c>
      <c r="L32" s="67">
        <f t="shared" si="9"/>
        <v>73140.675374494007</v>
      </c>
      <c r="M32" s="67">
        <f t="shared" si="9"/>
        <v>73140.675374494007</v>
      </c>
      <c r="N32" s="67">
        <f t="shared" si="9"/>
        <v>73140.675374494007</v>
      </c>
      <c r="O32" s="67">
        <f>SUM(O28:O30)</f>
        <v>73140.675374494007</v>
      </c>
      <c r="P32" s="68">
        <f>SUM(C32:O32)</f>
        <v>690555.86299358215</v>
      </c>
      <c r="Q32" s="68">
        <f>SUM(Q28:Q31)</f>
        <v>967651.13520455558</v>
      </c>
      <c r="R32" s="68">
        <f>SUM(R28:R31)</f>
        <v>1066835.3765630228</v>
      </c>
      <c r="S32" s="68">
        <f>SUM(S28:S31)</f>
        <v>1176186.0026607327</v>
      </c>
      <c r="T32" s="68">
        <f>SUM(T28:T31)</f>
        <v>1296745.0679334579</v>
      </c>
    </row>
    <row r="33" spans="1:20" s="1" customFormat="1" ht="10.5">
      <c r="B33" s="64"/>
      <c r="C33" s="65"/>
      <c r="D33" s="65"/>
      <c r="E33" s="65"/>
      <c r="F33" s="65"/>
      <c r="G33" s="65"/>
      <c r="H33" s="65"/>
      <c r="I33" s="65"/>
      <c r="J33" s="65"/>
      <c r="K33" s="65"/>
      <c r="L33" s="65"/>
      <c r="M33" s="65"/>
      <c r="N33" s="65"/>
      <c r="O33" s="65"/>
      <c r="P33" s="66"/>
      <c r="Q33" s="66"/>
      <c r="R33" s="66"/>
      <c r="S33" s="66"/>
      <c r="T33" s="66"/>
    </row>
    <row r="34" spans="1:20" s="1" customFormat="1" ht="12.75">
      <c r="A34" s="509" t="s">
        <v>175</v>
      </c>
      <c r="B34" s="510"/>
      <c r="C34" s="69">
        <f>(C26+C28)*0.12</f>
        <v>0</v>
      </c>
      <c r="D34" s="69">
        <f>+D28*0.02</f>
        <v>315.54525999999998</v>
      </c>
      <c r="E34" s="69">
        <f t="shared" ref="E34:R34" si="10">+E28*0.02</f>
        <v>473.31789000000003</v>
      </c>
      <c r="F34" s="69">
        <f t="shared" si="10"/>
        <v>631.09051999999997</v>
      </c>
      <c r="G34" s="69">
        <f t="shared" si="10"/>
        <v>946.63578000000007</v>
      </c>
      <c r="H34" s="69">
        <f t="shared" si="10"/>
        <v>1262.1810399999999</v>
      </c>
      <c r="I34" s="69">
        <f t="shared" si="10"/>
        <v>1405.46572493236</v>
      </c>
      <c r="J34" s="69">
        <f t="shared" si="10"/>
        <v>1462.8135074898801</v>
      </c>
      <c r="K34" s="69">
        <f t="shared" si="10"/>
        <v>1462.8135074898801</v>
      </c>
      <c r="L34" s="69">
        <f t="shared" si="10"/>
        <v>1462.8135074898801</v>
      </c>
      <c r="M34" s="69">
        <f t="shared" si="10"/>
        <v>1462.8135074898801</v>
      </c>
      <c r="N34" s="69">
        <f t="shared" si="10"/>
        <v>1462.8135074898801</v>
      </c>
      <c r="O34" s="69">
        <f t="shared" si="10"/>
        <v>1462.8135074898801</v>
      </c>
      <c r="P34" s="69">
        <f t="shared" si="10"/>
        <v>13811.117259871644</v>
      </c>
      <c r="Q34" s="69">
        <f t="shared" si="10"/>
        <v>19353.022704091112</v>
      </c>
      <c r="R34" s="69">
        <f t="shared" si="10"/>
        <v>21336.707531260457</v>
      </c>
      <c r="S34" s="69">
        <f>+S28*0.02</f>
        <v>23523.720053214656</v>
      </c>
      <c r="T34" s="69">
        <f>+T28*0.02</f>
        <v>25934.901358669158</v>
      </c>
    </row>
    <row r="35" spans="1:20" s="1" customFormat="1" ht="10.5">
      <c r="B35" s="64"/>
      <c r="C35" s="65"/>
      <c r="D35" s="65"/>
      <c r="E35" s="65"/>
      <c r="F35" s="65"/>
      <c r="G35" s="65"/>
      <c r="H35" s="65"/>
      <c r="I35" s="65"/>
      <c r="J35" s="65"/>
      <c r="K35" s="65"/>
      <c r="L35" s="65"/>
      <c r="M35" s="65"/>
      <c r="N35" s="65"/>
      <c r="O35" s="65"/>
      <c r="P35" s="66"/>
      <c r="Q35" s="66"/>
      <c r="R35" s="66"/>
      <c r="S35" s="66"/>
      <c r="T35" s="66"/>
    </row>
    <row r="36" spans="1:20" s="1" customFormat="1" ht="12.75">
      <c r="A36" s="509" t="s">
        <v>180</v>
      </c>
      <c r="B36" s="510"/>
      <c r="C36" s="69">
        <f>(C28+C30)*0.12</f>
        <v>0</v>
      </c>
      <c r="D36" s="69">
        <f>+D32-D34</f>
        <v>15461.717739999998</v>
      </c>
      <c r="E36" s="69">
        <f t="shared" ref="E36:O36" si="11">+E32-E34</f>
        <v>23192.576610000004</v>
      </c>
      <c r="F36" s="69">
        <f t="shared" si="11"/>
        <v>30923.435479999996</v>
      </c>
      <c r="G36" s="69">
        <f t="shared" si="11"/>
        <v>46385.153220000007</v>
      </c>
      <c r="H36" s="69">
        <f t="shared" si="11"/>
        <v>61846.870959999993</v>
      </c>
      <c r="I36" s="69">
        <f t="shared" si="11"/>
        <v>68867.82052168563</v>
      </c>
      <c r="J36" s="69">
        <f t="shared" si="11"/>
        <v>71677.861867004132</v>
      </c>
      <c r="K36" s="69">
        <f t="shared" si="11"/>
        <v>71677.861867004132</v>
      </c>
      <c r="L36" s="69">
        <f t="shared" si="11"/>
        <v>71677.861867004132</v>
      </c>
      <c r="M36" s="69">
        <f t="shared" si="11"/>
        <v>71677.861867004132</v>
      </c>
      <c r="N36" s="69">
        <f t="shared" si="11"/>
        <v>71677.861867004132</v>
      </c>
      <c r="O36" s="69">
        <f t="shared" si="11"/>
        <v>71677.861867004132</v>
      </c>
      <c r="P36" s="69">
        <f>+P32-P34</f>
        <v>676744.74573371047</v>
      </c>
      <c r="Q36" s="69">
        <f>+Q32-Q34</f>
        <v>948298.11250046443</v>
      </c>
      <c r="R36" s="69">
        <f>+R32-R34</f>
        <v>1045498.6690317624</v>
      </c>
      <c r="S36" s="69">
        <f>+S32-S34</f>
        <v>1152662.2826075181</v>
      </c>
      <c r="T36" s="69">
        <f>+T32-T34</f>
        <v>1270810.1665747887</v>
      </c>
    </row>
    <row r="37" spans="1:20" s="1" customFormat="1" ht="10.5">
      <c r="B37" s="64"/>
      <c r="C37" s="65"/>
      <c r="D37" s="65"/>
      <c r="E37" s="65"/>
      <c r="F37" s="65"/>
      <c r="G37" s="65"/>
      <c r="H37" s="65"/>
      <c r="I37" s="65"/>
      <c r="J37" s="65"/>
      <c r="K37" s="65"/>
      <c r="L37" s="65"/>
      <c r="M37" s="65"/>
      <c r="N37" s="65"/>
      <c r="O37" s="65"/>
      <c r="P37" s="66"/>
      <c r="Q37" s="66"/>
      <c r="R37" s="66"/>
      <c r="S37" s="66"/>
      <c r="T37" s="66"/>
    </row>
    <row r="38" spans="1:20" s="1" customFormat="1" ht="12.75">
      <c r="A38" s="509" t="s">
        <v>67</v>
      </c>
      <c r="B38" s="510"/>
      <c r="C38" s="69">
        <f>(C28+C30)*0.12</f>
        <v>0</v>
      </c>
      <c r="D38" s="69">
        <f>+D36*0.12</f>
        <v>1855.4061287999998</v>
      </c>
      <c r="E38" s="69">
        <f t="shared" ref="E38:R38" si="12">+E36*0.12</f>
        <v>2783.1091932000004</v>
      </c>
      <c r="F38" s="69">
        <f t="shared" si="12"/>
        <v>3710.8122575999996</v>
      </c>
      <c r="G38" s="69">
        <f t="shared" si="12"/>
        <v>5566.2183864000008</v>
      </c>
      <c r="H38" s="69">
        <f t="shared" si="12"/>
        <v>7421.6245151999992</v>
      </c>
      <c r="I38" s="69">
        <f t="shared" si="12"/>
        <v>8264.1384626022755</v>
      </c>
      <c r="J38" s="69">
        <f t="shared" si="12"/>
        <v>8601.3434240404949</v>
      </c>
      <c r="K38" s="69">
        <f t="shared" si="12"/>
        <v>8601.3434240404949</v>
      </c>
      <c r="L38" s="69">
        <f t="shared" si="12"/>
        <v>8601.3434240404949</v>
      </c>
      <c r="M38" s="69">
        <f t="shared" si="12"/>
        <v>8601.3434240404949</v>
      </c>
      <c r="N38" s="69">
        <f t="shared" si="12"/>
        <v>8601.3434240404949</v>
      </c>
      <c r="O38" s="69">
        <f t="shared" si="12"/>
        <v>8601.3434240404949</v>
      </c>
      <c r="P38" s="69">
        <f t="shared" si="12"/>
        <v>81209.369488045253</v>
      </c>
      <c r="Q38" s="69">
        <f t="shared" si="12"/>
        <v>113795.77350005573</v>
      </c>
      <c r="R38" s="69">
        <f t="shared" si="12"/>
        <v>125459.84028381149</v>
      </c>
      <c r="S38" s="69">
        <f>+S36*0.12</f>
        <v>138319.47391290218</v>
      </c>
      <c r="T38" s="69">
        <f>+T36*0.12</f>
        <v>152497.21998897466</v>
      </c>
    </row>
    <row r="39" spans="1:20" s="1" customFormat="1" ht="10.5">
      <c r="P39" s="66"/>
      <c r="Q39" s="66"/>
      <c r="R39" s="66"/>
      <c r="S39" s="66"/>
      <c r="T39" s="66"/>
    </row>
    <row r="40" spans="1:20" s="1" customFormat="1" ht="12.75">
      <c r="A40" s="507" t="s">
        <v>94</v>
      </c>
      <c r="B40" s="508"/>
      <c r="C40" s="67">
        <f>C32+C38</f>
        <v>0</v>
      </c>
      <c r="D40" s="67">
        <f>+D36+D38</f>
        <v>17317.123868799998</v>
      </c>
      <c r="E40" s="67">
        <f>+E36+E38</f>
        <v>25975.685803200005</v>
      </c>
      <c r="F40" s="67">
        <f t="shared" ref="F40:R40" si="13">+F36+F38</f>
        <v>34634.247737599995</v>
      </c>
      <c r="G40" s="67">
        <f t="shared" si="13"/>
        <v>51951.371606400011</v>
      </c>
      <c r="H40" s="67">
        <f t="shared" si="13"/>
        <v>69268.49547519999</v>
      </c>
      <c r="I40" s="67">
        <f t="shared" si="13"/>
        <v>77131.958984287907</v>
      </c>
      <c r="J40" s="67">
        <f t="shared" si="13"/>
        <v>80279.205291044622</v>
      </c>
      <c r="K40" s="67">
        <f t="shared" si="13"/>
        <v>80279.205291044622</v>
      </c>
      <c r="L40" s="67">
        <f t="shared" si="13"/>
        <v>80279.205291044622</v>
      </c>
      <c r="M40" s="67">
        <f t="shared" si="13"/>
        <v>80279.205291044622</v>
      </c>
      <c r="N40" s="67">
        <f t="shared" si="13"/>
        <v>80279.205291044622</v>
      </c>
      <c r="O40" s="67">
        <f t="shared" si="13"/>
        <v>80279.205291044622</v>
      </c>
      <c r="P40" s="67">
        <f t="shared" si="13"/>
        <v>757954.1152217557</v>
      </c>
      <c r="Q40" s="67">
        <f t="shared" si="13"/>
        <v>1062093.8860005201</v>
      </c>
      <c r="R40" s="67">
        <f t="shared" si="13"/>
        <v>1170958.5093155738</v>
      </c>
      <c r="S40" s="67">
        <f>+S36+S38</f>
        <v>1290981.7565204203</v>
      </c>
      <c r="T40" s="67">
        <f>+T36+T38</f>
        <v>1423307.3865637635</v>
      </c>
    </row>
    <row r="41" spans="1:20">
      <c r="P41" s="5"/>
      <c r="Q41" s="5"/>
      <c r="R41" s="5"/>
      <c r="S41" s="5"/>
      <c r="T41" s="5"/>
    </row>
    <row r="42" spans="1:20" ht="12" thickBot="1"/>
    <row r="43" spans="1:20" s="420" customFormat="1" ht="12" thickBot="1">
      <c r="A43" s="417" t="s">
        <v>284</v>
      </c>
      <c r="B43" s="418"/>
      <c r="C43" s="418"/>
      <c r="D43" s="418">
        <f>+D26*1.69</f>
        <v>8450</v>
      </c>
      <c r="E43" s="418">
        <f t="shared" ref="E43:T43" si="14">+E26*1.69</f>
        <v>12675</v>
      </c>
      <c r="F43" s="418">
        <f t="shared" si="14"/>
        <v>16900</v>
      </c>
      <c r="G43" s="418">
        <f t="shared" si="14"/>
        <v>25350</v>
      </c>
      <c r="H43" s="418">
        <f t="shared" si="14"/>
        <v>33800</v>
      </c>
      <c r="I43" s="418">
        <f t="shared" si="14"/>
        <v>37637.026700000002</v>
      </c>
      <c r="J43" s="418">
        <f t="shared" si="14"/>
        <v>37637.026700000002</v>
      </c>
      <c r="K43" s="418">
        <f t="shared" si="14"/>
        <v>37637.026700000002</v>
      </c>
      <c r="L43" s="418">
        <f t="shared" si="14"/>
        <v>37637.026700000002</v>
      </c>
      <c r="M43" s="418">
        <f t="shared" si="14"/>
        <v>37637.026700000002</v>
      </c>
      <c r="N43" s="418">
        <f t="shared" si="14"/>
        <v>37637.026700000002</v>
      </c>
      <c r="O43" s="418">
        <f t="shared" si="14"/>
        <v>37637.026700000002</v>
      </c>
      <c r="P43" s="418">
        <f t="shared" si="14"/>
        <v>360634.18689999991</v>
      </c>
      <c r="Q43" s="418">
        <f t="shared" si="14"/>
        <v>474226.5364199999</v>
      </c>
      <c r="R43" s="418">
        <f t="shared" si="14"/>
        <v>497937.86324099998</v>
      </c>
      <c r="S43" s="418">
        <f t="shared" si="14"/>
        <v>522834.75640305004</v>
      </c>
      <c r="T43" s="419">
        <f t="shared" si="14"/>
        <v>548976.49422320258</v>
      </c>
    </row>
    <row r="45" spans="1:20">
      <c r="E45" s="2">
        <f>+D45*0.66</f>
        <v>0</v>
      </c>
    </row>
    <row r="46" spans="1:20">
      <c r="D46" s="311"/>
    </row>
    <row r="50" spans="4:4">
      <c r="D50" s="312"/>
    </row>
  </sheetData>
  <mergeCells count="12">
    <mergeCell ref="A16:A18"/>
    <mergeCell ref="A22:A24"/>
    <mergeCell ref="A4:A6"/>
    <mergeCell ref="A10:A12"/>
    <mergeCell ref="A40:B40"/>
    <mergeCell ref="A38:B38"/>
    <mergeCell ref="A32:B32"/>
    <mergeCell ref="A28:B28"/>
    <mergeCell ref="A29:B29"/>
    <mergeCell ref="A30:B30"/>
    <mergeCell ref="A34:B34"/>
    <mergeCell ref="A36:B36"/>
  </mergeCells>
  <phoneticPr fontId="0" type="noConversion"/>
  <printOptions horizontalCentered="1" verticalCentered="1"/>
  <pageMargins left="0.19685039370078741" right="0.19685039370078741" top="0.31496062992125984" bottom="0.23622047244094491" header="0" footer="0"/>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Hoja11" enableFormatConditionsCalculation="0">
    <tabColor indexed="13"/>
  </sheetPr>
  <dimension ref="A1:R80"/>
  <sheetViews>
    <sheetView showGridLines="0" workbookViewId="0">
      <pane xSplit="1" ySplit="2" topLeftCell="B34" activePane="bottomRight" state="frozen"/>
      <selection pane="topRight" activeCell="B1" sqref="B1"/>
      <selection pane="bottomLeft" activeCell="A4" sqref="A4"/>
      <selection pane="bottomRight" activeCell="G44" sqref="G44"/>
    </sheetView>
  </sheetViews>
  <sheetFormatPr defaultColWidth="11.42578125" defaultRowHeight="10.5"/>
  <cols>
    <col min="1" max="1" width="21.7109375" style="1" customWidth="1"/>
    <col min="2" max="2" width="9.5703125" style="1" customWidth="1"/>
    <col min="3" max="3" width="9.28515625" style="1" customWidth="1"/>
    <col min="4" max="4" width="12.28515625" style="1" customWidth="1"/>
    <col min="5" max="13" width="9.28515625" style="1" customWidth="1"/>
    <col min="14" max="14" width="10.28515625" style="1" bestFit="1" customWidth="1"/>
    <col min="15" max="15" width="12" style="1" customWidth="1"/>
    <col min="16" max="16" width="12.28515625" style="1" customWidth="1"/>
    <col min="17" max="17" width="10.85546875" style="1" customWidth="1"/>
    <col min="18" max="18" width="10.28515625" style="1" customWidth="1"/>
    <col min="19" max="16384" width="11.42578125" style="1"/>
  </cols>
  <sheetData>
    <row r="1" spans="1:18" ht="18.75" thickBot="1">
      <c r="A1" s="22" t="s">
        <v>275</v>
      </c>
    </row>
    <row r="2" spans="1:18" ht="21">
      <c r="A2" s="55" t="s">
        <v>0</v>
      </c>
      <c r="B2" s="56" t="s">
        <v>25</v>
      </c>
      <c r="C2" s="56" t="s">
        <v>26</v>
      </c>
      <c r="D2" s="56" t="s">
        <v>27</v>
      </c>
      <c r="E2" s="56" t="s">
        <v>28</v>
      </c>
      <c r="F2" s="56" t="s">
        <v>29</v>
      </c>
      <c r="G2" s="56" t="s">
        <v>30</v>
      </c>
      <c r="H2" s="56" t="s">
        <v>31</v>
      </c>
      <c r="I2" s="56" t="s">
        <v>32</v>
      </c>
      <c r="J2" s="56" t="s">
        <v>33</v>
      </c>
      <c r="K2" s="56" t="s">
        <v>34</v>
      </c>
      <c r="L2" s="56" t="s">
        <v>35</v>
      </c>
      <c r="M2" s="246" t="s">
        <v>36</v>
      </c>
      <c r="N2" s="249" t="s">
        <v>134</v>
      </c>
      <c r="O2" s="125" t="s">
        <v>118</v>
      </c>
      <c r="P2" s="125" t="s">
        <v>120</v>
      </c>
      <c r="Q2" s="128" t="s">
        <v>215</v>
      </c>
      <c r="R2" s="128" t="s">
        <v>214</v>
      </c>
    </row>
    <row r="3" spans="1:18">
      <c r="A3" s="49" t="s">
        <v>22</v>
      </c>
      <c r="B3" s="50">
        <v>2000</v>
      </c>
      <c r="C3" s="50">
        <v>2000</v>
      </c>
      <c r="D3" s="50">
        <v>2000</v>
      </c>
      <c r="E3" s="50">
        <v>2000</v>
      </c>
      <c r="F3" s="50">
        <v>2000</v>
      </c>
      <c r="G3" s="50">
        <v>2000</v>
      </c>
      <c r="H3" s="50">
        <v>2000</v>
      </c>
      <c r="I3" s="50">
        <v>2000</v>
      </c>
      <c r="J3" s="50">
        <v>2000</v>
      </c>
      <c r="K3" s="50">
        <v>2000</v>
      </c>
      <c r="L3" s="50">
        <v>2000</v>
      </c>
      <c r="M3" s="247">
        <v>2000</v>
      </c>
      <c r="N3" s="192">
        <f t="shared" ref="N3:N9" si="0">SUM(B3:M3)</f>
        <v>24000</v>
      </c>
      <c r="O3" s="51">
        <f t="shared" ref="O3:R13" si="1">+N3*1.05</f>
        <v>25200</v>
      </c>
      <c r="P3" s="51">
        <f t="shared" si="1"/>
        <v>26460</v>
      </c>
      <c r="Q3" s="51">
        <f t="shared" si="1"/>
        <v>27783</v>
      </c>
      <c r="R3" s="51">
        <f t="shared" si="1"/>
        <v>29172.15</v>
      </c>
    </row>
    <row r="4" spans="1:18">
      <c r="A4" s="49" t="s">
        <v>23</v>
      </c>
      <c r="B4" s="50">
        <v>100</v>
      </c>
      <c r="C4" s="50">
        <f>+$B$4</f>
        <v>100</v>
      </c>
      <c r="D4" s="50">
        <f t="shared" ref="D4:M4" si="2">+$B$4</f>
        <v>100</v>
      </c>
      <c r="E4" s="50">
        <f t="shared" si="2"/>
        <v>100</v>
      </c>
      <c r="F4" s="50">
        <f t="shared" si="2"/>
        <v>100</v>
      </c>
      <c r="G4" s="50">
        <f t="shared" si="2"/>
        <v>100</v>
      </c>
      <c r="H4" s="50">
        <f t="shared" si="2"/>
        <v>100</v>
      </c>
      <c r="I4" s="50">
        <f t="shared" si="2"/>
        <v>100</v>
      </c>
      <c r="J4" s="50">
        <f t="shared" si="2"/>
        <v>100</v>
      </c>
      <c r="K4" s="50">
        <f t="shared" si="2"/>
        <v>100</v>
      </c>
      <c r="L4" s="50">
        <f t="shared" si="2"/>
        <v>100</v>
      </c>
      <c r="M4" s="247">
        <f t="shared" si="2"/>
        <v>100</v>
      </c>
      <c r="N4" s="192">
        <f t="shared" si="0"/>
        <v>1200</v>
      </c>
      <c r="O4" s="51">
        <f t="shared" si="1"/>
        <v>1260</v>
      </c>
      <c r="P4" s="51">
        <f t="shared" si="1"/>
        <v>1323</v>
      </c>
      <c r="Q4" s="51">
        <f t="shared" si="1"/>
        <v>1389.15</v>
      </c>
      <c r="R4" s="51">
        <f t="shared" si="1"/>
        <v>1458.6075000000001</v>
      </c>
    </row>
    <row r="5" spans="1:18">
      <c r="A5" s="49" t="s">
        <v>49</v>
      </c>
      <c r="B5" s="50">
        <v>600</v>
      </c>
      <c r="C5" s="50">
        <v>600</v>
      </c>
      <c r="D5" s="50">
        <v>600</v>
      </c>
      <c r="E5" s="50">
        <v>600</v>
      </c>
      <c r="F5" s="50">
        <v>600</v>
      </c>
      <c r="G5" s="50">
        <v>600</v>
      </c>
      <c r="H5" s="50">
        <v>600</v>
      </c>
      <c r="I5" s="50">
        <v>600</v>
      </c>
      <c r="J5" s="50">
        <v>600</v>
      </c>
      <c r="K5" s="50">
        <v>600</v>
      </c>
      <c r="L5" s="50">
        <v>600</v>
      </c>
      <c r="M5" s="50">
        <v>600</v>
      </c>
      <c r="N5" s="192">
        <f t="shared" si="0"/>
        <v>7200</v>
      </c>
      <c r="O5" s="51">
        <f t="shared" si="1"/>
        <v>7560</v>
      </c>
      <c r="P5" s="51">
        <f t="shared" si="1"/>
        <v>7938</v>
      </c>
      <c r="Q5" s="51">
        <f t="shared" si="1"/>
        <v>8334.9</v>
      </c>
      <c r="R5" s="51">
        <f t="shared" si="1"/>
        <v>8751.6450000000004</v>
      </c>
    </row>
    <row r="6" spans="1:18">
      <c r="A6" s="49" t="s">
        <v>50</v>
      </c>
      <c r="B6" s="50">
        <v>40</v>
      </c>
      <c r="C6" s="50">
        <v>40</v>
      </c>
      <c r="D6" s="50">
        <v>40</v>
      </c>
      <c r="E6" s="50">
        <v>40</v>
      </c>
      <c r="F6" s="50">
        <v>40</v>
      </c>
      <c r="G6" s="50">
        <v>40</v>
      </c>
      <c r="H6" s="50">
        <v>40</v>
      </c>
      <c r="I6" s="50">
        <v>40</v>
      </c>
      <c r="J6" s="50">
        <v>40</v>
      </c>
      <c r="K6" s="50">
        <v>40</v>
      </c>
      <c r="L6" s="50">
        <v>40</v>
      </c>
      <c r="M6" s="50">
        <v>40</v>
      </c>
      <c r="N6" s="192">
        <f t="shared" si="0"/>
        <v>480</v>
      </c>
      <c r="O6" s="51">
        <f t="shared" si="1"/>
        <v>504</v>
      </c>
      <c r="P6" s="51">
        <f t="shared" si="1"/>
        <v>529.20000000000005</v>
      </c>
      <c r="Q6" s="51">
        <f t="shared" si="1"/>
        <v>555.66000000000008</v>
      </c>
      <c r="R6" s="51">
        <f t="shared" si="1"/>
        <v>583.4430000000001</v>
      </c>
    </row>
    <row r="7" spans="1:18">
      <c r="A7" s="49" t="s">
        <v>59</v>
      </c>
      <c r="B7" s="50">
        <v>25</v>
      </c>
      <c r="C7" s="50">
        <v>25</v>
      </c>
      <c r="D7" s="50">
        <v>25</v>
      </c>
      <c r="E7" s="50">
        <v>25</v>
      </c>
      <c r="F7" s="50">
        <v>25</v>
      </c>
      <c r="G7" s="50">
        <v>25</v>
      </c>
      <c r="H7" s="50">
        <v>25</v>
      </c>
      <c r="I7" s="50">
        <v>25</v>
      </c>
      <c r="J7" s="50">
        <v>25</v>
      </c>
      <c r="K7" s="50">
        <v>25</v>
      </c>
      <c r="L7" s="50">
        <v>25</v>
      </c>
      <c r="M7" s="247">
        <v>25</v>
      </c>
      <c r="N7" s="192">
        <f t="shared" si="0"/>
        <v>300</v>
      </c>
      <c r="O7" s="51">
        <f t="shared" si="1"/>
        <v>315</v>
      </c>
      <c r="P7" s="51">
        <f t="shared" si="1"/>
        <v>330.75</v>
      </c>
      <c r="Q7" s="51">
        <f t="shared" si="1"/>
        <v>347.28750000000002</v>
      </c>
      <c r="R7" s="51">
        <f t="shared" si="1"/>
        <v>364.65187500000002</v>
      </c>
    </row>
    <row r="8" spans="1:18">
      <c r="A8" s="49" t="s">
        <v>51</v>
      </c>
      <c r="B8" s="50">
        <v>49</v>
      </c>
      <c r="C8" s="50">
        <v>49</v>
      </c>
      <c r="D8" s="50">
        <v>49</v>
      </c>
      <c r="E8" s="50">
        <v>49</v>
      </c>
      <c r="F8" s="50">
        <v>49</v>
      </c>
      <c r="G8" s="50">
        <v>49</v>
      </c>
      <c r="H8" s="50">
        <v>49</v>
      </c>
      <c r="I8" s="50">
        <v>49</v>
      </c>
      <c r="J8" s="50">
        <v>49</v>
      </c>
      <c r="K8" s="50">
        <v>49</v>
      </c>
      <c r="L8" s="50">
        <v>49</v>
      </c>
      <c r="M8" s="50">
        <v>49</v>
      </c>
      <c r="N8" s="192">
        <f t="shared" si="0"/>
        <v>588</v>
      </c>
      <c r="O8" s="51">
        <f t="shared" si="1"/>
        <v>617.4</v>
      </c>
      <c r="P8" s="51">
        <f t="shared" si="1"/>
        <v>648.27</v>
      </c>
      <c r="Q8" s="51">
        <f t="shared" si="1"/>
        <v>680.68349999999998</v>
      </c>
      <c r="R8" s="51">
        <f t="shared" si="1"/>
        <v>714.71767499999999</v>
      </c>
    </row>
    <row r="9" spans="1:18" hidden="1">
      <c r="A9" s="49" t="s">
        <v>209</v>
      </c>
      <c r="B9" s="50"/>
      <c r="C9" s="50"/>
      <c r="D9" s="50"/>
      <c r="E9" s="50"/>
      <c r="F9" s="50"/>
      <c r="G9" s="50"/>
      <c r="H9" s="50"/>
      <c r="I9" s="50"/>
      <c r="J9" s="50"/>
      <c r="K9" s="50"/>
      <c r="L9" s="50"/>
      <c r="M9" s="247"/>
      <c r="N9" s="192">
        <f t="shared" si="0"/>
        <v>0</v>
      </c>
      <c r="O9" s="51">
        <f t="shared" si="1"/>
        <v>0</v>
      </c>
      <c r="P9" s="51">
        <f t="shared" si="1"/>
        <v>0</v>
      </c>
      <c r="Q9" s="51">
        <f t="shared" si="1"/>
        <v>0</v>
      </c>
      <c r="R9" s="51">
        <f t="shared" si="1"/>
        <v>0</v>
      </c>
    </row>
    <row r="10" spans="1:18">
      <c r="A10" s="49" t="s">
        <v>52</v>
      </c>
      <c r="B10" s="50"/>
      <c r="C10" s="50"/>
      <c r="D10" s="50"/>
      <c r="E10" s="50"/>
      <c r="F10" s="50"/>
      <c r="G10" s="50"/>
      <c r="H10" s="50"/>
      <c r="I10" s="50"/>
      <c r="J10" s="50"/>
      <c r="K10" s="50"/>
      <c r="L10" s="50"/>
      <c r="M10" s="247"/>
      <c r="N10" s="192">
        <v>2000</v>
      </c>
      <c r="O10" s="51">
        <f t="shared" si="1"/>
        <v>2100</v>
      </c>
      <c r="P10" s="51">
        <f t="shared" si="1"/>
        <v>2205</v>
      </c>
      <c r="Q10" s="51">
        <f t="shared" si="1"/>
        <v>2315.25</v>
      </c>
      <c r="R10" s="51">
        <f t="shared" si="1"/>
        <v>2431.0125000000003</v>
      </c>
    </row>
    <row r="11" spans="1:18">
      <c r="A11" s="49" t="s">
        <v>53</v>
      </c>
      <c r="B11" s="50">
        <v>0</v>
      </c>
      <c r="C11" s="50">
        <v>0</v>
      </c>
      <c r="D11" s="50">
        <v>0</v>
      </c>
      <c r="E11" s="50">
        <v>0</v>
      </c>
      <c r="F11" s="50">
        <v>0</v>
      </c>
      <c r="G11" s="50">
        <v>0</v>
      </c>
      <c r="H11" s="50">
        <v>0</v>
      </c>
      <c r="I11" s="50">
        <v>0</v>
      </c>
      <c r="J11" s="50">
        <v>0</v>
      </c>
      <c r="K11" s="50">
        <v>0</v>
      </c>
      <c r="L11" s="50">
        <v>0</v>
      </c>
      <c r="M11" s="247">
        <v>0</v>
      </c>
      <c r="N11" s="192">
        <v>25</v>
      </c>
      <c r="O11" s="51">
        <f t="shared" si="1"/>
        <v>26.25</v>
      </c>
      <c r="P11" s="51">
        <f t="shared" si="1"/>
        <v>27.5625</v>
      </c>
      <c r="Q11" s="51">
        <f t="shared" si="1"/>
        <v>28.940625000000001</v>
      </c>
      <c r="R11" s="51">
        <f t="shared" si="1"/>
        <v>30.387656250000003</v>
      </c>
    </row>
    <row r="12" spans="1:18">
      <c r="A12" s="49" t="s">
        <v>54</v>
      </c>
      <c r="B12" s="50">
        <v>0</v>
      </c>
      <c r="C12" s="50">
        <v>0</v>
      </c>
      <c r="D12" s="50">
        <v>0</v>
      </c>
      <c r="E12" s="50">
        <v>0</v>
      </c>
      <c r="F12" s="50">
        <v>0</v>
      </c>
      <c r="G12" s="50">
        <v>0</v>
      </c>
      <c r="H12" s="50">
        <v>0</v>
      </c>
      <c r="I12" s="50">
        <v>0</v>
      </c>
      <c r="J12" s="50">
        <v>0</v>
      </c>
      <c r="K12" s="50">
        <v>0</v>
      </c>
      <c r="L12" s="50">
        <v>0</v>
      </c>
      <c r="M12" s="247">
        <v>0</v>
      </c>
      <c r="N12" s="192">
        <v>50</v>
      </c>
      <c r="O12" s="51">
        <f t="shared" si="1"/>
        <v>52.5</v>
      </c>
      <c r="P12" s="51">
        <f t="shared" si="1"/>
        <v>55.125</v>
      </c>
      <c r="Q12" s="51">
        <f t="shared" si="1"/>
        <v>57.881250000000001</v>
      </c>
      <c r="R12" s="51">
        <f t="shared" si="1"/>
        <v>60.775312500000005</v>
      </c>
    </row>
    <row r="13" spans="1:18">
      <c r="A13" s="49" t="s">
        <v>55</v>
      </c>
      <c r="B13" s="50">
        <v>0</v>
      </c>
      <c r="C13" s="50">
        <v>0</v>
      </c>
      <c r="D13" s="50">
        <v>0</v>
      </c>
      <c r="E13" s="50">
        <v>0</v>
      </c>
      <c r="F13" s="50">
        <v>0</v>
      </c>
      <c r="G13" s="50">
        <v>0</v>
      </c>
      <c r="H13" s="50">
        <v>0</v>
      </c>
      <c r="I13" s="50">
        <v>0</v>
      </c>
      <c r="J13" s="50">
        <v>0</v>
      </c>
      <c r="K13" s="50">
        <v>0</v>
      </c>
      <c r="L13" s="50">
        <v>0</v>
      </c>
      <c r="M13" s="247">
        <v>0</v>
      </c>
      <c r="N13" s="192">
        <v>100</v>
      </c>
      <c r="O13" s="51">
        <f t="shared" si="1"/>
        <v>105</v>
      </c>
      <c r="P13" s="51">
        <f t="shared" si="1"/>
        <v>110.25</v>
      </c>
      <c r="Q13" s="51">
        <f t="shared" si="1"/>
        <v>115.7625</v>
      </c>
      <c r="R13" s="51">
        <f t="shared" si="1"/>
        <v>121.55062500000001</v>
      </c>
    </row>
    <row r="14" spans="1:18" ht="21">
      <c r="A14" s="49" t="s">
        <v>56</v>
      </c>
      <c r="B14" s="50">
        <v>0</v>
      </c>
      <c r="C14" s="50">
        <v>0</v>
      </c>
      <c r="D14" s="50">
        <v>0</v>
      </c>
      <c r="E14" s="50">
        <v>0</v>
      </c>
      <c r="F14" s="50">
        <v>0</v>
      </c>
      <c r="G14" s="50">
        <v>0</v>
      </c>
      <c r="H14" s="50">
        <v>0</v>
      </c>
      <c r="I14" s="50">
        <v>0</v>
      </c>
      <c r="J14" s="50">
        <v>0</v>
      </c>
      <c r="K14" s="50">
        <v>0</v>
      </c>
      <c r="L14" s="50">
        <v>0</v>
      </c>
      <c r="M14" s="247">
        <v>0</v>
      </c>
      <c r="N14" s="192">
        <v>80</v>
      </c>
      <c r="O14" s="51">
        <f>+N14*1.05</f>
        <v>84</v>
      </c>
      <c r="P14" s="51">
        <f>+O14*1.05</f>
        <v>88.2</v>
      </c>
      <c r="Q14" s="51">
        <f>+P14*1.05</f>
        <v>92.610000000000014</v>
      </c>
      <c r="R14" s="51">
        <f>+Q14*1.05</f>
        <v>97.240500000000011</v>
      </c>
    </row>
    <row r="15" spans="1:18" ht="11.25" thickBot="1">
      <c r="A15" s="106" t="s">
        <v>37</v>
      </c>
      <c r="B15" s="107">
        <f t="shared" ref="B15:P15" si="3">SUM(B3:B14)</f>
        <v>2814</v>
      </c>
      <c r="C15" s="107">
        <f t="shared" si="3"/>
        <v>2814</v>
      </c>
      <c r="D15" s="107">
        <f t="shared" si="3"/>
        <v>2814</v>
      </c>
      <c r="E15" s="107">
        <f t="shared" si="3"/>
        <v>2814</v>
      </c>
      <c r="F15" s="107">
        <f t="shared" si="3"/>
        <v>2814</v>
      </c>
      <c r="G15" s="107">
        <f t="shared" si="3"/>
        <v>2814</v>
      </c>
      <c r="H15" s="107">
        <f t="shared" si="3"/>
        <v>2814</v>
      </c>
      <c r="I15" s="107">
        <f t="shared" si="3"/>
        <v>2814</v>
      </c>
      <c r="J15" s="107">
        <f t="shared" si="3"/>
        <v>2814</v>
      </c>
      <c r="K15" s="107">
        <f t="shared" si="3"/>
        <v>2814</v>
      </c>
      <c r="L15" s="107">
        <f t="shared" si="3"/>
        <v>2814</v>
      </c>
      <c r="M15" s="248">
        <f t="shared" si="3"/>
        <v>2814</v>
      </c>
      <c r="N15" s="250">
        <f t="shared" si="3"/>
        <v>36023</v>
      </c>
      <c r="O15" s="108">
        <f t="shared" si="3"/>
        <v>37824.15</v>
      </c>
      <c r="P15" s="108">
        <f t="shared" si="3"/>
        <v>39715.357499999991</v>
      </c>
      <c r="Q15" s="108">
        <f>SUM(Q3:Q14)</f>
        <v>41701.125375000003</v>
      </c>
      <c r="R15" s="108">
        <f>SUM(R3:R14)</f>
        <v>43786.181643750002</v>
      </c>
    </row>
    <row r="18" spans="1:18" ht="17.25" customHeight="1" thickBot="1">
      <c r="A18" s="22" t="s">
        <v>116</v>
      </c>
    </row>
    <row r="19" spans="1:18" s="58" customFormat="1" ht="21">
      <c r="A19" s="55" t="s">
        <v>0</v>
      </c>
      <c r="B19" s="56" t="s">
        <v>25</v>
      </c>
      <c r="C19" s="56" t="s">
        <v>26</v>
      </c>
      <c r="D19" s="56" t="s">
        <v>27</v>
      </c>
      <c r="E19" s="56" t="s">
        <v>28</v>
      </c>
      <c r="F19" s="56" t="s">
        <v>29</v>
      </c>
      <c r="G19" s="56" t="s">
        <v>30</v>
      </c>
      <c r="H19" s="56" t="s">
        <v>31</v>
      </c>
      <c r="I19" s="56" t="s">
        <v>32</v>
      </c>
      <c r="J19" s="56" t="s">
        <v>33</v>
      </c>
      <c r="K19" s="56" t="s">
        <v>34</v>
      </c>
      <c r="L19" s="56" t="s">
        <v>35</v>
      </c>
      <c r="M19" s="246" t="s">
        <v>36</v>
      </c>
      <c r="N19" s="249" t="s">
        <v>134</v>
      </c>
      <c r="O19" s="414" t="s">
        <v>118</v>
      </c>
      <c r="P19" s="125" t="s">
        <v>120</v>
      </c>
      <c r="Q19" s="128" t="s">
        <v>215</v>
      </c>
      <c r="R19" s="128" t="s">
        <v>214</v>
      </c>
    </row>
    <row r="20" spans="1:18">
      <c r="A20" s="49" t="s">
        <v>267</v>
      </c>
      <c r="B20" s="50">
        <f>+'Anexo - Presuesto de Ingresos'!D43*0.01</f>
        <v>84.5</v>
      </c>
      <c r="C20" s="50">
        <f>+'Anexo - Presuesto de Ingresos'!E43*0.01</f>
        <v>126.75</v>
      </c>
      <c r="D20" s="50">
        <f>+'Anexo - Presuesto de Ingresos'!F43*0.01</f>
        <v>169</v>
      </c>
      <c r="E20" s="50">
        <f>+'Anexo - Presuesto de Ingresos'!G43*0.01</f>
        <v>253.5</v>
      </c>
      <c r="F20" s="50">
        <f>+'Anexo - Presuesto de Ingresos'!H43*0.01</f>
        <v>338</v>
      </c>
      <c r="G20" s="50">
        <f>+'Anexo - Presuesto de Ingresos'!I43*0.01</f>
        <v>376.37026700000001</v>
      </c>
      <c r="H20" s="50">
        <f>+'Anexo - Presuesto de Ingresos'!J43*0.01</f>
        <v>376.37026700000001</v>
      </c>
      <c r="I20" s="50">
        <f>+'Anexo - Presuesto de Ingresos'!K43*0.01</f>
        <v>376.37026700000001</v>
      </c>
      <c r="J20" s="50">
        <f>+'Anexo - Presuesto de Ingresos'!L43*0.01</f>
        <v>376.37026700000001</v>
      </c>
      <c r="K20" s="50">
        <f>+'Anexo - Presuesto de Ingresos'!M43*0.01</f>
        <v>376.37026700000001</v>
      </c>
      <c r="L20" s="50">
        <f>+'Anexo - Presuesto de Ingresos'!N43*0.01</f>
        <v>376.37026700000001</v>
      </c>
      <c r="M20" s="247">
        <f>+'Anexo - Presuesto de Ingresos'!O43*0.01</f>
        <v>376.37026700000001</v>
      </c>
      <c r="N20" s="192">
        <f>SUM(B20:M20)</f>
        <v>3606.3418690000008</v>
      </c>
      <c r="O20" s="415">
        <f t="shared" ref="O20:R22" si="4">+N20*1.05</f>
        <v>3786.6589624500011</v>
      </c>
      <c r="P20" s="51">
        <f t="shared" si="4"/>
        <v>3975.9919105725012</v>
      </c>
      <c r="Q20" s="51">
        <f t="shared" si="4"/>
        <v>4174.7915061011263</v>
      </c>
      <c r="R20" s="51">
        <f t="shared" si="4"/>
        <v>4383.5310814061831</v>
      </c>
    </row>
    <row r="21" spans="1:18" ht="12.75" customHeight="1">
      <c r="A21" s="49" t="s">
        <v>273</v>
      </c>
      <c r="B21" s="50">
        <v>175</v>
      </c>
      <c r="C21" s="50">
        <v>262.5</v>
      </c>
      <c r="D21" s="50">
        <v>350</v>
      </c>
      <c r="E21" s="50">
        <v>525</v>
      </c>
      <c r="F21" s="50">
        <v>700</v>
      </c>
      <c r="G21" s="50">
        <v>779.46505000000013</v>
      </c>
      <c r="H21" s="50">
        <v>779.46505000000013</v>
      </c>
      <c r="I21" s="50">
        <v>779.46505000000013</v>
      </c>
      <c r="J21" s="50">
        <v>779.46505000000013</v>
      </c>
      <c r="K21" s="50">
        <v>779.46505000000013</v>
      </c>
      <c r="L21" s="50">
        <v>779.46505000000013</v>
      </c>
      <c r="M21" s="247">
        <v>779.46505000000013</v>
      </c>
      <c r="N21" s="192">
        <v>7468.7553499999995</v>
      </c>
      <c r="O21" s="415">
        <v>7842.1931175</v>
      </c>
      <c r="P21" s="51">
        <v>8234.3027733750005</v>
      </c>
      <c r="Q21" s="51">
        <v>8646.0179120437515</v>
      </c>
      <c r="R21" s="51">
        <v>9078.3188076459392</v>
      </c>
    </row>
    <row r="22" spans="1:18" s="105" customFormat="1">
      <c r="A22" s="102" t="s">
        <v>266</v>
      </c>
      <c r="B22" s="103">
        <f>+'Anexo - Presuesto de Ingresos'!D43*0.04</f>
        <v>338</v>
      </c>
      <c r="C22" s="103">
        <f>+'Anexo - Presuesto de Ingresos'!E43*0.04</f>
        <v>507</v>
      </c>
      <c r="D22" s="103">
        <f>+'Anexo - Presuesto de Ingresos'!F43*0.04</f>
        <v>676</v>
      </c>
      <c r="E22" s="103">
        <f>+'Anexo - Presuesto de Ingresos'!G43*0.04</f>
        <v>1014</v>
      </c>
      <c r="F22" s="103">
        <f>+'Anexo - Presuesto de Ingresos'!H43*0.04</f>
        <v>1352</v>
      </c>
      <c r="G22" s="103">
        <f>+'Anexo - Presuesto de Ingresos'!I43*0.04</f>
        <v>1505.4810680000001</v>
      </c>
      <c r="H22" s="103">
        <f>+'Anexo - Presuesto de Ingresos'!J43*0.04</f>
        <v>1505.4810680000001</v>
      </c>
      <c r="I22" s="103">
        <f>+'Anexo - Presuesto de Ingresos'!K43*0.04</f>
        <v>1505.4810680000001</v>
      </c>
      <c r="J22" s="103">
        <f>+'Anexo - Presuesto de Ingresos'!L43*0.04</f>
        <v>1505.4810680000001</v>
      </c>
      <c r="K22" s="103">
        <f>+'Anexo - Presuesto de Ingresos'!M43*0.04</f>
        <v>1505.4810680000001</v>
      </c>
      <c r="L22" s="103">
        <f>+'Anexo - Presuesto de Ingresos'!N43*0.04</f>
        <v>1505.4810680000001</v>
      </c>
      <c r="M22" s="413">
        <f>+'Anexo - Presuesto de Ingresos'!O43*0.04</f>
        <v>1505.4810680000001</v>
      </c>
      <c r="N22" s="251">
        <f>SUM(B22:M22)</f>
        <v>14425.367476000003</v>
      </c>
      <c r="O22" s="415">
        <f t="shared" si="4"/>
        <v>15146.635849800005</v>
      </c>
      <c r="P22" s="51">
        <f t="shared" si="4"/>
        <v>15903.967642290005</v>
      </c>
      <c r="Q22" s="51">
        <f t="shared" si="4"/>
        <v>16699.166024404505</v>
      </c>
      <c r="R22" s="51">
        <f t="shared" si="4"/>
        <v>17534.124325624733</v>
      </c>
    </row>
    <row r="23" spans="1:18" ht="11.25" thickBot="1">
      <c r="A23" s="106" t="s">
        <v>37</v>
      </c>
      <c r="B23" s="107">
        <f t="shared" ref="B23:P23" si="5">SUM(B20:B22)</f>
        <v>597.5</v>
      </c>
      <c r="C23" s="107">
        <f t="shared" si="5"/>
        <v>896.25</v>
      </c>
      <c r="D23" s="107">
        <f t="shared" si="5"/>
        <v>1195</v>
      </c>
      <c r="E23" s="107">
        <f t="shared" si="5"/>
        <v>1792.5</v>
      </c>
      <c r="F23" s="107">
        <f t="shared" si="5"/>
        <v>2390</v>
      </c>
      <c r="G23" s="107">
        <f t="shared" si="5"/>
        <v>2661.3163850000001</v>
      </c>
      <c r="H23" s="107">
        <f t="shared" si="5"/>
        <v>2661.3163850000001</v>
      </c>
      <c r="I23" s="107">
        <f t="shared" si="5"/>
        <v>2661.3163850000001</v>
      </c>
      <c r="J23" s="107">
        <f t="shared" si="5"/>
        <v>2661.3163850000001</v>
      </c>
      <c r="K23" s="107">
        <f t="shared" si="5"/>
        <v>2661.3163850000001</v>
      </c>
      <c r="L23" s="107">
        <f t="shared" si="5"/>
        <v>2661.3163850000001</v>
      </c>
      <c r="M23" s="248">
        <f t="shared" si="5"/>
        <v>2661.3163850000001</v>
      </c>
      <c r="N23" s="250">
        <f t="shared" si="5"/>
        <v>25500.464695000002</v>
      </c>
      <c r="O23" s="416">
        <f t="shared" si="5"/>
        <v>26775.487929750005</v>
      </c>
      <c r="P23" s="108">
        <f t="shared" si="5"/>
        <v>28114.262326237505</v>
      </c>
      <c r="Q23" s="108">
        <f>SUM(Q20:Q22)</f>
        <v>29519.975442549381</v>
      </c>
      <c r="R23" s="108">
        <f>SUM(R20:R22)</f>
        <v>30995.974214676855</v>
      </c>
    </row>
    <row r="24" spans="1:18" s="134" customFormat="1">
      <c r="A24" s="64"/>
      <c r="B24" s="133"/>
      <c r="C24" s="133"/>
      <c r="D24" s="133"/>
      <c r="E24" s="133"/>
      <c r="F24" s="133"/>
      <c r="G24" s="133"/>
      <c r="H24" s="133"/>
      <c r="I24" s="133"/>
      <c r="J24" s="133"/>
      <c r="K24" s="133"/>
      <c r="L24" s="133"/>
      <c r="M24" s="133"/>
      <c r="N24" s="133"/>
      <c r="O24" s="133"/>
      <c r="P24" s="133"/>
    </row>
    <row r="25" spans="1:18" ht="18">
      <c r="A25" s="22" t="s">
        <v>150</v>
      </c>
    </row>
    <row r="26" spans="1:18" ht="18">
      <c r="A26" s="22"/>
    </row>
    <row r="27" spans="1:18" ht="12.75">
      <c r="A27" s="7" t="s">
        <v>151</v>
      </c>
      <c r="B27" s="373">
        <f>+'Anexo - Flujo de Caja'!B6</f>
        <v>142621.37</v>
      </c>
      <c r="N27" s="373">
        <f>+B27</f>
        <v>142621.37</v>
      </c>
      <c r="P27" s="63"/>
    </row>
    <row r="28" spans="1:18" ht="12.75">
      <c r="A28" s="7" t="s">
        <v>152</v>
      </c>
      <c r="B28" s="135">
        <v>0.22</v>
      </c>
      <c r="N28" s="135">
        <v>0.22</v>
      </c>
    </row>
    <row r="29" spans="1:18" ht="12.75">
      <c r="A29" s="7" t="s">
        <v>153</v>
      </c>
      <c r="B29" s="136">
        <v>36</v>
      </c>
      <c r="C29" s="1" t="s">
        <v>154</v>
      </c>
      <c r="N29" s="136">
        <v>36</v>
      </c>
      <c r="O29" s="1" t="s">
        <v>154</v>
      </c>
    </row>
    <row r="30" spans="1:18" ht="13.5" thickBot="1">
      <c r="A30" s="7" t="s">
        <v>158</v>
      </c>
      <c r="B30" s="1" t="s">
        <v>159</v>
      </c>
      <c r="N30" s="1" t="s">
        <v>159</v>
      </c>
    </row>
    <row r="31" spans="1:18" s="58" customFormat="1" ht="21">
      <c r="A31" s="55" t="s">
        <v>0</v>
      </c>
      <c r="B31" s="56" t="s">
        <v>25</v>
      </c>
      <c r="C31" s="56" t="s">
        <v>26</v>
      </c>
      <c r="D31" s="56" t="s">
        <v>27</v>
      </c>
      <c r="E31" s="56" t="s">
        <v>28</v>
      </c>
      <c r="F31" s="56" t="s">
        <v>29</v>
      </c>
      <c r="G31" s="56" t="s">
        <v>30</v>
      </c>
      <c r="H31" s="56" t="s">
        <v>31</v>
      </c>
      <c r="I31" s="56" t="s">
        <v>32</v>
      </c>
      <c r="J31" s="56" t="s">
        <v>33</v>
      </c>
      <c r="K31" s="56" t="s">
        <v>34</v>
      </c>
      <c r="L31" s="56" t="s">
        <v>35</v>
      </c>
      <c r="M31" s="56" t="s">
        <v>36</v>
      </c>
      <c r="N31" s="125" t="s">
        <v>134</v>
      </c>
      <c r="O31" s="125" t="s">
        <v>118</v>
      </c>
      <c r="P31" s="125" t="s">
        <v>120</v>
      </c>
      <c r="Q31" s="128" t="s">
        <v>215</v>
      </c>
      <c r="R31" s="128" t="s">
        <v>214</v>
      </c>
    </row>
    <row r="32" spans="1:18">
      <c r="A32" s="49" t="s">
        <v>155</v>
      </c>
      <c r="B32" s="50">
        <f>+'Anexo4 - Amortización Prestamo'!G15</f>
        <v>3016.7836301143793</v>
      </c>
      <c r="C32" s="50">
        <f>+'Anexo4 - Amortización Prestamo'!G16</f>
        <v>3062.0353845660948</v>
      </c>
      <c r="D32" s="50">
        <f>+'Anexo4 - Amortización Prestamo'!G17</f>
        <v>3107.965915334586</v>
      </c>
      <c r="E32" s="50">
        <f>+'Anexo4 - Amortización Prestamo'!G18</f>
        <v>3154.5854040646054</v>
      </c>
      <c r="F32" s="50">
        <f>+'Anexo4 - Amortización Prestamo'!G19</f>
        <v>3201.9041851255743</v>
      </c>
      <c r="G32" s="50">
        <f>+'Anexo4 - Amortización Prestamo'!G20</f>
        <v>3249.9327479024578</v>
      </c>
      <c r="H32" s="50">
        <f>+'Anexo4 - Amortización Prestamo'!G21</f>
        <v>3298.6817391209943</v>
      </c>
      <c r="I32" s="50">
        <f>+'Anexo4 - Amortización Prestamo'!G22</f>
        <v>3348.1619652078098</v>
      </c>
      <c r="J32" s="50">
        <f>+'Anexo4 - Amortización Prestamo'!G23</f>
        <v>3398.3843946859261</v>
      </c>
      <c r="K32" s="50">
        <f>+'Anexo4 - Amortización Prestamo'!G24</f>
        <v>3449.3601606062157</v>
      </c>
      <c r="L32" s="50">
        <f>+'Anexo4 - Amortización Prestamo'!G25</f>
        <v>3501.1005630153086</v>
      </c>
      <c r="M32" s="50">
        <f>+'Anexo4 - Amortización Prestamo'!G26</f>
        <v>3553.6170714605387</v>
      </c>
      <c r="N32" s="51">
        <f>SUM(B32:M32)</f>
        <v>39342.513161204493</v>
      </c>
      <c r="O32" s="51">
        <f>+'Anexo4 - Amortización Prestamo'!G27+'Anexo4 - Amortización Prestamo'!G28+'Anexo4 - Amortización Prestamo'!G29+'Anexo4 - Amortización Prestamo'!G30+'Anexo4 - Amortización Prestamo'!G31+'Anexo4 - Amortización Prestamo'!G32+'Anexo4 - Amortización Prestamo'!G33+'Anexo4 - Amortización Prestamo'!G34+'Anexo4 - Amortización Prestamo'!G35+'Anexo4 - Amortización Prestamo'!G36+'Anexo4 - Amortización Prestamo'!G37+'Anexo4 - Amortización Prestamo'!G38</f>
        <v>47038.623646500695</v>
      </c>
      <c r="P32" s="51">
        <f>+'Anexo4 - Amortización Prestamo'!G39+'Anexo4 - Amortización Prestamo'!G40+'Anexo4 - Amortización Prestamo'!G41+'Anexo4 - Amortización Prestamo'!G42+'Anexo4 - Amortización Prestamo'!G43+'Anexo4 - Amortización Prestamo'!G44+'Anexo4 - Amortización Prestamo'!G45+'Anexo4 - Amortización Prestamo'!G46+'Anexo4 - Amortización Prestamo'!G47+'Anexo4 - Amortización Prestamo'!G48+'Anexo4 - Amortización Prestamo'!G49+'Anexo4 - Amortización Prestamo'!G50+18.88</f>
        <v>56182.914608352316</v>
      </c>
      <c r="Q32" s="51"/>
      <c r="R32" s="51"/>
    </row>
    <row r="33" spans="1:18" s="105" customFormat="1">
      <c r="A33" s="102" t="s">
        <v>156</v>
      </c>
      <c r="B33" s="103">
        <f>+'Anexo4 - Amortización Prestamo'!H15</f>
        <v>2139.3205499999999</v>
      </c>
      <c r="C33" s="103">
        <f>+'Anexo4 - Amortización Prestamo'!H16</f>
        <v>2094.0687955482845</v>
      </c>
      <c r="D33" s="103">
        <f>+'Anexo4 - Amortización Prestamo'!H17</f>
        <v>2048.1382647797932</v>
      </c>
      <c r="E33" s="103">
        <f>+'Anexo4 - Amortización Prestamo'!H18</f>
        <v>2001.518776049774</v>
      </c>
      <c r="F33" s="103">
        <f>+'Anexo4 - Amortización Prestamo'!H19</f>
        <v>1954.199994988805</v>
      </c>
      <c r="G33" s="103">
        <f>+'Anexo4 - Amortización Prestamo'!H20</f>
        <v>1906.1714322119215</v>
      </c>
      <c r="H33" s="103">
        <f>+'Anexo4 - Amortización Prestamo'!H21</f>
        <v>1857.4224409933847</v>
      </c>
      <c r="I33" s="103">
        <f>+'Anexo4 - Amortización Prestamo'!H22</f>
        <v>1807.9422149065697</v>
      </c>
      <c r="J33" s="103">
        <f>+'Anexo4 - Amortización Prestamo'!H23</f>
        <v>1757.719785428453</v>
      </c>
      <c r="K33" s="103">
        <f>+'Anexo4 - Amortización Prestamo'!H24</f>
        <v>1706.7440195081638</v>
      </c>
      <c r="L33" s="103">
        <f>+'Anexo4 - Amortización Prestamo'!H25</f>
        <v>1655.0036170990707</v>
      </c>
      <c r="M33" s="103">
        <f>+'Anexo4 - Amortización Prestamo'!H26</f>
        <v>1602.4871086538408</v>
      </c>
      <c r="N33" s="104">
        <f>SUM(B33:M33)</f>
        <v>22530.737000168061</v>
      </c>
      <c r="O33" s="51">
        <f>+'Anexo4 - Amortización Prestamo'!H27+'Anexo4 - Amortización Prestamo'!H28+'Anexo4 - Amortización Prestamo'!H29+'Anexo4 - Amortización Prestamo'!H30+'Anexo4 - Amortización Prestamo'!H31+'Anexo4 - Amortización Prestamo'!H32+'Anexo4 - Amortización Prestamo'!H33+'Anexo4 - Amortización Prestamo'!H34+'Anexo4 - Amortización Prestamo'!H35+'Anexo4 - Amortización Prestamo'!H36+'Anexo4 - Amortización Prestamo'!H37+'Anexo4 - Amortización Prestamo'!H38</f>
        <v>14834.626514871859</v>
      </c>
      <c r="P33" s="51">
        <f>+'Anexo4 - Amortización Prestamo'!H39+'Anexo4 - Amortización Prestamo'!H40+'Anexo4 - Amortización Prestamo'!H41+'Anexo4 - Amortización Prestamo'!H42+'Anexo4 - Amortización Prestamo'!H43+'Anexo4 - Amortización Prestamo'!H44+'Anexo4 - Amortización Prestamo'!H45+'Anexo4 - Amortización Prestamo'!H46+'Anexo4 - Amortización Prestamo'!H47+'Anexo4 - Amortización Prestamo'!H48+'Anexo4 - Amortización Prestamo'!H49+'Anexo4 - Amortización Prestamo'!H50</f>
        <v>5633.0169690760613</v>
      </c>
      <c r="Q33" s="51"/>
      <c r="R33" s="51"/>
    </row>
    <row r="34" spans="1:18" ht="11.25" thickBot="1">
      <c r="A34" s="106" t="s">
        <v>157</v>
      </c>
      <c r="B34" s="107">
        <f t="shared" ref="B34:P34" si="6">SUM(B32:B33)</f>
        <v>5156.1041801143792</v>
      </c>
      <c r="C34" s="107">
        <f t="shared" si="6"/>
        <v>5156.1041801143792</v>
      </c>
      <c r="D34" s="107">
        <f t="shared" si="6"/>
        <v>5156.1041801143792</v>
      </c>
      <c r="E34" s="107">
        <f t="shared" si="6"/>
        <v>5156.1041801143792</v>
      </c>
      <c r="F34" s="107">
        <f t="shared" si="6"/>
        <v>5156.1041801143792</v>
      </c>
      <c r="G34" s="107">
        <f t="shared" si="6"/>
        <v>5156.1041801143792</v>
      </c>
      <c r="H34" s="107">
        <f t="shared" si="6"/>
        <v>5156.1041801143792</v>
      </c>
      <c r="I34" s="107">
        <f t="shared" si="6"/>
        <v>5156.1041801143792</v>
      </c>
      <c r="J34" s="107">
        <f t="shared" si="6"/>
        <v>5156.1041801143792</v>
      </c>
      <c r="K34" s="107">
        <f t="shared" si="6"/>
        <v>5156.1041801143792</v>
      </c>
      <c r="L34" s="107">
        <f t="shared" si="6"/>
        <v>5156.1041801143792</v>
      </c>
      <c r="M34" s="107">
        <f t="shared" si="6"/>
        <v>5156.1041801143792</v>
      </c>
      <c r="N34" s="108">
        <f t="shared" si="6"/>
        <v>61873.250161372554</v>
      </c>
      <c r="O34" s="108">
        <f t="shared" si="6"/>
        <v>61873.250161372554</v>
      </c>
      <c r="P34" s="108">
        <f t="shared" si="6"/>
        <v>61815.931577428375</v>
      </c>
      <c r="Q34" s="108">
        <f>SUM(Q32:Q33)</f>
        <v>0</v>
      </c>
      <c r="R34" s="108">
        <f>SUM(R32:R33)</f>
        <v>0</v>
      </c>
    </row>
    <row r="36" spans="1:18" ht="18">
      <c r="A36" s="22" t="s">
        <v>117</v>
      </c>
    </row>
    <row r="37" spans="1:18" ht="11.25" thickBot="1">
      <c r="A37" s="64"/>
    </row>
    <row r="38" spans="1:18" s="58" customFormat="1" ht="21">
      <c r="A38" s="55" t="s">
        <v>0</v>
      </c>
      <c r="B38" s="56" t="s">
        <v>25</v>
      </c>
      <c r="C38" s="56" t="s">
        <v>26</v>
      </c>
      <c r="D38" s="56" t="s">
        <v>27</v>
      </c>
      <c r="E38" s="56" t="s">
        <v>28</v>
      </c>
      <c r="F38" s="56" t="s">
        <v>29</v>
      </c>
      <c r="G38" s="56" t="s">
        <v>30</v>
      </c>
      <c r="H38" s="56" t="s">
        <v>31</v>
      </c>
      <c r="I38" s="56" t="s">
        <v>32</v>
      </c>
      <c r="J38" s="56" t="s">
        <v>33</v>
      </c>
      <c r="K38" s="56" t="s">
        <v>34</v>
      </c>
      <c r="L38" s="56" t="s">
        <v>35</v>
      </c>
      <c r="M38" s="56" t="s">
        <v>36</v>
      </c>
      <c r="N38" s="125" t="s">
        <v>134</v>
      </c>
      <c r="O38" s="125" t="s">
        <v>118</v>
      </c>
      <c r="P38" s="125" t="s">
        <v>120</v>
      </c>
      <c r="Q38" s="128" t="s">
        <v>215</v>
      </c>
      <c r="R38" s="128" t="s">
        <v>214</v>
      </c>
    </row>
    <row r="39" spans="1:18">
      <c r="A39" s="49" t="s">
        <v>140</v>
      </c>
      <c r="B39" s="50">
        <f>+'Anexo - Estrategia Publicidad'!H10/12</f>
        <v>2633.3333333333335</v>
      </c>
      <c r="C39" s="50">
        <f>+$B$39</f>
        <v>2633.3333333333335</v>
      </c>
      <c r="D39" s="50">
        <f t="shared" ref="D39:M39" si="7">+$B$39</f>
        <v>2633.3333333333335</v>
      </c>
      <c r="E39" s="50">
        <f t="shared" si="7"/>
        <v>2633.3333333333335</v>
      </c>
      <c r="F39" s="50">
        <f t="shared" si="7"/>
        <v>2633.3333333333335</v>
      </c>
      <c r="G39" s="50">
        <f t="shared" si="7"/>
        <v>2633.3333333333335</v>
      </c>
      <c r="H39" s="50">
        <f t="shared" si="7"/>
        <v>2633.3333333333335</v>
      </c>
      <c r="I39" s="50">
        <f t="shared" si="7"/>
        <v>2633.3333333333335</v>
      </c>
      <c r="J39" s="50">
        <f t="shared" si="7"/>
        <v>2633.3333333333335</v>
      </c>
      <c r="K39" s="50">
        <f t="shared" si="7"/>
        <v>2633.3333333333335</v>
      </c>
      <c r="L39" s="50">
        <f t="shared" si="7"/>
        <v>2633.3333333333335</v>
      </c>
      <c r="M39" s="50">
        <f t="shared" si="7"/>
        <v>2633.3333333333335</v>
      </c>
      <c r="N39" s="51">
        <f>SUM(B39:M39)</f>
        <v>31599.999999999996</v>
      </c>
      <c r="O39" s="51">
        <f>+'Anexo - Estrategia Publicidad'!I10</f>
        <v>22600</v>
      </c>
      <c r="P39" s="51">
        <f>+'Anexo - Estrategia Publicidad'!J10</f>
        <v>22600</v>
      </c>
      <c r="Q39" s="51">
        <f>+'Anexo - Estrategia Publicidad'!K10</f>
        <v>20400</v>
      </c>
      <c r="R39" s="51">
        <f>+'Anexo - Estrategia Publicidad'!L10</f>
        <v>20400</v>
      </c>
    </row>
    <row r="40" spans="1:18">
      <c r="A40" s="49" t="s">
        <v>141</v>
      </c>
      <c r="B40" s="50">
        <f>+'Anexo - Estrategia Publicidad'!H20/12</f>
        <v>575</v>
      </c>
      <c r="C40" s="50">
        <f>+$B$40</f>
        <v>575</v>
      </c>
      <c r="D40" s="50">
        <f t="shared" ref="D40:M40" si="8">+$B$40</f>
        <v>575</v>
      </c>
      <c r="E40" s="50">
        <f t="shared" si="8"/>
        <v>575</v>
      </c>
      <c r="F40" s="50">
        <f t="shared" si="8"/>
        <v>575</v>
      </c>
      <c r="G40" s="50">
        <f t="shared" si="8"/>
        <v>575</v>
      </c>
      <c r="H40" s="50">
        <f t="shared" si="8"/>
        <v>575</v>
      </c>
      <c r="I40" s="50">
        <f t="shared" si="8"/>
        <v>575</v>
      </c>
      <c r="J40" s="50">
        <f t="shared" si="8"/>
        <v>575</v>
      </c>
      <c r="K40" s="50">
        <f t="shared" si="8"/>
        <v>575</v>
      </c>
      <c r="L40" s="50">
        <f t="shared" si="8"/>
        <v>575</v>
      </c>
      <c r="M40" s="50">
        <f t="shared" si="8"/>
        <v>575</v>
      </c>
      <c r="N40" s="51">
        <f>SUM(B40:M40)</f>
        <v>6900</v>
      </c>
      <c r="O40" s="51">
        <f>+'Anexo - Estrategia Publicidad'!I20</f>
        <v>7590</v>
      </c>
      <c r="P40" s="51">
        <f>+'Anexo - Estrategia Publicidad'!J20</f>
        <v>8349</v>
      </c>
      <c r="Q40" s="51">
        <f>+'Anexo - Estrategia Publicidad'!K20</f>
        <v>9183.9000000000015</v>
      </c>
      <c r="R40" s="51">
        <f>+'Anexo - Estrategia Publicidad'!L20</f>
        <v>10102.290000000001</v>
      </c>
    </row>
    <row r="41" spans="1:18">
      <c r="A41" s="49"/>
      <c r="B41" s="50"/>
      <c r="C41" s="50"/>
      <c r="D41" s="50"/>
      <c r="E41" s="50"/>
      <c r="F41" s="50"/>
      <c r="G41" s="50"/>
      <c r="H41" s="50"/>
      <c r="I41" s="50"/>
      <c r="J41" s="50"/>
      <c r="K41" s="50"/>
      <c r="L41" s="50"/>
      <c r="M41" s="50"/>
      <c r="N41" s="51">
        <f>SUM(B41:M41)</f>
        <v>0</v>
      </c>
      <c r="O41" s="51">
        <f>SUM(C41:N41)</f>
        <v>0</v>
      </c>
      <c r="P41" s="51">
        <f>SUM(D41:O41)</f>
        <v>0</v>
      </c>
      <c r="Q41" s="51">
        <f>SUM(E41:P41)</f>
        <v>0</v>
      </c>
      <c r="R41" s="51">
        <f>SUM(F41:Q41)</f>
        <v>0</v>
      </c>
    </row>
    <row r="42" spans="1:18" ht="11.25" thickBot="1">
      <c r="A42" s="106" t="s">
        <v>37</v>
      </c>
      <c r="B42" s="107">
        <f t="shared" ref="B42:P42" si="9">SUM(B39:B41)</f>
        <v>3208.3333333333335</v>
      </c>
      <c r="C42" s="107">
        <f t="shared" si="9"/>
        <v>3208.3333333333335</v>
      </c>
      <c r="D42" s="107">
        <f t="shared" si="9"/>
        <v>3208.3333333333335</v>
      </c>
      <c r="E42" s="107">
        <f t="shared" si="9"/>
        <v>3208.3333333333335</v>
      </c>
      <c r="F42" s="107">
        <f t="shared" si="9"/>
        <v>3208.3333333333335</v>
      </c>
      <c r="G42" s="107">
        <f t="shared" si="9"/>
        <v>3208.3333333333335</v>
      </c>
      <c r="H42" s="107">
        <f t="shared" si="9"/>
        <v>3208.3333333333335</v>
      </c>
      <c r="I42" s="107">
        <f t="shared" si="9"/>
        <v>3208.3333333333335</v>
      </c>
      <c r="J42" s="107">
        <f t="shared" si="9"/>
        <v>3208.3333333333335</v>
      </c>
      <c r="K42" s="107">
        <f t="shared" si="9"/>
        <v>3208.3333333333335</v>
      </c>
      <c r="L42" s="107">
        <f t="shared" si="9"/>
        <v>3208.3333333333335</v>
      </c>
      <c r="M42" s="107">
        <f t="shared" si="9"/>
        <v>3208.3333333333335</v>
      </c>
      <c r="N42" s="108">
        <f t="shared" si="9"/>
        <v>38500</v>
      </c>
      <c r="O42" s="108">
        <f t="shared" si="9"/>
        <v>30190</v>
      </c>
      <c r="P42" s="108">
        <f t="shared" si="9"/>
        <v>30949</v>
      </c>
      <c r="Q42" s="108">
        <f>SUM(Q39:Q41)</f>
        <v>29583.9</v>
      </c>
      <c r="R42" s="108">
        <f>SUM(R39:R41)</f>
        <v>30502.29</v>
      </c>
    </row>
    <row r="44" spans="1:18" ht="18">
      <c r="A44" s="22" t="s">
        <v>121</v>
      </c>
    </row>
    <row r="45" spans="1:18" ht="11.25" thickBot="1"/>
    <row r="46" spans="1:18" s="2" customFormat="1" ht="13.5" thickBot="1">
      <c r="A46" s="118" t="s">
        <v>121</v>
      </c>
      <c r="B46" s="116"/>
      <c r="C46" s="116"/>
      <c r="D46" s="117"/>
    </row>
    <row r="47" spans="1:18" s="2" customFormat="1" ht="12.75">
      <c r="A47" s="120" t="s">
        <v>131</v>
      </c>
      <c r="B47" s="121"/>
      <c r="C47" s="121"/>
      <c r="D47" s="122"/>
    </row>
    <row r="48" spans="1:18" ht="12.75">
      <c r="A48" s="123" t="s">
        <v>108</v>
      </c>
      <c r="B48" s="9"/>
      <c r="C48" s="10"/>
      <c r="D48" s="11">
        <v>448</v>
      </c>
    </row>
    <row r="49" spans="1:4" ht="12.75">
      <c r="A49" s="123" t="s">
        <v>109</v>
      </c>
      <c r="B49" s="9"/>
      <c r="C49" s="10"/>
      <c r="D49" s="11">
        <v>70</v>
      </c>
    </row>
    <row r="50" spans="1:4" ht="12.75">
      <c r="A50" s="123" t="s">
        <v>110</v>
      </c>
      <c r="B50" s="9"/>
      <c r="C50" s="10"/>
      <c r="D50" s="11">
        <v>0</v>
      </c>
    </row>
    <row r="51" spans="1:4" ht="12.75">
      <c r="A51" s="123" t="s">
        <v>272</v>
      </c>
      <c r="B51" s="12"/>
      <c r="C51" s="13"/>
      <c r="D51" s="14">
        <v>350</v>
      </c>
    </row>
    <row r="52" spans="1:4" ht="12.75">
      <c r="A52" s="123" t="s">
        <v>111</v>
      </c>
      <c r="B52" s="12"/>
      <c r="C52" s="13"/>
      <c r="D52" s="14">
        <v>0</v>
      </c>
    </row>
    <row r="53" spans="1:4" ht="12.75">
      <c r="A53" s="123" t="s">
        <v>112</v>
      </c>
      <c r="B53" s="12"/>
      <c r="C53" s="13"/>
      <c r="D53" s="14">
        <v>11.2</v>
      </c>
    </row>
    <row r="54" spans="1:4" ht="12.75">
      <c r="A54" s="123" t="s">
        <v>113</v>
      </c>
      <c r="B54" s="12"/>
      <c r="C54" s="13"/>
      <c r="D54" s="14">
        <v>0</v>
      </c>
    </row>
    <row r="55" spans="1:4" ht="12.75">
      <c r="A55" s="124" t="s">
        <v>114</v>
      </c>
      <c r="B55" s="15"/>
      <c r="C55" s="16"/>
      <c r="D55" s="17">
        <v>0</v>
      </c>
    </row>
    <row r="56" spans="1:4" ht="13.5" thickBot="1">
      <c r="A56" s="123" t="s">
        <v>129</v>
      </c>
      <c r="B56" s="12"/>
      <c r="C56" s="13"/>
      <c r="D56" s="14">
        <v>2000</v>
      </c>
    </row>
    <row r="57" spans="1:4" ht="13.5" thickBot="1">
      <c r="A57" s="18" t="s">
        <v>115</v>
      </c>
      <c r="B57" s="19"/>
      <c r="C57" s="20"/>
      <c r="D57" s="21">
        <f>SUM(D48:D56)</f>
        <v>2879.2</v>
      </c>
    </row>
    <row r="58" spans="1:4" ht="12" customHeight="1"/>
    <row r="59" spans="1:4" ht="12.75">
      <c r="A59" s="120" t="s">
        <v>130</v>
      </c>
      <c r="B59" s="121"/>
      <c r="C59" s="121"/>
      <c r="D59" s="122"/>
    </row>
    <row r="60" spans="1:4" ht="12.75">
      <c r="A60" s="123" t="s">
        <v>22</v>
      </c>
      <c r="B60" s="9"/>
      <c r="C60" s="10"/>
      <c r="D60" s="11">
        <v>2000</v>
      </c>
    </row>
    <row r="61" spans="1:4" ht="12.75">
      <c r="A61" s="123" t="s">
        <v>23</v>
      </c>
      <c r="B61" s="9"/>
      <c r="C61" s="10"/>
      <c r="D61" s="11">
        <v>100</v>
      </c>
    </row>
    <row r="62" spans="1:4" ht="12.75">
      <c r="A62" s="123" t="s">
        <v>49</v>
      </c>
      <c r="B62" s="9"/>
      <c r="C62" s="10"/>
      <c r="D62" s="11">
        <v>160</v>
      </c>
    </row>
    <row r="63" spans="1:4" ht="12.75">
      <c r="A63" s="123" t="s">
        <v>50</v>
      </c>
      <c r="B63" s="12"/>
      <c r="C63" s="13"/>
      <c r="D63" s="11">
        <v>40</v>
      </c>
    </row>
    <row r="64" spans="1:4" ht="12.75">
      <c r="A64" s="123" t="s">
        <v>59</v>
      </c>
      <c r="B64" s="12"/>
      <c r="C64" s="13"/>
      <c r="D64" s="11">
        <v>25</v>
      </c>
    </row>
    <row r="65" spans="1:15" ht="12.75">
      <c r="A65" s="123" t="s">
        <v>51</v>
      </c>
      <c r="B65" s="12"/>
      <c r="C65" s="13"/>
      <c r="D65" s="11">
        <v>49</v>
      </c>
    </row>
    <row r="66" spans="1:15" ht="12.75">
      <c r="A66" s="123" t="s">
        <v>133</v>
      </c>
      <c r="B66" s="15"/>
      <c r="C66" s="16"/>
      <c r="D66" s="11">
        <v>25</v>
      </c>
    </row>
    <row r="67" spans="1:15" ht="12.75">
      <c r="A67" s="123" t="s">
        <v>54</v>
      </c>
      <c r="B67" s="15"/>
      <c r="C67" s="16"/>
      <c r="D67" s="11">
        <v>20</v>
      </c>
    </row>
    <row r="68" spans="1:15" ht="12.75">
      <c r="A68" s="123" t="s">
        <v>55</v>
      </c>
      <c r="B68" s="15"/>
      <c r="C68" s="16"/>
      <c r="D68" s="11">
        <v>10</v>
      </c>
    </row>
    <row r="69" spans="1:15" ht="12.75">
      <c r="A69" s="123" t="s">
        <v>56</v>
      </c>
      <c r="B69" s="15"/>
      <c r="C69" s="16"/>
      <c r="D69" s="11">
        <v>80</v>
      </c>
    </row>
    <row r="70" spans="1:15" ht="13.5" thickBot="1">
      <c r="A70" s="124"/>
      <c r="B70" s="15"/>
      <c r="C70" s="16"/>
      <c r="D70" s="11"/>
    </row>
    <row r="71" spans="1:15" ht="13.5" thickBot="1">
      <c r="A71" s="18" t="s">
        <v>115</v>
      </c>
      <c r="B71" s="19"/>
      <c r="C71" s="20"/>
      <c r="D71" s="21">
        <f>SUM(D60:D70)</f>
        <v>2509</v>
      </c>
    </row>
    <row r="74" spans="1:15" ht="12.75">
      <c r="A74" s="120" t="s">
        <v>132</v>
      </c>
      <c r="B74" s="121"/>
      <c r="C74" s="121"/>
      <c r="D74" s="122"/>
    </row>
    <row r="75" spans="1:15" ht="12.75">
      <c r="A75" s="123" t="s">
        <v>22</v>
      </c>
      <c r="B75" s="9"/>
      <c r="C75" s="10"/>
      <c r="D75" s="11">
        <v>4000</v>
      </c>
    </row>
    <row r="80" spans="1:15" ht="15.75">
      <c r="O80" s="412"/>
    </row>
  </sheetData>
  <phoneticPr fontId="0" type="noConversion"/>
  <printOptions horizontalCentered="1" verticalCentered="1"/>
  <pageMargins left="0.27559055118110237" right="0.23622047244094491" top="0.31496062992125984" bottom="0.98425196850393704" header="0" footer="0"/>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Hoja12" enableFormatConditionsCalculation="0">
    <tabColor indexed="34"/>
  </sheetPr>
  <dimension ref="A1:L50"/>
  <sheetViews>
    <sheetView showGridLines="0" workbookViewId="0">
      <selection activeCell="J22" sqref="J22"/>
    </sheetView>
  </sheetViews>
  <sheetFormatPr defaultColWidth="11.42578125" defaultRowHeight="11.25"/>
  <cols>
    <col min="1" max="1" width="43.5703125" style="2" customWidth="1"/>
    <col min="2" max="2" width="27.85546875" style="2" customWidth="1"/>
    <col min="3" max="3" width="10" style="2" customWidth="1"/>
    <col min="4" max="4" width="8.85546875" style="2" customWidth="1"/>
    <col min="5" max="5" width="5.28515625" style="2" customWidth="1"/>
    <col min="6" max="6" width="5.42578125" style="2" bestFit="1" customWidth="1"/>
    <col min="7" max="7" width="6.85546875" style="2" customWidth="1"/>
    <col min="8" max="8" width="12" style="2" customWidth="1"/>
    <col min="9" max="9" width="12.140625" style="2" customWidth="1"/>
    <col min="10" max="10" width="11.85546875" style="2" customWidth="1"/>
    <col min="11" max="11" width="10.7109375" style="2" customWidth="1"/>
    <col min="12" max="12" width="10.5703125" style="2" customWidth="1"/>
    <col min="13" max="16384" width="11.42578125" style="2"/>
  </cols>
  <sheetData>
    <row r="1" spans="1:12" ht="18">
      <c r="A1" s="22" t="s">
        <v>276</v>
      </c>
    </row>
    <row r="2" spans="1:12" s="1" customFormat="1" ht="10.5"/>
    <row r="3" spans="1:12" s="1" customFormat="1" ht="12" thickBot="1">
      <c r="A3" s="516"/>
      <c r="B3" s="517"/>
      <c r="C3" s="517"/>
      <c r="D3" s="518"/>
      <c r="E3" s="515" t="s">
        <v>103</v>
      </c>
      <c r="F3" s="515"/>
      <c r="G3" s="515"/>
      <c r="H3" s="515" t="s">
        <v>105</v>
      </c>
      <c r="I3" s="515"/>
      <c r="J3" s="515"/>
    </row>
    <row r="4" spans="1:12" s="1" customFormat="1" ht="21.75" thickBot="1">
      <c r="A4" s="428"/>
      <c r="B4" s="429" t="s">
        <v>98</v>
      </c>
      <c r="C4" s="430" t="s">
        <v>99</v>
      </c>
      <c r="D4" s="430" t="s">
        <v>100</v>
      </c>
      <c r="E4" s="430" t="s">
        <v>64</v>
      </c>
      <c r="F4" s="430" t="s">
        <v>104</v>
      </c>
      <c r="G4" s="430" t="s">
        <v>66</v>
      </c>
      <c r="H4" s="431" t="s">
        <v>64</v>
      </c>
      <c r="I4" s="432" t="s">
        <v>104</v>
      </c>
      <c r="J4" s="432" t="s">
        <v>138</v>
      </c>
      <c r="K4" s="432" t="s">
        <v>218</v>
      </c>
      <c r="L4" s="433" t="s">
        <v>219</v>
      </c>
    </row>
    <row r="5" spans="1:12" s="1" customFormat="1">
      <c r="A5" s="521" t="s">
        <v>89</v>
      </c>
      <c r="B5" s="522"/>
      <c r="C5" s="522"/>
      <c r="D5" s="522"/>
      <c r="E5" s="522"/>
      <c r="F5" s="522"/>
      <c r="G5" s="522"/>
      <c r="H5" s="522"/>
      <c r="I5" s="522"/>
      <c r="J5" s="522"/>
      <c r="K5" s="434"/>
      <c r="L5" s="435"/>
    </row>
    <row r="6" spans="1:12" s="1" customFormat="1" ht="10.5">
      <c r="A6" s="519" t="s">
        <v>90</v>
      </c>
      <c r="B6" s="109" t="s">
        <v>95</v>
      </c>
      <c r="C6" s="436">
        <v>900</v>
      </c>
      <c r="D6" s="437" t="s">
        <v>101</v>
      </c>
      <c r="E6" s="109">
        <v>12</v>
      </c>
      <c r="F6" s="109">
        <v>7</v>
      </c>
      <c r="G6" s="109">
        <v>7</v>
      </c>
      <c r="H6" s="436">
        <f>C6*E6</f>
        <v>10800</v>
      </c>
      <c r="I6" s="436">
        <f>+C6*F6</f>
        <v>6300</v>
      </c>
      <c r="J6" s="436">
        <f>C6*F6</f>
        <v>6300</v>
      </c>
      <c r="K6" s="436">
        <v>5600</v>
      </c>
      <c r="L6" s="438">
        <v>5600</v>
      </c>
    </row>
    <row r="7" spans="1:12" s="1" customFormat="1" ht="10.5">
      <c r="A7" s="520"/>
      <c r="B7" s="109" t="s">
        <v>96</v>
      </c>
      <c r="C7" s="436">
        <v>400</v>
      </c>
      <c r="D7" s="437" t="s">
        <v>102</v>
      </c>
      <c r="E7" s="109">
        <v>12</v>
      </c>
      <c r="F7" s="109">
        <v>12</v>
      </c>
      <c r="G7" s="109">
        <v>12</v>
      </c>
      <c r="H7" s="436">
        <f>C7*E7</f>
        <v>4800</v>
      </c>
      <c r="I7" s="436">
        <f>+C7*F7</f>
        <v>4800</v>
      </c>
      <c r="J7" s="436">
        <f>C7*F7</f>
        <v>4800</v>
      </c>
      <c r="K7" s="436">
        <v>3600</v>
      </c>
      <c r="L7" s="438">
        <v>3600</v>
      </c>
    </row>
    <row r="8" spans="1:12" s="1" customFormat="1" ht="10.5">
      <c r="A8" s="520"/>
      <c r="B8" s="109" t="s">
        <v>97</v>
      </c>
      <c r="C8" s="436">
        <v>500</v>
      </c>
      <c r="D8" s="437" t="s">
        <v>101</v>
      </c>
      <c r="E8" s="109">
        <v>12</v>
      </c>
      <c r="F8" s="109">
        <v>3</v>
      </c>
      <c r="G8" s="109">
        <v>3</v>
      </c>
      <c r="H8" s="436">
        <f>C8*E8</f>
        <v>6000</v>
      </c>
      <c r="I8" s="436">
        <f>+C8*F8</f>
        <v>1500</v>
      </c>
      <c r="J8" s="436">
        <f>C8*F8</f>
        <v>1500</v>
      </c>
      <c r="K8" s="436">
        <v>1200</v>
      </c>
      <c r="L8" s="438">
        <v>1200</v>
      </c>
    </row>
    <row r="9" spans="1:12" s="1" customFormat="1" thickBot="1">
      <c r="A9" s="439" t="s">
        <v>135</v>
      </c>
      <c r="B9" s="440" t="s">
        <v>136</v>
      </c>
      <c r="C9" s="440"/>
      <c r="D9" s="440"/>
      <c r="E9" s="440"/>
      <c r="F9" s="440"/>
      <c r="G9" s="440"/>
      <c r="H9" s="440">
        <v>10000</v>
      </c>
      <c r="I9" s="440">
        <v>10000</v>
      </c>
      <c r="J9" s="440">
        <v>10000</v>
      </c>
      <c r="K9" s="440">
        <v>10000</v>
      </c>
      <c r="L9" s="441">
        <v>10000</v>
      </c>
    </row>
    <row r="10" spans="1:12" s="1" customFormat="1" ht="10.5">
      <c r="A10" s="442"/>
      <c r="B10" s="443"/>
      <c r="C10" s="444"/>
      <c r="D10" s="443"/>
      <c r="E10" s="443"/>
      <c r="F10" s="443"/>
      <c r="G10" s="443"/>
      <c r="H10" s="444">
        <f>SUM(H6:H9)</f>
        <v>31600</v>
      </c>
      <c r="I10" s="444">
        <f>SUM(I6:I9)</f>
        <v>22600</v>
      </c>
      <c r="J10" s="444">
        <f>SUM(J6:J9)</f>
        <v>22600</v>
      </c>
      <c r="K10" s="444">
        <v>20400</v>
      </c>
      <c r="L10" s="445">
        <v>20400</v>
      </c>
    </row>
    <row r="11" spans="1:12" s="6" customFormat="1" ht="10.5">
      <c r="A11" s="446"/>
      <c r="C11" s="447"/>
      <c r="H11" s="447"/>
      <c r="I11" s="447"/>
      <c r="J11" s="447"/>
      <c r="L11" s="448"/>
    </row>
    <row r="12" spans="1:12" s="1" customFormat="1" ht="12.75" customHeight="1">
      <c r="A12" s="446"/>
      <c r="B12" s="6"/>
      <c r="C12" s="447"/>
      <c r="D12" s="6"/>
      <c r="E12" s="6"/>
      <c r="F12" s="6"/>
      <c r="G12" s="6"/>
      <c r="H12" s="529" t="s">
        <v>105</v>
      </c>
      <c r="I12" s="530"/>
      <c r="J12" s="530"/>
      <c r="K12" s="530"/>
      <c r="L12" s="531"/>
    </row>
    <row r="13" spans="1:12" s="1" customFormat="1" ht="10.5">
      <c r="A13" s="442"/>
      <c r="B13" s="443"/>
      <c r="C13" s="444"/>
      <c r="D13" s="443"/>
      <c r="E13" s="443"/>
      <c r="F13" s="443"/>
      <c r="G13" s="443"/>
      <c r="H13" s="449" t="s">
        <v>64</v>
      </c>
      <c r="I13" s="450" t="s">
        <v>139</v>
      </c>
      <c r="J13" s="451" t="s">
        <v>66</v>
      </c>
      <c r="K13" s="451" t="s">
        <v>218</v>
      </c>
      <c r="L13" s="452" t="s">
        <v>219</v>
      </c>
    </row>
    <row r="14" spans="1:12" s="1" customFormat="1" ht="12.75" customHeight="1">
      <c r="A14" s="532" t="s">
        <v>91</v>
      </c>
      <c r="B14" s="533"/>
      <c r="C14" s="533"/>
      <c r="D14" s="533"/>
      <c r="E14" s="533"/>
      <c r="F14" s="533"/>
      <c r="G14" s="533"/>
      <c r="H14" s="533"/>
      <c r="I14" s="533"/>
      <c r="J14" s="533"/>
      <c r="K14" s="533"/>
      <c r="L14" s="534"/>
    </row>
    <row r="15" spans="1:12" s="1" customFormat="1">
      <c r="A15" s="535" t="s">
        <v>269</v>
      </c>
      <c r="B15" s="536"/>
      <c r="C15" s="536"/>
      <c r="D15" s="536"/>
      <c r="E15" s="536"/>
      <c r="F15" s="536"/>
      <c r="G15" s="537"/>
      <c r="H15" s="436">
        <v>500</v>
      </c>
      <c r="I15" s="436">
        <f>+H15*1.1</f>
        <v>550</v>
      </c>
      <c r="J15" s="436">
        <f>+I15*1.1</f>
        <v>605</v>
      </c>
      <c r="K15" s="436">
        <f>+J15*1.1</f>
        <v>665.5</v>
      </c>
      <c r="L15" s="438">
        <f>+K15*1.1</f>
        <v>732.05000000000007</v>
      </c>
    </row>
    <row r="16" spans="1:12" s="1" customFormat="1">
      <c r="A16" s="535" t="s">
        <v>92</v>
      </c>
      <c r="B16" s="536"/>
      <c r="C16" s="536"/>
      <c r="D16" s="536"/>
      <c r="E16" s="536"/>
      <c r="F16" s="536"/>
      <c r="G16" s="537"/>
      <c r="H16" s="436">
        <v>1200</v>
      </c>
      <c r="I16" s="436">
        <f t="shared" ref="I16:J19" si="0">+H16*1.1</f>
        <v>1320</v>
      </c>
      <c r="J16" s="436">
        <f t="shared" si="0"/>
        <v>1452.0000000000002</v>
      </c>
      <c r="K16" s="436">
        <f t="shared" ref="K16:L19" si="1">+J16*1.1</f>
        <v>1597.2000000000003</v>
      </c>
      <c r="L16" s="438">
        <f t="shared" si="1"/>
        <v>1756.9200000000005</v>
      </c>
    </row>
    <row r="17" spans="1:12" s="1" customFormat="1">
      <c r="A17" s="535" t="s">
        <v>93</v>
      </c>
      <c r="B17" s="536"/>
      <c r="C17" s="536"/>
      <c r="D17" s="536"/>
      <c r="E17" s="536"/>
      <c r="F17" s="536"/>
      <c r="G17" s="537"/>
      <c r="H17" s="436">
        <v>2000</v>
      </c>
      <c r="I17" s="436">
        <f t="shared" si="0"/>
        <v>2200</v>
      </c>
      <c r="J17" s="436">
        <f t="shared" si="0"/>
        <v>2420</v>
      </c>
      <c r="K17" s="436">
        <f t="shared" si="1"/>
        <v>2662</v>
      </c>
      <c r="L17" s="438">
        <f t="shared" si="1"/>
        <v>2928.2000000000003</v>
      </c>
    </row>
    <row r="18" spans="1:12" s="1" customFormat="1">
      <c r="A18" s="535" t="s">
        <v>137</v>
      </c>
      <c r="B18" s="536"/>
      <c r="C18" s="536"/>
      <c r="D18" s="536"/>
      <c r="E18" s="536"/>
      <c r="F18" s="536"/>
      <c r="G18" s="537"/>
      <c r="H18" s="436">
        <v>2000</v>
      </c>
      <c r="I18" s="436">
        <f t="shared" si="0"/>
        <v>2200</v>
      </c>
      <c r="J18" s="436">
        <f t="shared" si="0"/>
        <v>2420</v>
      </c>
      <c r="K18" s="436">
        <f t="shared" si="1"/>
        <v>2662</v>
      </c>
      <c r="L18" s="438">
        <f t="shared" si="1"/>
        <v>2928.2000000000003</v>
      </c>
    </row>
    <row r="19" spans="1:12" s="1" customFormat="1" ht="12" thickBot="1">
      <c r="A19" s="523" t="s">
        <v>270</v>
      </c>
      <c r="B19" s="524"/>
      <c r="C19" s="524"/>
      <c r="D19" s="524"/>
      <c r="E19" s="524"/>
      <c r="F19" s="524"/>
      <c r="G19" s="525"/>
      <c r="H19" s="440">
        <v>1200</v>
      </c>
      <c r="I19" s="440">
        <f t="shared" si="0"/>
        <v>1320</v>
      </c>
      <c r="J19" s="440">
        <f t="shared" si="0"/>
        <v>1452.0000000000002</v>
      </c>
      <c r="K19" s="440">
        <f t="shared" si="1"/>
        <v>1597.2000000000003</v>
      </c>
      <c r="L19" s="441">
        <f t="shared" si="1"/>
        <v>1756.9200000000005</v>
      </c>
    </row>
    <row r="20" spans="1:12" s="6" customFormat="1" ht="12" thickBot="1">
      <c r="A20" s="453"/>
      <c r="B20" s="454"/>
      <c r="C20" s="454"/>
      <c r="D20" s="454"/>
      <c r="E20" s="454"/>
      <c r="F20" s="454"/>
      <c r="G20" s="454"/>
      <c r="H20" s="455">
        <f>SUM(H15:H19)</f>
        <v>6900</v>
      </c>
      <c r="I20" s="455">
        <f>SUM(I15:I19)</f>
        <v>7590</v>
      </c>
      <c r="J20" s="455">
        <f>SUM(J15:J19)</f>
        <v>8349</v>
      </c>
      <c r="K20" s="455">
        <f>SUM(K15:K19)</f>
        <v>9183.9000000000015</v>
      </c>
      <c r="L20" s="456">
        <f>SUM(L15:L19)</f>
        <v>10102.290000000001</v>
      </c>
    </row>
    <row r="21" spans="1:12" s="6" customFormat="1" ht="12" thickBot="1">
      <c r="A21" s="426"/>
      <c r="B21" s="427"/>
      <c r="C21" s="427"/>
      <c r="D21" s="427"/>
      <c r="E21" s="427"/>
      <c r="F21" s="427"/>
      <c r="G21" s="427"/>
      <c r="H21" s="447"/>
      <c r="I21" s="447"/>
      <c r="J21" s="447"/>
    </row>
    <row r="22" spans="1:12" s="78" customFormat="1" ht="12" thickBot="1">
      <c r="A22" s="526" t="s">
        <v>94</v>
      </c>
      <c r="B22" s="527"/>
      <c r="C22" s="527"/>
      <c r="D22" s="527"/>
      <c r="E22" s="527"/>
      <c r="F22" s="527"/>
      <c r="G22" s="528"/>
      <c r="H22" s="457">
        <f>+H10+H20</f>
        <v>38500</v>
      </c>
      <c r="I22" s="457">
        <f>+I10+I20</f>
        <v>30190</v>
      </c>
      <c r="J22" s="457">
        <f>+J10+J20</f>
        <v>30949</v>
      </c>
    </row>
    <row r="50" spans="2:2" ht="18">
      <c r="B50" s="22"/>
    </row>
  </sheetData>
  <mergeCells count="13">
    <mergeCell ref="A22:G22"/>
    <mergeCell ref="H12:L12"/>
    <mergeCell ref="A14:L14"/>
    <mergeCell ref="A15:G15"/>
    <mergeCell ref="A16:G16"/>
    <mergeCell ref="A17:G17"/>
    <mergeCell ref="A18:G18"/>
    <mergeCell ref="E3:G3"/>
    <mergeCell ref="H3:J3"/>
    <mergeCell ref="A3:D3"/>
    <mergeCell ref="A6:A8"/>
    <mergeCell ref="A5:J5"/>
    <mergeCell ref="A19:G19"/>
  </mergeCells>
  <phoneticPr fontId="6" type="noConversion"/>
  <pageMargins left="0.2" right="0.26" top="0.35" bottom="0.33" header="0" footer="0"/>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Hoja14" enableFormatConditionsCalculation="0">
    <tabColor indexed="34"/>
  </sheetPr>
  <dimension ref="A1:S31"/>
  <sheetViews>
    <sheetView showGridLines="0" zoomScale="120" workbookViewId="0">
      <pane xSplit="1" ySplit="3" topLeftCell="B4" activePane="bottomRight" state="frozen"/>
      <selection pane="topRight" activeCell="B1" sqref="B1"/>
      <selection pane="bottomLeft" activeCell="A4" sqref="A4"/>
      <selection pane="bottomRight" activeCell="C8" sqref="C8"/>
    </sheetView>
  </sheetViews>
  <sheetFormatPr defaultColWidth="11.42578125" defaultRowHeight="10.5"/>
  <cols>
    <col min="1" max="1" width="30.28515625" style="1" bestFit="1" customWidth="1"/>
    <col min="2" max="4" width="9.85546875" style="1" customWidth="1"/>
    <col min="5" max="12" width="9.5703125" style="1" customWidth="1"/>
    <col min="13" max="13" width="9" style="1" customWidth="1"/>
    <col min="14" max="14" width="8.85546875" style="1" customWidth="1"/>
    <col min="15" max="15" width="9.5703125" style="1" bestFit="1" customWidth="1"/>
    <col min="16" max="16" width="9.85546875" style="1" bestFit="1" customWidth="1"/>
    <col min="17" max="19" width="10.85546875" style="1" bestFit="1" customWidth="1"/>
    <col min="20" max="16384" width="11.42578125" style="1"/>
  </cols>
  <sheetData>
    <row r="1" spans="1:19" ht="18">
      <c r="A1" s="22" t="s">
        <v>277</v>
      </c>
    </row>
    <row r="2" spans="1:19" ht="12" thickBot="1">
      <c r="A2" s="354"/>
      <c r="B2" s="355"/>
      <c r="C2" s="355"/>
      <c r="D2" s="355"/>
      <c r="E2" s="355"/>
      <c r="F2" s="355"/>
      <c r="G2" s="355"/>
      <c r="H2" s="355"/>
      <c r="I2" s="355"/>
      <c r="J2" s="355"/>
      <c r="K2" s="355"/>
      <c r="L2" s="355"/>
      <c r="M2" s="355"/>
      <c r="N2" s="355"/>
      <c r="O2" s="355"/>
      <c r="P2" s="355"/>
      <c r="Q2" s="355"/>
      <c r="R2" s="355"/>
      <c r="S2" s="355"/>
    </row>
    <row r="3" spans="1:19" s="58" customFormat="1" ht="12" thickBot="1">
      <c r="A3" s="356" t="s">
        <v>0</v>
      </c>
      <c r="B3" s="357" t="s">
        <v>24</v>
      </c>
      <c r="C3" s="357" t="s">
        <v>25</v>
      </c>
      <c r="D3" s="357" t="s">
        <v>26</v>
      </c>
      <c r="E3" s="357" t="s">
        <v>27</v>
      </c>
      <c r="F3" s="357" t="s">
        <v>28</v>
      </c>
      <c r="G3" s="357" t="s">
        <v>29</v>
      </c>
      <c r="H3" s="357" t="s">
        <v>30</v>
      </c>
      <c r="I3" s="357" t="s">
        <v>31</v>
      </c>
      <c r="J3" s="357" t="s">
        <v>32</v>
      </c>
      <c r="K3" s="357" t="s">
        <v>33</v>
      </c>
      <c r="L3" s="357" t="s">
        <v>34</v>
      </c>
      <c r="M3" s="357" t="s">
        <v>35</v>
      </c>
      <c r="N3" s="358" t="s">
        <v>36</v>
      </c>
      <c r="O3" s="359" t="s">
        <v>223</v>
      </c>
      <c r="P3" s="360" t="s">
        <v>118</v>
      </c>
      <c r="Q3" s="361" t="s">
        <v>120</v>
      </c>
      <c r="R3" s="361" t="s">
        <v>210</v>
      </c>
      <c r="S3" s="361" t="s">
        <v>211</v>
      </c>
    </row>
    <row r="4" spans="1:19" s="58" customFormat="1" ht="11.25">
      <c r="A4" s="362"/>
      <c r="B4" s="363"/>
      <c r="C4" s="363"/>
      <c r="D4" s="363"/>
      <c r="E4" s="363"/>
      <c r="F4" s="363"/>
      <c r="G4" s="363"/>
      <c r="H4" s="363"/>
      <c r="I4" s="363"/>
      <c r="J4" s="363"/>
      <c r="K4" s="363"/>
      <c r="L4" s="363"/>
      <c r="M4" s="363"/>
      <c r="N4" s="364"/>
      <c r="O4" s="365"/>
      <c r="P4" s="365"/>
      <c r="Q4" s="366"/>
      <c r="R4" s="366"/>
      <c r="S4" s="366"/>
    </row>
    <row r="5" spans="1:19" s="58" customFormat="1" ht="11.25">
      <c r="A5" s="367" t="s">
        <v>173</v>
      </c>
      <c r="B5" s="368">
        <v>50000</v>
      </c>
      <c r="C5" s="369"/>
      <c r="D5" s="369"/>
      <c r="E5" s="369"/>
      <c r="F5" s="369"/>
      <c r="G5" s="369"/>
      <c r="H5" s="369"/>
      <c r="I5" s="369"/>
      <c r="J5" s="369"/>
      <c r="K5" s="369"/>
      <c r="L5" s="369"/>
      <c r="M5" s="369"/>
      <c r="N5" s="370"/>
      <c r="O5" s="371">
        <f>SUM(B5:N5)</f>
        <v>50000</v>
      </c>
      <c r="P5" s="372"/>
      <c r="Q5" s="372"/>
      <c r="R5" s="372"/>
      <c r="S5" s="372"/>
    </row>
    <row r="6" spans="1:19" s="58" customFormat="1" ht="11.25">
      <c r="A6" s="367" t="s">
        <v>172</v>
      </c>
      <c r="B6" s="373">
        <v>142621.37</v>
      </c>
      <c r="C6" s="369"/>
      <c r="D6" s="369"/>
      <c r="E6" s="369"/>
      <c r="F6" s="369"/>
      <c r="G6" s="369"/>
      <c r="H6" s="369"/>
      <c r="I6" s="369"/>
      <c r="J6" s="369"/>
      <c r="K6" s="369"/>
      <c r="L6" s="369"/>
      <c r="M6" s="369"/>
      <c r="N6" s="370"/>
      <c r="O6" s="371">
        <f>SUM(B6:N6)</f>
        <v>142621.37</v>
      </c>
      <c r="P6" s="374"/>
      <c r="Q6" s="374"/>
      <c r="R6" s="374"/>
      <c r="S6" s="374"/>
    </row>
    <row r="7" spans="1:19" ht="11.25">
      <c r="A7" s="375" t="s">
        <v>70</v>
      </c>
      <c r="B7" s="373"/>
      <c r="C7" s="373">
        <f>+B27</f>
        <v>128413.17</v>
      </c>
      <c r="D7" s="373">
        <f>+C27</f>
        <v>112390.00517655229</v>
      </c>
      <c r="E7" s="373">
        <f t="shared" ref="E7:N7" si="0">+D27</f>
        <v>97207.663698104589</v>
      </c>
      <c r="F7" s="373">
        <f t="shared" si="0"/>
        <v>82866.145564656879</v>
      </c>
      <c r="G7" s="373">
        <f t="shared" si="0"/>
        <v>69656.274121209179</v>
      </c>
      <c r="H7" s="373">
        <f t="shared" si="0"/>
        <v>58678.049367761443</v>
      </c>
      <c r="I7" s="373">
        <f t="shared" si="0"/>
        <v>48463.436833189073</v>
      </c>
      <c r="J7" s="373">
        <f t="shared" si="0"/>
        <v>41058.865643935205</v>
      </c>
      <c r="K7" s="373">
        <f t="shared" si="0"/>
        <v>33654.294454681338</v>
      </c>
      <c r="L7" s="373">
        <f t="shared" si="0"/>
        <v>26249.72326542747</v>
      </c>
      <c r="M7" s="373">
        <f t="shared" si="0"/>
        <v>18845.152076173603</v>
      </c>
      <c r="N7" s="376">
        <f t="shared" si="0"/>
        <v>11440.580886919735</v>
      </c>
      <c r="O7" s="377"/>
      <c r="P7" s="374">
        <f>O31</f>
        <v>245.00969766546041</v>
      </c>
      <c r="Q7" s="374">
        <f>+P31</f>
        <v>106549.03336835152</v>
      </c>
      <c r="R7" s="374">
        <f>+Q31</f>
        <v>185819.21839759452</v>
      </c>
      <c r="S7" s="374">
        <f>+R31</f>
        <v>352633.94260801096</v>
      </c>
    </row>
    <row r="8" spans="1:19" ht="11.25">
      <c r="A8" s="378" t="s">
        <v>71</v>
      </c>
      <c r="B8" s="373"/>
      <c r="C8" s="373">
        <f>+'Anexo - Presuesto de Ingresos'!D36</f>
        <v>15461.717739999998</v>
      </c>
      <c r="D8" s="373">
        <f>+'Anexo - Presuesto de Ingresos'!E36</f>
        <v>23192.576610000004</v>
      </c>
      <c r="E8" s="373">
        <f>+'Anexo - Presuesto de Ingresos'!F36</f>
        <v>30923.435479999996</v>
      </c>
      <c r="F8" s="373">
        <f>+'Anexo - Presuesto de Ingresos'!G36</f>
        <v>46385.153220000007</v>
      </c>
      <c r="G8" s="373">
        <f>+'Anexo - Presuesto de Ingresos'!H36</f>
        <v>61846.870959999993</v>
      </c>
      <c r="H8" s="373">
        <f>+'Anexo - Presuesto de Ingresos'!I36</f>
        <v>68867.82052168563</v>
      </c>
      <c r="I8" s="373">
        <f>+'Anexo - Presuesto de Ingresos'!J36</f>
        <v>71677.861867004132</v>
      </c>
      <c r="J8" s="373">
        <f>+'Anexo - Presuesto de Ingresos'!K36</f>
        <v>71677.861867004132</v>
      </c>
      <c r="K8" s="373">
        <f>+'Anexo - Presuesto de Ingresos'!L36</f>
        <v>71677.861867004132</v>
      </c>
      <c r="L8" s="373">
        <f>+'Anexo - Presuesto de Ingresos'!M36</f>
        <v>71677.861867004132</v>
      </c>
      <c r="M8" s="373">
        <f>+'Anexo - Presuesto de Ingresos'!N36</f>
        <v>71677.861867004132</v>
      </c>
      <c r="N8" s="376">
        <f>+'Anexo - Presuesto de Ingresos'!O36</f>
        <v>71677.861867004132</v>
      </c>
      <c r="O8" s="377">
        <f>SUM(B8:N8)</f>
        <v>676744.74573371024</v>
      </c>
      <c r="P8" s="377">
        <f>+'Anexo - Presuesto de Ingresos'!Q36</f>
        <v>948298.11250046443</v>
      </c>
      <c r="Q8" s="377">
        <f>+'Anexo - Presuesto de Ingresos'!R36</f>
        <v>1045498.6690317624</v>
      </c>
      <c r="R8" s="377">
        <f>+'Anexo - Presuesto de Ingresos'!S36</f>
        <v>1152662.2826075181</v>
      </c>
      <c r="S8" s="377">
        <f>+'Anexo - Presuesto de Ingresos'!T36</f>
        <v>1270810.1665747887</v>
      </c>
    </row>
    <row r="9" spans="1:19" ht="11.25">
      <c r="A9" s="378" t="s">
        <v>72</v>
      </c>
      <c r="B9" s="373"/>
      <c r="C9" s="373"/>
      <c r="D9" s="373"/>
      <c r="E9" s="373"/>
      <c r="F9" s="373"/>
      <c r="G9" s="373"/>
      <c r="H9" s="373"/>
      <c r="I9" s="373"/>
      <c r="J9" s="373"/>
      <c r="K9" s="373"/>
      <c r="L9" s="373"/>
      <c r="M9" s="373"/>
      <c r="N9" s="376"/>
      <c r="O9" s="377"/>
      <c r="P9" s="377"/>
      <c r="Q9" s="377"/>
      <c r="R9" s="377"/>
      <c r="S9" s="377"/>
    </row>
    <row r="10" spans="1:19" s="78" customFormat="1" ht="11.25">
      <c r="A10" s="379" t="s">
        <v>73</v>
      </c>
      <c r="B10" s="380">
        <f>SUM(B5:B9)</f>
        <v>192621.37</v>
      </c>
      <c r="C10" s="380">
        <f>SUM(C7:C9)</f>
        <v>143874.88774000001</v>
      </c>
      <c r="D10" s="380">
        <f t="shared" ref="D10:K10" si="1">SUM(D7:D9)</f>
        <v>135582.5817865523</v>
      </c>
      <c r="E10" s="380">
        <f t="shared" si="1"/>
        <v>128131.09917810459</v>
      </c>
      <c r="F10" s="380">
        <f t="shared" si="1"/>
        <v>129251.29878465689</v>
      </c>
      <c r="G10" s="380">
        <f t="shared" si="1"/>
        <v>131503.14508120916</v>
      </c>
      <c r="H10" s="380">
        <f t="shared" si="1"/>
        <v>127545.86988944707</v>
      </c>
      <c r="I10" s="380">
        <f t="shared" si="1"/>
        <v>120141.29870019321</v>
      </c>
      <c r="J10" s="380">
        <f t="shared" si="1"/>
        <v>112736.72751093934</v>
      </c>
      <c r="K10" s="380">
        <f t="shared" si="1"/>
        <v>105332.15632168547</v>
      </c>
      <c r="L10" s="380">
        <f>SUM(L7:L9)</f>
        <v>97927.585132431603</v>
      </c>
      <c r="M10" s="380">
        <f>SUM(M7:M9)</f>
        <v>90523.013943177735</v>
      </c>
      <c r="N10" s="381">
        <f>SUM(N7:N9)</f>
        <v>83118.442753923868</v>
      </c>
      <c r="O10" s="382">
        <f>SUM(O5:O9)</f>
        <v>869366.11573371023</v>
      </c>
      <c r="P10" s="382">
        <f>SUM(P5:P9)</f>
        <v>948543.12219812989</v>
      </c>
      <c r="Q10" s="382">
        <f>SUM(Q5:Q9)</f>
        <v>1152047.7024001139</v>
      </c>
      <c r="R10" s="382">
        <f>SUM(R5:R9)</f>
        <v>1338481.5010051127</v>
      </c>
      <c r="S10" s="382">
        <f>SUM(S5:S9)</f>
        <v>1623444.1091827997</v>
      </c>
    </row>
    <row r="11" spans="1:19" ht="11.25">
      <c r="A11" s="375"/>
      <c r="B11" s="373"/>
      <c r="C11" s="373"/>
      <c r="D11" s="373"/>
      <c r="E11" s="373"/>
      <c r="F11" s="373"/>
      <c r="G11" s="373"/>
      <c r="H11" s="373"/>
      <c r="I11" s="373"/>
      <c r="J11" s="373"/>
      <c r="K11" s="373"/>
      <c r="L11" s="373"/>
      <c r="M11" s="373"/>
      <c r="N11" s="376"/>
      <c r="O11" s="377">
        <f>SUM(B11:N11)</f>
        <v>0</v>
      </c>
      <c r="P11" s="377">
        <f>SUM(C11:O11)</f>
        <v>0</v>
      </c>
      <c r="Q11" s="377">
        <f>SUM(D11:P11)</f>
        <v>0</v>
      </c>
      <c r="R11" s="377">
        <f>SUM(E11:Q11)</f>
        <v>0</v>
      </c>
      <c r="S11" s="377">
        <f>SUM(F11:R11)</f>
        <v>0</v>
      </c>
    </row>
    <row r="12" spans="1:19" ht="11.25">
      <c r="A12" s="378" t="s">
        <v>74</v>
      </c>
      <c r="B12" s="383">
        <f>'Anexo2 - Activos Fijos'!D35</f>
        <v>52320</v>
      </c>
      <c r="C12" s="373"/>
      <c r="D12" s="373"/>
      <c r="E12" s="373"/>
      <c r="F12" s="373"/>
      <c r="G12" s="373"/>
      <c r="H12" s="373"/>
      <c r="I12" s="373"/>
      <c r="J12" s="373"/>
      <c r="K12" s="373"/>
      <c r="L12" s="373"/>
      <c r="M12" s="373"/>
      <c r="N12" s="376"/>
      <c r="O12" s="377">
        <f>SUM(B12:N12)</f>
        <v>52320</v>
      </c>
      <c r="P12" s="377"/>
      <c r="Q12" s="377"/>
      <c r="R12" s="377">
        <f>'Anexo3 - Depreciación'!C60+'Anexo3 - Depreciación'!C8</f>
        <v>5000</v>
      </c>
      <c r="S12" s="377">
        <f>'Anexo3 - Depreciación'!C61</f>
        <v>0</v>
      </c>
    </row>
    <row r="13" spans="1:19" ht="11.25">
      <c r="A13" s="378" t="s">
        <v>166</v>
      </c>
      <c r="B13" s="373">
        <f>+'Anexo - Otros Gastos'!D57+'Anexo - Otros Gastos'!D71+'Anexo - Otros Gastos'!D75</f>
        <v>9388.2000000000007</v>
      </c>
      <c r="C13" s="373"/>
      <c r="D13" s="373"/>
      <c r="E13" s="373"/>
      <c r="F13" s="373"/>
      <c r="G13" s="373"/>
      <c r="H13" s="373"/>
      <c r="I13" s="373"/>
      <c r="J13" s="373"/>
      <c r="K13" s="373"/>
      <c r="L13" s="373"/>
      <c r="M13" s="373"/>
      <c r="N13" s="376"/>
      <c r="O13" s="377">
        <f>SUM(B13:N13)</f>
        <v>9388.2000000000007</v>
      </c>
      <c r="P13" s="374"/>
      <c r="Q13" s="377"/>
      <c r="R13" s="377"/>
      <c r="S13" s="377"/>
    </row>
    <row r="14" spans="1:19" ht="11.25">
      <c r="A14" s="378" t="s">
        <v>75</v>
      </c>
      <c r="B14" s="373">
        <v>2500</v>
      </c>
      <c r="C14" s="373">
        <f>+'Anexo - Capital Trabajo'!C9</f>
        <v>15182.57105</v>
      </c>
      <c r="D14" s="373">
        <f>+'Anexo - Capital Trabajo'!D9</f>
        <v>21773.856574999998</v>
      </c>
      <c r="E14" s="373">
        <f>+'Anexo - Capital Trabajo'!E9</f>
        <v>28365.142100000001</v>
      </c>
      <c r="F14" s="373">
        <f>+'Anexo - Capital Trabajo'!F9</f>
        <v>41547.713149999996</v>
      </c>
      <c r="G14" s="373">
        <f>+'Anexo - Capital Trabajo'!G9</f>
        <v>54730.284200000002</v>
      </c>
      <c r="H14" s="373">
        <f>+'Anexo - Capital Trabajo'!H9</f>
        <v>60716.305157810304</v>
      </c>
      <c r="I14" s="373">
        <f>+'Anexo - Capital Trabajo'!I9</f>
        <v>60716.305157810304</v>
      </c>
      <c r="J14" s="373">
        <f>+'Anexo - Capital Trabajo'!J9</f>
        <v>60716.305157810304</v>
      </c>
      <c r="K14" s="373">
        <f>+'Anexo - Capital Trabajo'!K9</f>
        <v>60716.305157810304</v>
      </c>
      <c r="L14" s="373">
        <f>+'Anexo - Capital Trabajo'!L9</f>
        <v>60716.305157810304</v>
      </c>
      <c r="M14" s="373">
        <f>+'Anexo - Capital Trabajo'!M9</f>
        <v>60716.305157810304</v>
      </c>
      <c r="N14" s="376">
        <f>+'Anexo - Capital Trabajo'!N9</f>
        <v>60716.305157810304</v>
      </c>
      <c r="O14" s="384">
        <f>+'Anexo - Capital Trabajo'!O9</f>
        <v>586613.70317967224</v>
      </c>
      <c r="P14" s="384">
        <f>+'Anexo - Capital Trabajo'!P9</f>
        <v>615944.38833865582</v>
      </c>
      <c r="Q14" s="384">
        <f>+'Anexo - Capital Trabajo'!Q9</f>
        <v>646741.60775558872</v>
      </c>
      <c r="R14" s="384">
        <f>+'Anexo - Capital Trabajo'!R9</f>
        <v>679078.68814336811</v>
      </c>
      <c r="S14" s="384">
        <f>+'Anexo - Capital Trabajo'!S9</f>
        <v>713032.62255053653</v>
      </c>
    </row>
    <row r="15" spans="1:19" ht="11.25">
      <c r="A15" s="378" t="s">
        <v>183</v>
      </c>
      <c r="B15" s="373">
        <f>'Anexo - Presupuesto Personal'!B16</f>
        <v>0</v>
      </c>
      <c r="C15" s="373">
        <f>+'Anexo - Presupuesto Personal'!C12</f>
        <v>4526.3739999999998</v>
      </c>
      <c r="D15" s="373">
        <f>+'Anexo - Presupuesto Personal'!D12</f>
        <v>4526.3739999999998</v>
      </c>
      <c r="E15" s="373">
        <f>+'Anexo - Presupuesto Personal'!E12</f>
        <v>4526.3739999999998</v>
      </c>
      <c r="F15" s="373">
        <f>+'Anexo - Presupuesto Personal'!F12</f>
        <v>5076.3739999999998</v>
      </c>
      <c r="G15" s="373">
        <f>+'Anexo - Presupuesto Personal'!G12</f>
        <v>4526.3739999999998</v>
      </c>
      <c r="H15" s="373">
        <f>+'Anexo - Presupuesto Personal'!H12</f>
        <v>4526.3739999999998</v>
      </c>
      <c r="I15" s="373">
        <f>+'Anexo - Presupuesto Personal'!I12</f>
        <v>4526.3739999999998</v>
      </c>
      <c r="J15" s="373">
        <f>+'Anexo - Presupuesto Personal'!J12</f>
        <v>4526.3739999999998</v>
      </c>
      <c r="K15" s="373">
        <f>+'Anexo - Presupuesto Personal'!K12</f>
        <v>4526.3739999999998</v>
      </c>
      <c r="L15" s="373">
        <f>+'Anexo - Presupuesto Personal'!L12</f>
        <v>4526.3739999999998</v>
      </c>
      <c r="M15" s="373">
        <f>+'Anexo - Presupuesto Personal'!M12</f>
        <v>4526.3739999999998</v>
      </c>
      <c r="N15" s="376">
        <f>+'Anexo - Presupuesto Personal'!N12</f>
        <v>8562.3739999999998</v>
      </c>
      <c r="O15" s="377">
        <f>SUM(B15:N15)</f>
        <v>58902.487999999983</v>
      </c>
      <c r="P15" s="374">
        <f>+'Anexo - Presupuesto Personal'!P12</f>
        <v>69386.812399999995</v>
      </c>
      <c r="Q15" s="377">
        <f>+'Anexo - Presupuesto Personal'!Q12</f>
        <v>92727.577286907253</v>
      </c>
      <c r="R15" s="377">
        <f>+'Anexo - Presupuesto Personal'!R12</f>
        <v>110989.25907988864</v>
      </c>
      <c r="S15" s="377">
        <f>+'Anexo - Presupuesto Personal'!S12</f>
        <v>132608.5263856423</v>
      </c>
    </row>
    <row r="16" spans="1:19" ht="11.25" hidden="1">
      <c r="A16" s="378"/>
      <c r="B16" s="373"/>
      <c r="C16" s="373"/>
      <c r="D16" s="373"/>
      <c r="E16" s="373"/>
      <c r="F16" s="373"/>
      <c r="G16" s="373"/>
      <c r="H16" s="373"/>
      <c r="I16" s="373"/>
      <c r="J16" s="373"/>
      <c r="K16" s="373"/>
      <c r="L16" s="373"/>
      <c r="M16" s="373"/>
      <c r="N16" s="376"/>
      <c r="O16" s="384"/>
      <c r="P16" s="385"/>
      <c r="Q16" s="384"/>
      <c r="R16" s="384"/>
      <c r="S16" s="384"/>
    </row>
    <row r="17" spans="1:19" ht="11.25">
      <c r="A17" s="378" t="s">
        <v>164</v>
      </c>
      <c r="B17" s="373"/>
      <c r="C17" s="373">
        <f>+'Anexo - Otros Gastos'!B42</f>
        <v>3208.3333333333335</v>
      </c>
      <c r="D17" s="373">
        <f>+'Anexo - Otros Gastos'!C42</f>
        <v>3208.3333333333335</v>
      </c>
      <c r="E17" s="373">
        <f>+'Anexo - Otros Gastos'!D42</f>
        <v>3208.3333333333335</v>
      </c>
      <c r="F17" s="373">
        <f>+'Anexo - Otros Gastos'!E42</f>
        <v>3208.3333333333335</v>
      </c>
      <c r="G17" s="373">
        <f>+'Anexo - Otros Gastos'!F42</f>
        <v>3208.3333333333335</v>
      </c>
      <c r="H17" s="373">
        <f>+'Anexo - Otros Gastos'!G42</f>
        <v>3208.3333333333335</v>
      </c>
      <c r="I17" s="373">
        <f>+'Anexo - Otros Gastos'!H42</f>
        <v>3208.3333333333335</v>
      </c>
      <c r="J17" s="373">
        <f>+'Anexo - Otros Gastos'!I42</f>
        <v>3208.3333333333335</v>
      </c>
      <c r="K17" s="373">
        <f>+'Anexo - Otros Gastos'!J42</f>
        <v>3208.3333333333335</v>
      </c>
      <c r="L17" s="373">
        <f>+'Anexo - Otros Gastos'!K42</f>
        <v>3208.3333333333335</v>
      </c>
      <c r="M17" s="373">
        <f>+'Anexo - Otros Gastos'!L42</f>
        <v>3208.3333333333335</v>
      </c>
      <c r="N17" s="376">
        <f>+'Anexo - Otros Gastos'!M42</f>
        <v>3208.3333333333335</v>
      </c>
      <c r="O17" s="377">
        <f>SUM(B17:N17)</f>
        <v>38500</v>
      </c>
      <c r="P17" s="385">
        <f>+'Anexo - Otros Gastos'!O42</f>
        <v>30190</v>
      </c>
      <c r="Q17" s="384">
        <f>+'Anexo - Otros Gastos'!P42</f>
        <v>30949</v>
      </c>
      <c r="R17" s="384">
        <f>+'Anexo - Otros Gastos'!Q42</f>
        <v>29583.9</v>
      </c>
      <c r="S17" s="384">
        <f>+'Anexo - Otros Gastos'!R42</f>
        <v>30502.29</v>
      </c>
    </row>
    <row r="18" spans="1:19" ht="11.25">
      <c r="A18" s="378" t="s">
        <v>86</v>
      </c>
      <c r="B18" s="373"/>
      <c r="C18" s="373">
        <f>+'Anexo - Otros Gastos'!B23</f>
        <v>597.5</v>
      </c>
      <c r="D18" s="373">
        <f>+'Anexo - Otros Gastos'!C23</f>
        <v>896.25</v>
      </c>
      <c r="E18" s="373">
        <f>+'Anexo - Otros Gastos'!D23</f>
        <v>1195</v>
      </c>
      <c r="F18" s="373">
        <f>+'Anexo - Otros Gastos'!E23</f>
        <v>1792.5</v>
      </c>
      <c r="G18" s="373">
        <f>+'Anexo - Otros Gastos'!F23</f>
        <v>2390</v>
      </c>
      <c r="H18" s="373">
        <f>+'Anexo - Otros Gastos'!G23</f>
        <v>2661.3163850000001</v>
      </c>
      <c r="I18" s="373">
        <f>+'Anexo - Otros Gastos'!H23</f>
        <v>2661.3163850000001</v>
      </c>
      <c r="J18" s="373">
        <f>+'Anexo - Otros Gastos'!I23</f>
        <v>2661.3163850000001</v>
      </c>
      <c r="K18" s="373">
        <f>+'Anexo - Otros Gastos'!J23</f>
        <v>2661.3163850000001</v>
      </c>
      <c r="L18" s="373">
        <f>+'Anexo - Otros Gastos'!K23</f>
        <v>2661.3163850000001</v>
      </c>
      <c r="M18" s="373">
        <f>+'Anexo - Otros Gastos'!L23</f>
        <v>2661.3163850000001</v>
      </c>
      <c r="N18" s="373">
        <f>+'Anexo - Otros Gastos'!M23</f>
        <v>2661.3163850000001</v>
      </c>
      <c r="O18" s="384">
        <f>+'Anexo - Otros Gastos'!N23</f>
        <v>25500.464695000002</v>
      </c>
      <c r="P18" s="385">
        <f>+'Anexo - Otros Gastos'!O23</f>
        <v>26775.487929750005</v>
      </c>
      <c r="Q18" s="384">
        <f>+'Anexo - Otros Gastos'!P23</f>
        <v>28114.262326237505</v>
      </c>
      <c r="R18" s="384">
        <f>+'Anexo - Otros Gastos'!Q23</f>
        <v>29519.975442549381</v>
      </c>
      <c r="S18" s="384">
        <f>+'Anexo - Otros Gastos'!R23</f>
        <v>30995.974214676855</v>
      </c>
    </row>
    <row r="19" spans="1:19" ht="11.25">
      <c r="A19" s="378" t="s">
        <v>142</v>
      </c>
      <c r="B19" s="373"/>
      <c r="C19" s="373">
        <f>+'Anexo - Otros Gastos'!B15</f>
        <v>2814</v>
      </c>
      <c r="D19" s="373">
        <f>+'Anexo - Otros Gastos'!C15</f>
        <v>2814</v>
      </c>
      <c r="E19" s="373">
        <f>+'Anexo - Otros Gastos'!D15</f>
        <v>2814</v>
      </c>
      <c r="F19" s="373">
        <f>+'Anexo - Otros Gastos'!E15</f>
        <v>2814</v>
      </c>
      <c r="G19" s="373">
        <f>+'Anexo - Otros Gastos'!F15</f>
        <v>2814</v>
      </c>
      <c r="H19" s="373">
        <f>+'Anexo - Otros Gastos'!G15</f>
        <v>2814</v>
      </c>
      <c r="I19" s="373">
        <f>+'Anexo - Otros Gastos'!H15</f>
        <v>2814</v>
      </c>
      <c r="J19" s="373">
        <f>+'Anexo - Otros Gastos'!I15</f>
        <v>2814</v>
      </c>
      <c r="K19" s="373">
        <f>+'Anexo - Otros Gastos'!J15</f>
        <v>2814</v>
      </c>
      <c r="L19" s="373">
        <f>+'Anexo - Otros Gastos'!K15</f>
        <v>2814</v>
      </c>
      <c r="M19" s="373">
        <f>+'Anexo - Otros Gastos'!L15</f>
        <v>2814</v>
      </c>
      <c r="N19" s="376">
        <f>+'Anexo - Otros Gastos'!M15</f>
        <v>2814</v>
      </c>
      <c r="O19" s="384">
        <f>+'Anexo - Otros Gastos'!N15</f>
        <v>36023</v>
      </c>
      <c r="P19" s="385">
        <f>+'Anexo - Otros Gastos'!O15</f>
        <v>37824.15</v>
      </c>
      <c r="Q19" s="384">
        <f>+'Anexo - Otros Gastos'!P15</f>
        <v>39715.357499999991</v>
      </c>
      <c r="R19" s="384">
        <f>+'Anexo - Otros Gastos'!Q15</f>
        <v>41701.125375000003</v>
      </c>
      <c r="S19" s="384">
        <f>+'Anexo - Otros Gastos'!R15</f>
        <v>43786.181643750002</v>
      </c>
    </row>
    <row r="20" spans="1:19" ht="11.25">
      <c r="A20" s="378" t="s">
        <v>76</v>
      </c>
      <c r="B20" s="373"/>
      <c r="C20" s="373">
        <f>+'Anexo - Otros Gastos'!B32</f>
        <v>3016.7836301143793</v>
      </c>
      <c r="D20" s="373">
        <f>+'Anexo - Otros Gastos'!C32</f>
        <v>3062.0353845660948</v>
      </c>
      <c r="E20" s="373">
        <f>+'Anexo - Otros Gastos'!D32</f>
        <v>3107.965915334586</v>
      </c>
      <c r="F20" s="373">
        <f>+'Anexo - Otros Gastos'!E32</f>
        <v>3154.5854040646054</v>
      </c>
      <c r="G20" s="373">
        <f>+'Anexo - Otros Gastos'!F32</f>
        <v>3201.9041851255743</v>
      </c>
      <c r="H20" s="373">
        <f>+'Anexo - Otros Gastos'!G32</f>
        <v>3249.9327479024578</v>
      </c>
      <c r="I20" s="373">
        <f>+'Anexo - Otros Gastos'!H32</f>
        <v>3298.6817391209943</v>
      </c>
      <c r="J20" s="373">
        <f>+'Anexo - Otros Gastos'!I32</f>
        <v>3348.1619652078098</v>
      </c>
      <c r="K20" s="373">
        <f>+'Anexo - Otros Gastos'!J32</f>
        <v>3398.3843946859261</v>
      </c>
      <c r="L20" s="373">
        <f>+'Anexo - Otros Gastos'!K32</f>
        <v>3449.3601606062157</v>
      </c>
      <c r="M20" s="373">
        <f>+'Anexo - Otros Gastos'!L32</f>
        <v>3501.1005630153086</v>
      </c>
      <c r="N20" s="376">
        <f>+'Anexo - Otros Gastos'!M32</f>
        <v>3553.6170714605387</v>
      </c>
      <c r="O20" s="377">
        <f>SUM(B20:N20)</f>
        <v>39342.513161204493</v>
      </c>
      <c r="P20" s="385">
        <f>+'Anexo - Otros Gastos'!O32</f>
        <v>47038.623646500695</v>
      </c>
      <c r="Q20" s="384">
        <f>+'Anexo - Otros Gastos'!P32</f>
        <v>56182.914608352316</v>
      </c>
      <c r="R20" s="384">
        <f>+'Anexo - Otros Gastos'!Q32</f>
        <v>0</v>
      </c>
      <c r="S20" s="384">
        <f>+'Anexo - Otros Gastos'!R32</f>
        <v>0</v>
      </c>
    </row>
    <row r="21" spans="1:19" ht="11.25">
      <c r="A21" s="378" t="s">
        <v>165</v>
      </c>
      <c r="B21" s="373"/>
      <c r="C21" s="373">
        <f>+'Anexo - Otros Gastos'!B33</f>
        <v>2139.3205499999999</v>
      </c>
      <c r="D21" s="373">
        <f>+'Anexo - Otros Gastos'!C33</f>
        <v>2094.0687955482845</v>
      </c>
      <c r="E21" s="373">
        <f>+'Anexo - Otros Gastos'!D33</f>
        <v>2048.1382647797932</v>
      </c>
      <c r="F21" s="373">
        <f>+'Anexo - Otros Gastos'!E33</f>
        <v>2001.518776049774</v>
      </c>
      <c r="G21" s="373">
        <f>+'Anexo - Otros Gastos'!F33</f>
        <v>1954.199994988805</v>
      </c>
      <c r="H21" s="373">
        <f>+'Anexo - Otros Gastos'!G33</f>
        <v>1906.1714322119215</v>
      </c>
      <c r="I21" s="373">
        <f>+'Anexo - Otros Gastos'!H33</f>
        <v>1857.4224409933847</v>
      </c>
      <c r="J21" s="373">
        <f>+'Anexo - Otros Gastos'!I33</f>
        <v>1807.9422149065697</v>
      </c>
      <c r="K21" s="373">
        <f>+'Anexo - Otros Gastos'!J33</f>
        <v>1757.719785428453</v>
      </c>
      <c r="L21" s="373">
        <f>+'Anexo - Otros Gastos'!K33</f>
        <v>1706.7440195081638</v>
      </c>
      <c r="M21" s="373">
        <f>+'Anexo - Otros Gastos'!L33</f>
        <v>1655.0036170990707</v>
      </c>
      <c r="N21" s="376">
        <f>+'Anexo - Otros Gastos'!M33</f>
        <v>1602.4871086538408</v>
      </c>
      <c r="O21" s="377">
        <f>SUM(B21:N21)</f>
        <v>22530.737000168061</v>
      </c>
      <c r="P21" s="385">
        <f>+'Anexo - Otros Gastos'!O33</f>
        <v>14834.626514871859</v>
      </c>
      <c r="Q21" s="384">
        <f>+'Anexo - Otros Gastos'!P33</f>
        <v>5633.0169690760613</v>
      </c>
      <c r="R21" s="384">
        <f>+'Anexo - Otros Gastos'!Q33</f>
        <v>0</v>
      </c>
      <c r="S21" s="384"/>
    </row>
    <row r="22" spans="1:19" ht="11.25">
      <c r="A22" s="378" t="s">
        <v>184</v>
      </c>
      <c r="B22" s="373"/>
      <c r="C22" s="373"/>
      <c r="D22" s="373"/>
      <c r="E22" s="373"/>
      <c r="F22" s="373"/>
      <c r="G22" s="373"/>
      <c r="H22" s="373"/>
      <c r="I22" s="373"/>
      <c r="J22" s="373"/>
      <c r="K22" s="373"/>
      <c r="L22" s="373"/>
      <c r="M22" s="373"/>
      <c r="N22" s="376"/>
      <c r="O22" s="377"/>
      <c r="P22" s="385"/>
      <c r="Q22" s="384">
        <f>+'Anexo6 - Estado Resultados'!C32</f>
        <v>19849.424266907259</v>
      </c>
      <c r="R22" s="384">
        <f>+'Anexo6 - Estado Resultados'!D32</f>
        <v>26992.383106888636</v>
      </c>
      <c r="S22" s="384">
        <f>+'Anexo6 - Estado Resultados'!E32</f>
        <v>35778.36901669229</v>
      </c>
    </row>
    <row r="23" spans="1:19" ht="11.25">
      <c r="A23" s="378" t="s">
        <v>77</v>
      </c>
      <c r="B23" s="373"/>
      <c r="C23" s="373"/>
      <c r="D23" s="373"/>
      <c r="E23" s="373"/>
      <c r="F23" s="373"/>
      <c r="G23" s="373"/>
      <c r="H23" s="373"/>
      <c r="I23" s="373"/>
      <c r="J23" s="373"/>
      <c r="K23" s="373"/>
      <c r="L23" s="373"/>
      <c r="M23" s="373"/>
      <c r="N23" s="376"/>
      <c r="O23" s="377">
        <v>0</v>
      </c>
      <c r="P23" s="374"/>
      <c r="Q23" s="386">
        <f>+'Anexo6 - Estado Resultados'!C33</f>
        <v>46315.323289450265</v>
      </c>
      <c r="R23" s="386">
        <f>+'Anexo6 - Estado Resultados'!D33</f>
        <v>62982.227249406809</v>
      </c>
      <c r="S23" s="386">
        <f>+'Anexo6 - Estado Resultados'!E33</f>
        <v>83482.861038948671</v>
      </c>
    </row>
    <row r="24" spans="1:19" ht="11.25">
      <c r="A24" s="375" t="s">
        <v>278</v>
      </c>
      <c r="B24" s="373"/>
      <c r="C24" s="373"/>
      <c r="D24" s="373"/>
      <c r="E24" s="373"/>
      <c r="F24" s="373"/>
      <c r="G24" s="373"/>
      <c r="H24" s="373"/>
      <c r="I24" s="373"/>
      <c r="J24" s="373"/>
      <c r="K24" s="373"/>
      <c r="L24" s="373"/>
      <c r="M24" s="373"/>
      <c r="N24" s="376"/>
      <c r="O24" s="384"/>
      <c r="P24" s="384"/>
      <c r="Q24" s="384"/>
      <c r="R24" s="384"/>
      <c r="S24" s="385">
        <f>+'Anexo3 - Depreciación'!C8-'Anexo3 - Depreciación'!E8-'Anexo3 - Depreciación'!E9+'Anexo3 - Depreciación'!C13-'Anexo3 - Depreciación'!F18+'Anexo3 - Depreciación'!C26-'Anexo3 - Depreciación'!F31+'Anexo3 - Depreciación'!C57-'Anexo3 - Depreciación'!F61</f>
        <v>15981.666700000002</v>
      </c>
    </row>
    <row r="25" spans="1:19" s="78" customFormat="1" ht="11.25">
      <c r="A25" s="387" t="s">
        <v>78</v>
      </c>
      <c r="B25" s="388">
        <f>SUM(B12:B24)</f>
        <v>64208.2</v>
      </c>
      <c r="C25" s="388">
        <f>SUM(C12:C24)</f>
        <v>31484.882563447714</v>
      </c>
      <c r="D25" s="388">
        <f>SUM(D12:D24)</f>
        <v>38374.91808844771</v>
      </c>
      <c r="E25" s="388">
        <f t="shared" ref="E25:K25" si="2">SUM(E12:E24)</f>
        <v>45264.953613447717</v>
      </c>
      <c r="F25" s="388">
        <f t="shared" si="2"/>
        <v>59595.024663447708</v>
      </c>
      <c r="G25" s="388">
        <f t="shared" si="2"/>
        <v>72825.095713447721</v>
      </c>
      <c r="H25" s="388">
        <f t="shared" si="2"/>
        <v>79082.433056258</v>
      </c>
      <c r="I25" s="388">
        <f t="shared" si="2"/>
        <v>79082.433056258</v>
      </c>
      <c r="J25" s="388">
        <f t="shared" si="2"/>
        <v>79082.433056258</v>
      </c>
      <c r="K25" s="388">
        <f t="shared" si="2"/>
        <v>79082.433056258</v>
      </c>
      <c r="L25" s="388">
        <f t="shared" ref="L25:Q25" si="3">SUM(L12:L24)</f>
        <v>79082.433056258</v>
      </c>
      <c r="M25" s="388">
        <f t="shared" si="3"/>
        <v>79082.433056258</v>
      </c>
      <c r="N25" s="389">
        <f t="shared" si="3"/>
        <v>83118.433056258014</v>
      </c>
      <c r="O25" s="390">
        <f t="shared" si="3"/>
        <v>869121.10603604477</v>
      </c>
      <c r="P25" s="390">
        <f t="shared" si="3"/>
        <v>841994.08882977837</v>
      </c>
      <c r="Q25" s="390">
        <f t="shared" si="3"/>
        <v>966228.4840025194</v>
      </c>
      <c r="R25" s="390">
        <f>SUM(R12:R24)</f>
        <v>985847.5583971017</v>
      </c>
      <c r="S25" s="390">
        <f>SUM(S12:S24)</f>
        <v>1086168.4915502467</v>
      </c>
    </row>
    <row r="26" spans="1:19" ht="11.25">
      <c r="A26" s="391"/>
      <c r="B26" s="392"/>
      <c r="C26" s="392"/>
      <c r="D26" s="392"/>
      <c r="E26" s="392"/>
      <c r="F26" s="392"/>
      <c r="G26" s="392"/>
      <c r="H26" s="392"/>
      <c r="I26" s="392"/>
      <c r="J26" s="392"/>
      <c r="K26" s="392"/>
      <c r="L26" s="392"/>
      <c r="M26" s="392"/>
      <c r="N26" s="393"/>
      <c r="O26" s="394"/>
      <c r="P26" s="394"/>
      <c r="Q26" s="394"/>
      <c r="R26" s="394"/>
      <c r="S26" s="394"/>
    </row>
    <row r="27" spans="1:19" ht="11.25">
      <c r="A27" s="395" t="s">
        <v>79</v>
      </c>
      <c r="B27" s="396">
        <f t="shared" ref="B27:S27" si="4">B10-B25</f>
        <v>128413.17</v>
      </c>
      <c r="C27" s="396">
        <f t="shared" si="4"/>
        <v>112390.00517655229</v>
      </c>
      <c r="D27" s="396">
        <f t="shared" si="4"/>
        <v>97207.663698104589</v>
      </c>
      <c r="E27" s="396">
        <f t="shared" si="4"/>
        <v>82866.145564656879</v>
      </c>
      <c r="F27" s="396">
        <f t="shared" si="4"/>
        <v>69656.274121209179</v>
      </c>
      <c r="G27" s="396">
        <f t="shared" si="4"/>
        <v>58678.049367761443</v>
      </c>
      <c r="H27" s="396">
        <f t="shared" si="4"/>
        <v>48463.436833189073</v>
      </c>
      <c r="I27" s="396">
        <f t="shared" si="4"/>
        <v>41058.865643935205</v>
      </c>
      <c r="J27" s="396">
        <f t="shared" si="4"/>
        <v>33654.294454681338</v>
      </c>
      <c r="K27" s="396">
        <f t="shared" si="4"/>
        <v>26249.72326542747</v>
      </c>
      <c r="L27" s="396">
        <f t="shared" si="4"/>
        <v>18845.152076173603</v>
      </c>
      <c r="M27" s="396">
        <f t="shared" si="4"/>
        <v>11440.580886919735</v>
      </c>
      <c r="N27" s="397">
        <f t="shared" si="4"/>
        <v>9.6976658533094451E-3</v>
      </c>
      <c r="O27" s="398">
        <f t="shared" si="4"/>
        <v>245.00969766546041</v>
      </c>
      <c r="P27" s="398">
        <f t="shared" si="4"/>
        <v>106549.03336835152</v>
      </c>
      <c r="Q27" s="398">
        <f t="shared" si="4"/>
        <v>185819.21839759452</v>
      </c>
      <c r="R27" s="398">
        <f t="shared" si="4"/>
        <v>352633.94260801096</v>
      </c>
      <c r="S27" s="398">
        <f t="shared" si="4"/>
        <v>537275.61763255298</v>
      </c>
    </row>
    <row r="28" spans="1:19" ht="11.25">
      <c r="A28" s="391"/>
      <c r="B28" s="392"/>
      <c r="C28" s="392"/>
      <c r="D28" s="392"/>
      <c r="E28" s="392"/>
      <c r="F28" s="392"/>
      <c r="G28" s="392"/>
      <c r="H28" s="392"/>
      <c r="I28" s="392"/>
      <c r="J28" s="392"/>
      <c r="K28" s="392"/>
      <c r="L28" s="392"/>
      <c r="M28" s="392"/>
      <c r="N28" s="393"/>
      <c r="O28" s="394"/>
      <c r="P28" s="394"/>
      <c r="Q28" s="394"/>
      <c r="R28" s="394"/>
      <c r="S28" s="394"/>
    </row>
    <row r="29" spans="1:19" ht="11.25">
      <c r="A29" s="399"/>
      <c r="B29" s="392"/>
      <c r="C29" s="392"/>
      <c r="D29" s="392"/>
      <c r="E29" s="392"/>
      <c r="F29" s="392"/>
      <c r="G29" s="392"/>
      <c r="H29" s="392"/>
      <c r="I29" s="392"/>
      <c r="J29" s="392"/>
      <c r="K29" s="392"/>
      <c r="L29" s="392"/>
      <c r="M29" s="392"/>
      <c r="N29" s="393"/>
      <c r="O29" s="394"/>
      <c r="P29" s="394"/>
      <c r="Q29" s="394"/>
      <c r="R29" s="394"/>
      <c r="S29" s="394"/>
    </row>
    <row r="30" spans="1:19" ht="12" thickBot="1">
      <c r="A30" s="400"/>
      <c r="B30" s="401"/>
      <c r="C30" s="402"/>
      <c r="D30" s="402"/>
      <c r="E30" s="402"/>
      <c r="F30" s="402"/>
      <c r="G30" s="402"/>
      <c r="H30" s="402"/>
      <c r="I30" s="402"/>
      <c r="J30" s="402"/>
      <c r="K30" s="402"/>
      <c r="L30" s="402"/>
      <c r="M30" s="402"/>
      <c r="N30" s="403"/>
      <c r="O30" s="404"/>
      <c r="P30" s="404"/>
      <c r="Q30" s="405"/>
      <c r="R30" s="405"/>
      <c r="S30" s="405"/>
    </row>
    <row r="31" spans="1:19" ht="12" thickBot="1">
      <c r="A31" s="406" t="s">
        <v>80</v>
      </c>
      <c r="B31" s="407">
        <f>B27</f>
        <v>128413.17</v>
      </c>
      <c r="C31" s="408">
        <f>SUM(C27)</f>
        <v>112390.00517655229</v>
      </c>
      <c r="D31" s="408">
        <f t="shared" ref="D31:N31" si="5">SUM(D27)</f>
        <v>97207.663698104589</v>
      </c>
      <c r="E31" s="408">
        <f t="shared" si="5"/>
        <v>82866.145564656879</v>
      </c>
      <c r="F31" s="408">
        <f t="shared" si="5"/>
        <v>69656.274121209179</v>
      </c>
      <c r="G31" s="408">
        <f t="shared" si="5"/>
        <v>58678.049367761443</v>
      </c>
      <c r="H31" s="408">
        <f t="shared" si="5"/>
        <v>48463.436833189073</v>
      </c>
      <c r="I31" s="408">
        <f t="shared" si="5"/>
        <v>41058.865643935205</v>
      </c>
      <c r="J31" s="408">
        <f t="shared" si="5"/>
        <v>33654.294454681338</v>
      </c>
      <c r="K31" s="408">
        <f t="shared" si="5"/>
        <v>26249.72326542747</v>
      </c>
      <c r="L31" s="408">
        <f t="shared" si="5"/>
        <v>18845.152076173603</v>
      </c>
      <c r="M31" s="408">
        <f t="shared" si="5"/>
        <v>11440.580886919735</v>
      </c>
      <c r="N31" s="409">
        <f t="shared" si="5"/>
        <v>9.6976658533094451E-3</v>
      </c>
      <c r="O31" s="410">
        <f>O27+O29</f>
        <v>245.00969766546041</v>
      </c>
      <c r="P31" s="411">
        <f>P27+P29</f>
        <v>106549.03336835152</v>
      </c>
      <c r="Q31" s="409">
        <f>Q27+Q29</f>
        <v>185819.21839759452</v>
      </c>
      <c r="R31" s="409">
        <f>R27+R29</f>
        <v>352633.94260801096</v>
      </c>
      <c r="S31" s="409">
        <f>S27+S29</f>
        <v>537275.61763255298</v>
      </c>
    </row>
  </sheetData>
  <phoneticPr fontId="0" type="noConversion"/>
  <printOptions horizontalCentered="1" verticalCentered="1"/>
  <pageMargins left="0.23622047244094491" right="0.19685039370078741" top="0.23622047244094491" bottom="0.98425196850393704" header="0" footer="0"/>
  <pageSetup paperSize="9" scale="8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Hoja3">
    <tabColor rgb="FFFFFF00"/>
  </sheetPr>
  <dimension ref="A1:E36"/>
  <sheetViews>
    <sheetView showGridLines="0" workbookViewId="0">
      <selection activeCell="F31" sqref="F31"/>
    </sheetView>
  </sheetViews>
  <sheetFormatPr defaultColWidth="11.42578125" defaultRowHeight="11.25"/>
  <cols>
    <col min="1" max="1" width="38.5703125" style="2" customWidth="1"/>
    <col min="2" max="2" width="15.42578125" style="2" bestFit="1" customWidth="1"/>
    <col min="3" max="3" width="11.42578125" style="2"/>
    <col min="4" max="4" width="12.85546875" style="2" bestFit="1" customWidth="1"/>
    <col min="5" max="16384" width="11.42578125" style="2"/>
  </cols>
  <sheetData>
    <row r="1" spans="1:4" ht="18.75" thickBot="1">
      <c r="A1" s="22" t="s">
        <v>283</v>
      </c>
      <c r="B1" s="22"/>
      <c r="C1" s="22"/>
      <c r="D1" s="22"/>
    </row>
    <row r="2" spans="1:4">
      <c r="A2" s="38" t="s">
        <v>0</v>
      </c>
      <c r="B2" s="39" t="s">
        <v>1</v>
      </c>
      <c r="C2" s="39" t="s">
        <v>2</v>
      </c>
      <c r="D2" s="40" t="s">
        <v>3</v>
      </c>
    </row>
    <row r="3" spans="1:4" ht="12.75">
      <c r="A3" s="470" t="s">
        <v>8</v>
      </c>
      <c r="B3" s="471"/>
      <c r="C3" s="471"/>
      <c r="D3" s="472"/>
    </row>
    <row r="4" spans="1:4">
      <c r="A4" s="32" t="s">
        <v>4</v>
      </c>
      <c r="B4" s="33">
        <v>500</v>
      </c>
      <c r="C4" s="33">
        <v>4</v>
      </c>
      <c r="D4" s="34">
        <f>B4*C4</f>
        <v>2000</v>
      </c>
    </row>
    <row r="5" spans="1:4">
      <c r="A5" s="29" t="s">
        <v>5</v>
      </c>
      <c r="B5" s="27">
        <v>200</v>
      </c>
      <c r="C5" s="27">
        <v>1</v>
      </c>
      <c r="D5" s="28">
        <f>B5*C5</f>
        <v>200</v>
      </c>
    </row>
    <row r="6" spans="1:4">
      <c r="A6" s="29" t="s">
        <v>6</v>
      </c>
      <c r="B6" s="27">
        <v>70</v>
      </c>
      <c r="C6" s="27">
        <v>1</v>
      </c>
      <c r="D6" s="28">
        <f>B6*C6</f>
        <v>70</v>
      </c>
    </row>
    <row r="7" spans="1:4">
      <c r="A7" s="29"/>
      <c r="B7" s="27"/>
      <c r="C7" s="27"/>
      <c r="D7" s="28"/>
    </row>
    <row r="8" spans="1:4">
      <c r="A8" s="35" t="s">
        <v>16</v>
      </c>
      <c r="B8" s="36"/>
      <c r="C8" s="36"/>
      <c r="D8" s="37">
        <f>SUM(D4:D7)</f>
        <v>2270</v>
      </c>
    </row>
    <row r="9" spans="1:4">
      <c r="A9" s="29"/>
      <c r="B9" s="27"/>
      <c r="C9" s="27"/>
      <c r="D9" s="28"/>
    </row>
    <row r="10" spans="1:4" ht="12.75">
      <c r="A10" s="470" t="s">
        <v>7</v>
      </c>
      <c r="B10" s="471"/>
      <c r="C10" s="471"/>
      <c r="D10" s="472"/>
    </row>
    <row r="11" spans="1:4">
      <c r="A11" s="29" t="s">
        <v>9</v>
      </c>
      <c r="B11" s="27">
        <v>250</v>
      </c>
      <c r="C11" s="27">
        <v>4</v>
      </c>
      <c r="D11" s="28">
        <f>B11*C11</f>
        <v>1000</v>
      </c>
    </row>
    <row r="12" spans="1:4">
      <c r="A12" s="29" t="s">
        <v>10</v>
      </c>
      <c r="B12" s="27">
        <v>80</v>
      </c>
      <c r="C12" s="27">
        <v>6</v>
      </c>
      <c r="D12" s="28">
        <f>B12*C12</f>
        <v>480</v>
      </c>
    </row>
    <row r="13" spans="1:4">
      <c r="A13" s="29" t="s">
        <v>11</v>
      </c>
      <c r="B13" s="27">
        <v>80</v>
      </c>
      <c r="C13" s="27">
        <v>2</v>
      </c>
      <c r="D13" s="28">
        <f>B13*C13</f>
        <v>160</v>
      </c>
    </row>
    <row r="14" spans="1:4">
      <c r="A14" s="29" t="s">
        <v>12</v>
      </c>
      <c r="B14" s="27">
        <v>200</v>
      </c>
      <c r="C14" s="27">
        <v>1</v>
      </c>
      <c r="D14" s="28">
        <f>B14*C14</f>
        <v>200</v>
      </c>
    </row>
    <row r="15" spans="1:4">
      <c r="A15" s="29"/>
      <c r="B15" s="27"/>
      <c r="C15" s="27"/>
      <c r="D15" s="28"/>
    </row>
    <row r="16" spans="1:4">
      <c r="A16" s="35" t="s">
        <v>17</v>
      </c>
      <c r="B16" s="36"/>
      <c r="C16" s="36"/>
      <c r="D16" s="37">
        <f>SUM(D11:D15)</f>
        <v>1840</v>
      </c>
    </row>
    <row r="17" spans="1:5">
      <c r="A17" s="29"/>
      <c r="B17" s="27"/>
      <c r="C17" s="27"/>
      <c r="D17" s="28"/>
    </row>
    <row r="18" spans="1:5" ht="12.75">
      <c r="A18" s="470" t="s">
        <v>15</v>
      </c>
      <c r="B18" s="471"/>
      <c r="C18" s="471"/>
      <c r="D18" s="472"/>
    </row>
    <row r="19" spans="1:5">
      <c r="A19" s="29" t="s">
        <v>230</v>
      </c>
      <c r="B19" s="30">
        <v>800</v>
      </c>
      <c r="C19" s="27">
        <v>1</v>
      </c>
      <c r="D19" s="28">
        <f>B19*C19</f>
        <v>800</v>
      </c>
    </row>
    <row r="20" spans="1:5">
      <c r="A20" s="29" t="s">
        <v>13</v>
      </c>
      <c r="B20" s="27">
        <v>300</v>
      </c>
      <c r="C20" s="27">
        <v>1</v>
      </c>
      <c r="D20" s="28">
        <f>B20*C20</f>
        <v>300</v>
      </c>
    </row>
    <row r="21" spans="1:5">
      <c r="A21" s="31" t="s">
        <v>231</v>
      </c>
      <c r="B21" s="27">
        <v>25440</v>
      </c>
      <c r="C21" s="27">
        <v>1</v>
      </c>
      <c r="D21" s="28">
        <f>B21*C21</f>
        <v>25440</v>
      </c>
    </row>
    <row r="22" spans="1:5">
      <c r="A22" s="29" t="s">
        <v>14</v>
      </c>
      <c r="B22" s="27">
        <v>50</v>
      </c>
      <c r="C22" s="27">
        <v>5</v>
      </c>
      <c r="D22" s="28">
        <f>B22*C22</f>
        <v>250</v>
      </c>
    </row>
    <row r="23" spans="1:5">
      <c r="A23" s="35" t="s">
        <v>18</v>
      </c>
      <c r="B23" s="36"/>
      <c r="C23" s="36"/>
      <c r="D23" s="37">
        <f>SUM(D19:D22)</f>
        <v>26790</v>
      </c>
    </row>
    <row r="24" spans="1:5">
      <c r="A24" s="29"/>
      <c r="B24" s="27"/>
      <c r="C24" s="27"/>
      <c r="D24" s="28"/>
    </row>
    <row r="25" spans="1:5" ht="12.75">
      <c r="A25" s="470" t="s">
        <v>19</v>
      </c>
      <c r="B25" s="471"/>
      <c r="C25" s="471"/>
      <c r="D25" s="472"/>
    </row>
    <row r="26" spans="1:5">
      <c r="A26" s="31" t="s">
        <v>229</v>
      </c>
      <c r="B26" s="27">
        <v>12620</v>
      </c>
      <c r="C26" s="27">
        <v>1</v>
      </c>
      <c r="D26" s="28">
        <f t="shared" ref="D26:D31" si="0">B26*C26</f>
        <v>12620</v>
      </c>
    </row>
    <row r="27" spans="1:5">
      <c r="A27" s="31" t="s">
        <v>232</v>
      </c>
      <c r="B27" s="27">
        <v>200</v>
      </c>
      <c r="C27" s="27">
        <v>2</v>
      </c>
      <c r="D27" s="28">
        <f t="shared" si="0"/>
        <v>400</v>
      </c>
      <c r="E27" s="23"/>
    </row>
    <row r="28" spans="1:5">
      <c r="A28" s="31" t="s">
        <v>233</v>
      </c>
      <c r="B28" s="27">
        <v>950</v>
      </c>
      <c r="C28" s="27">
        <v>1</v>
      </c>
      <c r="D28" s="28">
        <f t="shared" si="0"/>
        <v>950</v>
      </c>
    </row>
    <row r="29" spans="1:5">
      <c r="A29" s="31" t="s">
        <v>234</v>
      </c>
      <c r="B29" s="27">
        <v>2300</v>
      </c>
      <c r="C29" s="27">
        <v>2</v>
      </c>
      <c r="D29" s="28">
        <f t="shared" si="0"/>
        <v>4600</v>
      </c>
    </row>
    <row r="30" spans="1:5">
      <c r="A30" s="31" t="s">
        <v>235</v>
      </c>
      <c r="B30" s="27">
        <v>180</v>
      </c>
      <c r="C30" s="27">
        <v>2</v>
      </c>
      <c r="D30" s="28">
        <f t="shared" si="0"/>
        <v>360</v>
      </c>
    </row>
    <row r="31" spans="1:5">
      <c r="A31" s="31" t="s">
        <v>236</v>
      </c>
      <c r="B31" s="27">
        <v>8.3000000000000007</v>
      </c>
      <c r="C31" s="27">
        <v>300</v>
      </c>
      <c r="D31" s="28">
        <f t="shared" si="0"/>
        <v>2490</v>
      </c>
    </row>
    <row r="32" spans="1:5">
      <c r="A32" s="31"/>
      <c r="B32" s="27"/>
      <c r="C32" s="27"/>
      <c r="D32" s="28"/>
    </row>
    <row r="33" spans="1:4">
      <c r="A33" s="35" t="s">
        <v>20</v>
      </c>
      <c r="B33" s="36"/>
      <c r="C33" s="36"/>
      <c r="D33" s="37">
        <f>SUM(D26:D32)</f>
        <v>21420</v>
      </c>
    </row>
    <row r="34" spans="1:4" ht="12" thickBot="1">
      <c r="A34" s="41"/>
      <c r="B34" s="42"/>
      <c r="C34" s="42"/>
      <c r="D34" s="43"/>
    </row>
    <row r="35" spans="1:4" ht="13.5" thickBot="1">
      <c r="A35" s="44" t="s">
        <v>21</v>
      </c>
      <c r="B35" s="45"/>
      <c r="C35" s="45"/>
      <c r="D35" s="46">
        <f>D8+D16+D23+D33</f>
        <v>52320</v>
      </c>
    </row>
    <row r="36" spans="1:4">
      <c r="A36" s="24"/>
      <c r="B36" s="5"/>
      <c r="C36" s="5"/>
      <c r="D36" s="25"/>
    </row>
  </sheetData>
  <mergeCells count="4">
    <mergeCell ref="A3:D3"/>
    <mergeCell ref="A10:D10"/>
    <mergeCell ref="A18:D18"/>
    <mergeCell ref="A25:D25"/>
  </mergeCells>
  <phoneticPr fontId="0" type="noConversion"/>
  <printOptions horizontalCentered="1" verticalCentered="1"/>
  <pageMargins left="0.51181102362204722" right="0.19685039370078741" top="0.43307086614173229" bottom="0.6692913385826772" header="0" footer="0"/>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Hoja9">
    <tabColor rgb="FFFFFF00"/>
  </sheetPr>
  <dimension ref="A1:H71"/>
  <sheetViews>
    <sheetView showGridLines="0" workbookViewId="0">
      <selection sqref="A1:F71"/>
    </sheetView>
  </sheetViews>
  <sheetFormatPr defaultColWidth="11.42578125" defaultRowHeight="10.5"/>
  <cols>
    <col min="1" max="1" width="17.28515625" style="1" bestFit="1" customWidth="1"/>
    <col min="2" max="2" width="11.42578125" style="1"/>
    <col min="3" max="3" width="13" style="1" bestFit="1" customWidth="1"/>
    <col min="4" max="4" width="15" style="1" bestFit="1" customWidth="1"/>
    <col min="5" max="5" width="15.28515625" style="1" bestFit="1" customWidth="1"/>
    <col min="6" max="6" width="15" style="1" bestFit="1" customWidth="1"/>
    <col min="7" max="16384" width="11.42578125" style="1"/>
  </cols>
  <sheetData>
    <row r="1" spans="1:6" ht="18">
      <c r="A1" s="22" t="s">
        <v>287</v>
      </c>
    </row>
    <row r="2" spans="1:6" ht="11.25" thickBot="1"/>
    <row r="3" spans="1:6" ht="21.75" thickBot="1">
      <c r="A3" s="184" t="s">
        <v>0</v>
      </c>
      <c r="B3" s="185" t="s">
        <v>46</v>
      </c>
      <c r="C3" s="185" t="s">
        <v>128</v>
      </c>
      <c r="D3" s="185" t="s">
        <v>47</v>
      </c>
      <c r="E3" s="185" t="s">
        <v>57</v>
      </c>
      <c r="F3" s="186" t="s">
        <v>58</v>
      </c>
    </row>
    <row r="4" spans="1:6">
      <c r="A4" s="483" t="s">
        <v>127</v>
      </c>
      <c r="B4" s="180">
        <v>0</v>
      </c>
      <c r="C4" s="181">
        <f>'Anexo2 - Activos Fijos'!D8</f>
        <v>2270</v>
      </c>
      <c r="D4" s="182">
        <v>0.33333333333333337</v>
      </c>
      <c r="E4" s="181"/>
      <c r="F4" s="183"/>
    </row>
    <row r="5" spans="1:6">
      <c r="A5" s="480"/>
      <c r="B5" s="94">
        <v>1</v>
      </c>
      <c r="C5" s="94"/>
      <c r="D5" s="94"/>
      <c r="E5" s="95">
        <f>$D$4*$C$4</f>
        <v>756.66666666666674</v>
      </c>
      <c r="F5" s="97">
        <f>E5</f>
        <v>756.66666666666674</v>
      </c>
    </row>
    <row r="6" spans="1:6">
      <c r="A6" s="480"/>
      <c r="B6" s="94">
        <v>2</v>
      </c>
      <c r="C6" s="94"/>
      <c r="D6" s="96"/>
      <c r="E6" s="95">
        <f>$D$4*$C$4</f>
        <v>756.66666666666674</v>
      </c>
      <c r="F6" s="97">
        <f>F5+E6</f>
        <v>1513.3333333333335</v>
      </c>
    </row>
    <row r="7" spans="1:6">
      <c r="A7" s="481"/>
      <c r="B7" s="94">
        <v>3</v>
      </c>
      <c r="C7" s="172"/>
      <c r="D7" s="173"/>
      <c r="E7" s="95">
        <f>$D$4*$C$4</f>
        <v>756.66666666666674</v>
      </c>
      <c r="F7" s="97">
        <f>F6+E7</f>
        <v>2270</v>
      </c>
    </row>
    <row r="8" spans="1:6">
      <c r="A8" s="481"/>
      <c r="B8" s="94">
        <v>4</v>
      </c>
      <c r="C8" s="239">
        <v>5000</v>
      </c>
      <c r="D8" s="173">
        <v>0.33333332999999998</v>
      </c>
      <c r="E8" s="95">
        <f>$D$8*$C$8</f>
        <v>1666.6666499999999</v>
      </c>
      <c r="F8" s="97">
        <f>F7+E8</f>
        <v>3936.6666500000001</v>
      </c>
    </row>
    <row r="9" spans="1:6">
      <c r="A9" s="481"/>
      <c r="B9" s="94">
        <v>5</v>
      </c>
      <c r="C9" s="172"/>
      <c r="D9" s="173"/>
      <c r="E9" s="95">
        <f>$D$8*$C$8</f>
        <v>1666.6666499999999</v>
      </c>
      <c r="F9" s="97">
        <f>F8+E9</f>
        <v>5603.3333000000002</v>
      </c>
    </row>
    <row r="10" spans="1:6" ht="11.25" thickBot="1">
      <c r="A10" s="482"/>
      <c r="B10" s="98"/>
      <c r="C10" s="98"/>
      <c r="D10" s="99"/>
      <c r="E10" s="100"/>
      <c r="F10" s="101"/>
    </row>
    <row r="11" spans="1:6" ht="11.25" thickBot="1"/>
    <row r="12" spans="1:6" ht="21.75" thickBot="1">
      <c r="A12" s="174" t="s">
        <v>0</v>
      </c>
      <c r="B12" s="185" t="s">
        <v>46</v>
      </c>
      <c r="C12" s="185" t="s">
        <v>128</v>
      </c>
      <c r="D12" s="185" t="s">
        <v>47</v>
      </c>
      <c r="E12" s="185" t="s">
        <v>57</v>
      </c>
      <c r="F12" s="186" t="s">
        <v>58</v>
      </c>
    </row>
    <row r="13" spans="1:6" ht="12.75" customHeight="1">
      <c r="A13" s="484" t="s">
        <v>7</v>
      </c>
      <c r="B13" s="313">
        <v>0</v>
      </c>
      <c r="C13" s="178">
        <f>'Anexo2 - Activos Fijos'!D16</f>
        <v>1840</v>
      </c>
      <c r="D13" s="179">
        <v>0.1</v>
      </c>
      <c r="E13" s="178"/>
      <c r="F13" s="92"/>
    </row>
    <row r="14" spans="1:6">
      <c r="A14" s="485"/>
      <c r="B14" s="314">
        <v>1</v>
      </c>
      <c r="C14" s="94"/>
      <c r="D14" s="94"/>
      <c r="E14" s="95">
        <f>$D$13*$C$13</f>
        <v>184</v>
      </c>
      <c r="F14" s="97">
        <f>E14</f>
        <v>184</v>
      </c>
    </row>
    <row r="15" spans="1:6">
      <c r="A15" s="485"/>
      <c r="B15" s="314">
        <v>2</v>
      </c>
      <c r="C15" s="94"/>
      <c r="D15" s="96"/>
      <c r="E15" s="95">
        <f>$D$13*$C$13</f>
        <v>184</v>
      </c>
      <c r="F15" s="97">
        <f>F14+E15</f>
        <v>368</v>
      </c>
    </row>
    <row r="16" spans="1:6">
      <c r="A16" s="485"/>
      <c r="B16" s="314">
        <v>3</v>
      </c>
      <c r="C16" s="94"/>
      <c r="D16" s="96"/>
      <c r="E16" s="95">
        <f>$D$13*$C$13</f>
        <v>184</v>
      </c>
      <c r="F16" s="97">
        <f>F15+E16</f>
        <v>552</v>
      </c>
    </row>
    <row r="17" spans="1:6">
      <c r="A17" s="485"/>
      <c r="B17" s="314">
        <v>4</v>
      </c>
      <c r="C17" s="94"/>
      <c r="D17" s="96"/>
      <c r="E17" s="95">
        <f>$D$13*$C$13</f>
        <v>184</v>
      </c>
      <c r="F17" s="97">
        <f>F16+E17</f>
        <v>736</v>
      </c>
    </row>
    <row r="18" spans="1:6">
      <c r="A18" s="486"/>
      <c r="B18" s="315">
        <v>5</v>
      </c>
      <c r="C18" s="172"/>
      <c r="D18" s="173"/>
      <c r="E18" s="95">
        <f t="shared" ref="E18:E23" si="0">$D$13*$C$13</f>
        <v>184</v>
      </c>
      <c r="F18" s="97">
        <f t="shared" ref="F18:F23" si="1">F17+E18</f>
        <v>920</v>
      </c>
    </row>
    <row r="19" spans="1:6">
      <c r="A19" s="486"/>
      <c r="B19" s="315">
        <v>6</v>
      </c>
      <c r="C19" s="172"/>
      <c r="D19" s="173"/>
      <c r="E19" s="95">
        <f t="shared" si="0"/>
        <v>184</v>
      </c>
      <c r="F19" s="97">
        <f t="shared" si="1"/>
        <v>1104</v>
      </c>
    </row>
    <row r="20" spans="1:6">
      <c r="A20" s="486"/>
      <c r="B20" s="315">
        <v>7</v>
      </c>
      <c r="C20" s="172"/>
      <c r="D20" s="173"/>
      <c r="E20" s="95">
        <f t="shared" si="0"/>
        <v>184</v>
      </c>
      <c r="F20" s="97">
        <f t="shared" si="1"/>
        <v>1288</v>
      </c>
    </row>
    <row r="21" spans="1:6">
      <c r="A21" s="486"/>
      <c r="B21" s="315">
        <v>8</v>
      </c>
      <c r="C21" s="172"/>
      <c r="D21" s="173"/>
      <c r="E21" s="95">
        <f t="shared" si="0"/>
        <v>184</v>
      </c>
      <c r="F21" s="97">
        <f t="shared" si="1"/>
        <v>1472</v>
      </c>
    </row>
    <row r="22" spans="1:6">
      <c r="A22" s="486"/>
      <c r="B22" s="315">
        <v>9</v>
      </c>
      <c r="C22" s="172"/>
      <c r="D22" s="173"/>
      <c r="E22" s="95">
        <f t="shared" si="0"/>
        <v>184</v>
      </c>
      <c r="F22" s="97">
        <f t="shared" si="1"/>
        <v>1656</v>
      </c>
    </row>
    <row r="23" spans="1:6" ht="11.25" thickBot="1">
      <c r="A23" s="487"/>
      <c r="B23" s="316">
        <v>10</v>
      </c>
      <c r="C23" s="98"/>
      <c r="D23" s="99"/>
      <c r="E23" s="100">
        <f t="shared" si="0"/>
        <v>184</v>
      </c>
      <c r="F23" s="101">
        <f t="shared" si="1"/>
        <v>1840</v>
      </c>
    </row>
    <row r="24" spans="1:6" ht="11.25" thickBot="1">
      <c r="A24" s="168"/>
      <c r="B24" s="169"/>
      <c r="C24" s="169"/>
      <c r="D24" s="170"/>
      <c r="E24" s="171"/>
      <c r="F24" s="171"/>
    </row>
    <row r="25" spans="1:6" ht="21.75" thickBot="1">
      <c r="A25" s="174" t="s">
        <v>0</v>
      </c>
      <c r="B25" s="175" t="s">
        <v>46</v>
      </c>
      <c r="C25" s="175" t="s">
        <v>128</v>
      </c>
      <c r="D25" s="175" t="s">
        <v>47</v>
      </c>
      <c r="E25" s="175" t="s">
        <v>57</v>
      </c>
      <c r="F25" s="176" t="s">
        <v>58</v>
      </c>
    </row>
    <row r="26" spans="1:6">
      <c r="A26" s="479" t="s">
        <v>15</v>
      </c>
      <c r="B26" s="177">
        <v>0</v>
      </c>
      <c r="C26" s="178">
        <f>'Anexo2 - Activos Fijos'!D23</f>
        <v>26790</v>
      </c>
      <c r="D26" s="179">
        <v>0.1</v>
      </c>
      <c r="E26" s="178"/>
      <c r="F26" s="92"/>
    </row>
    <row r="27" spans="1:6">
      <c r="A27" s="480"/>
      <c r="B27" s="94">
        <v>1</v>
      </c>
      <c r="C27" s="94"/>
      <c r="D27" s="94"/>
      <c r="E27" s="95">
        <f>$D$26*$C$26</f>
        <v>2679</v>
      </c>
      <c r="F27" s="97">
        <f>E27</f>
        <v>2679</v>
      </c>
    </row>
    <row r="28" spans="1:6">
      <c r="A28" s="480"/>
      <c r="B28" s="94">
        <v>2</v>
      </c>
      <c r="C28" s="94"/>
      <c r="D28" s="96"/>
      <c r="E28" s="95">
        <f>$D$26*$C$26</f>
        <v>2679</v>
      </c>
      <c r="F28" s="97">
        <f>F27+E28</f>
        <v>5358</v>
      </c>
    </row>
    <row r="29" spans="1:6">
      <c r="A29" s="480"/>
      <c r="B29" s="94">
        <v>3</v>
      </c>
      <c r="C29" s="94"/>
      <c r="D29" s="96"/>
      <c r="E29" s="95">
        <f>$D$26*$C$26</f>
        <v>2679</v>
      </c>
      <c r="F29" s="97">
        <f>F28+E29</f>
        <v>8037</v>
      </c>
    </row>
    <row r="30" spans="1:6">
      <c r="A30" s="480"/>
      <c r="B30" s="94">
        <v>4</v>
      </c>
      <c r="C30" s="94"/>
      <c r="D30" s="96"/>
      <c r="E30" s="95">
        <f>$D$26*$C$26</f>
        <v>2679</v>
      </c>
      <c r="F30" s="97">
        <f>F29+E30</f>
        <v>10716</v>
      </c>
    </row>
    <row r="31" spans="1:6">
      <c r="A31" s="481"/>
      <c r="B31" s="172">
        <v>5</v>
      </c>
      <c r="C31" s="172"/>
      <c r="D31" s="173"/>
      <c r="E31" s="95">
        <f t="shared" ref="E31:E36" si="2">$D$26*$C$26</f>
        <v>2679</v>
      </c>
      <c r="F31" s="97">
        <f t="shared" ref="F31:F36" si="3">F30+E31</f>
        <v>13395</v>
      </c>
    </row>
    <row r="32" spans="1:6">
      <c r="A32" s="481"/>
      <c r="B32" s="172">
        <v>6</v>
      </c>
      <c r="C32" s="172"/>
      <c r="D32" s="173"/>
      <c r="E32" s="95">
        <f t="shared" si="2"/>
        <v>2679</v>
      </c>
      <c r="F32" s="97">
        <f t="shared" si="3"/>
        <v>16074</v>
      </c>
    </row>
    <row r="33" spans="1:6">
      <c r="A33" s="481"/>
      <c r="B33" s="172">
        <v>7</v>
      </c>
      <c r="C33" s="172"/>
      <c r="D33" s="173"/>
      <c r="E33" s="95">
        <f t="shared" si="2"/>
        <v>2679</v>
      </c>
      <c r="F33" s="97">
        <f t="shared" si="3"/>
        <v>18753</v>
      </c>
    </row>
    <row r="34" spans="1:6">
      <c r="A34" s="481"/>
      <c r="B34" s="172">
        <v>8</v>
      </c>
      <c r="C34" s="172"/>
      <c r="D34" s="173"/>
      <c r="E34" s="95">
        <f t="shared" si="2"/>
        <v>2679</v>
      </c>
      <c r="F34" s="97">
        <f t="shared" si="3"/>
        <v>21432</v>
      </c>
    </row>
    <row r="35" spans="1:6">
      <c r="A35" s="481"/>
      <c r="B35" s="172">
        <v>9</v>
      </c>
      <c r="C35" s="172"/>
      <c r="D35" s="173"/>
      <c r="E35" s="95">
        <f t="shared" si="2"/>
        <v>2679</v>
      </c>
      <c r="F35" s="97">
        <f t="shared" si="3"/>
        <v>24111</v>
      </c>
    </row>
    <row r="36" spans="1:6">
      <c r="A36" s="481"/>
      <c r="B36" s="172">
        <v>10</v>
      </c>
      <c r="C36" s="172"/>
      <c r="D36" s="173"/>
      <c r="E36" s="95">
        <f t="shared" si="2"/>
        <v>2679</v>
      </c>
      <c r="F36" s="97">
        <f t="shared" si="3"/>
        <v>26790</v>
      </c>
    </row>
    <row r="37" spans="1:6" ht="11.25" thickBot="1">
      <c r="A37" s="482"/>
      <c r="B37" s="98"/>
      <c r="C37" s="98"/>
      <c r="D37" s="99"/>
      <c r="E37" s="100"/>
      <c r="F37" s="101"/>
    </row>
    <row r="39" spans="1:6" ht="21.75" hidden="1" thickBot="1">
      <c r="A39" s="174" t="s">
        <v>0</v>
      </c>
      <c r="B39" s="175" t="s">
        <v>46</v>
      </c>
      <c r="C39" s="175" t="s">
        <v>128</v>
      </c>
      <c r="D39" s="185" t="s">
        <v>47</v>
      </c>
      <c r="E39" s="175" t="s">
        <v>57</v>
      </c>
      <c r="F39" s="176" t="s">
        <v>58</v>
      </c>
    </row>
    <row r="40" spans="1:6" hidden="1">
      <c r="A40" s="476" t="s">
        <v>220</v>
      </c>
      <c r="B40" s="177"/>
      <c r="C40" s="178"/>
      <c r="E40" s="178"/>
      <c r="F40" s="92"/>
    </row>
    <row r="41" spans="1:6" hidden="1">
      <c r="A41" s="477"/>
      <c r="B41" s="94">
        <v>1</v>
      </c>
      <c r="C41" s="94"/>
      <c r="D41" s="94"/>
      <c r="E41" s="95"/>
      <c r="F41" s="97"/>
    </row>
    <row r="42" spans="1:6" hidden="1">
      <c r="A42" s="477"/>
      <c r="B42" s="94">
        <v>2</v>
      </c>
      <c r="C42" s="94"/>
      <c r="D42" s="94"/>
      <c r="E42" s="95"/>
      <c r="F42" s="97"/>
    </row>
    <row r="43" spans="1:6" hidden="1">
      <c r="A43" s="477"/>
      <c r="B43" s="94">
        <v>3</v>
      </c>
      <c r="E43" s="95"/>
      <c r="F43" s="97"/>
    </row>
    <row r="44" spans="1:6" hidden="1">
      <c r="A44" s="477"/>
      <c r="B44" s="94">
        <v>4</v>
      </c>
      <c r="C44" s="95">
        <v>0</v>
      </c>
      <c r="D44" s="238">
        <v>0</v>
      </c>
      <c r="E44" s="95">
        <f t="shared" ref="E44:E53" si="4">$D$44*$C$44</f>
        <v>0</v>
      </c>
      <c r="F44" s="97">
        <f>F43+E44</f>
        <v>0</v>
      </c>
    </row>
    <row r="45" spans="1:6" hidden="1">
      <c r="A45" s="477"/>
      <c r="B45" s="172">
        <v>5</v>
      </c>
      <c r="C45" s="172"/>
      <c r="D45" s="173"/>
      <c r="E45" s="95">
        <f t="shared" si="4"/>
        <v>0</v>
      </c>
      <c r="F45" s="97">
        <f t="shared" ref="F45:F53" si="5">F44+E45</f>
        <v>0</v>
      </c>
    </row>
    <row r="46" spans="1:6" hidden="1">
      <c r="A46" s="477"/>
      <c r="B46" s="172">
        <v>6</v>
      </c>
      <c r="C46" s="172"/>
      <c r="D46" s="173"/>
      <c r="E46" s="95">
        <f t="shared" si="4"/>
        <v>0</v>
      </c>
      <c r="F46" s="97">
        <f t="shared" si="5"/>
        <v>0</v>
      </c>
    </row>
    <row r="47" spans="1:6" hidden="1">
      <c r="A47" s="477"/>
      <c r="B47" s="172">
        <v>7</v>
      </c>
      <c r="C47" s="172"/>
      <c r="D47" s="173"/>
      <c r="E47" s="95">
        <f t="shared" si="4"/>
        <v>0</v>
      </c>
      <c r="F47" s="97">
        <f t="shared" si="5"/>
        <v>0</v>
      </c>
    </row>
    <row r="48" spans="1:6" hidden="1">
      <c r="A48" s="477"/>
      <c r="B48" s="172">
        <v>8</v>
      </c>
      <c r="C48" s="172"/>
      <c r="D48" s="173"/>
      <c r="E48" s="95">
        <f t="shared" si="4"/>
        <v>0</v>
      </c>
      <c r="F48" s="97">
        <f t="shared" si="5"/>
        <v>0</v>
      </c>
    </row>
    <row r="49" spans="1:8" hidden="1">
      <c r="A49" s="477"/>
      <c r="B49" s="172">
        <v>9</v>
      </c>
      <c r="C49" s="172"/>
      <c r="D49" s="173"/>
      <c r="E49" s="95">
        <f t="shared" si="4"/>
        <v>0</v>
      </c>
      <c r="F49" s="97">
        <f t="shared" si="5"/>
        <v>0</v>
      </c>
    </row>
    <row r="50" spans="1:8" hidden="1">
      <c r="A50" s="477"/>
      <c r="B50" s="172">
        <v>10</v>
      </c>
      <c r="C50" s="172"/>
      <c r="D50" s="173"/>
      <c r="E50" s="95">
        <f t="shared" si="4"/>
        <v>0</v>
      </c>
      <c r="F50" s="97">
        <f t="shared" si="5"/>
        <v>0</v>
      </c>
    </row>
    <row r="51" spans="1:8" hidden="1">
      <c r="A51" s="477"/>
      <c r="B51" s="172">
        <v>11</v>
      </c>
      <c r="C51" s="172"/>
      <c r="D51" s="173"/>
      <c r="E51" s="95">
        <f t="shared" si="4"/>
        <v>0</v>
      </c>
      <c r="F51" s="97">
        <f t="shared" si="5"/>
        <v>0</v>
      </c>
    </row>
    <row r="52" spans="1:8" hidden="1">
      <c r="A52" s="477"/>
      <c r="B52" s="172">
        <v>12</v>
      </c>
      <c r="C52" s="172"/>
      <c r="D52" s="173"/>
      <c r="E52" s="95">
        <f t="shared" si="4"/>
        <v>0</v>
      </c>
      <c r="F52" s="97">
        <f t="shared" si="5"/>
        <v>0</v>
      </c>
    </row>
    <row r="53" spans="1:8" hidden="1">
      <c r="A53" s="477"/>
      <c r="B53" s="172">
        <v>13</v>
      </c>
      <c r="C53" s="172"/>
      <c r="D53" s="173"/>
      <c r="E53" s="95">
        <f t="shared" si="4"/>
        <v>0</v>
      </c>
      <c r="F53" s="97">
        <f t="shared" si="5"/>
        <v>0</v>
      </c>
    </row>
    <row r="54" spans="1:8" ht="11.25" hidden="1" thickBot="1">
      <c r="A54" s="478"/>
      <c r="B54" s="98"/>
      <c r="C54" s="98"/>
      <c r="D54" s="99"/>
      <c r="E54" s="100"/>
      <c r="F54" s="101"/>
    </row>
    <row r="55" spans="1:8" ht="11.25" thickBot="1"/>
    <row r="56" spans="1:8" ht="21.75" thickBot="1">
      <c r="A56" s="184" t="s">
        <v>0</v>
      </c>
      <c r="B56" s="185" t="s">
        <v>46</v>
      </c>
      <c r="C56" s="185" t="s">
        <v>128</v>
      </c>
      <c r="D56" s="185" t="s">
        <v>47</v>
      </c>
      <c r="E56" s="185" t="s">
        <v>57</v>
      </c>
      <c r="F56" s="186" t="s">
        <v>58</v>
      </c>
    </row>
    <row r="57" spans="1:8" ht="10.5" customHeight="1">
      <c r="A57" s="476" t="s">
        <v>19</v>
      </c>
      <c r="B57" s="180">
        <v>1</v>
      </c>
      <c r="C57" s="181">
        <f>'Anexo2 - Activos Fijos'!D33</f>
        <v>21420</v>
      </c>
      <c r="D57" s="182">
        <v>0.2</v>
      </c>
      <c r="E57" s="181">
        <f>$D$57*$C$57</f>
        <v>4284</v>
      </c>
      <c r="F57" s="183">
        <f>E57</f>
        <v>4284</v>
      </c>
    </row>
    <row r="58" spans="1:8" ht="12.75" customHeight="1">
      <c r="A58" s="477"/>
      <c r="B58" s="94">
        <v>2</v>
      </c>
      <c r="C58" s="95"/>
      <c r="D58" s="96"/>
      <c r="E58" s="95">
        <f>$D$57*$C$57+$C$58*$D$57</f>
        <v>4284</v>
      </c>
      <c r="F58" s="97">
        <f>F57+E58</f>
        <v>8568</v>
      </c>
    </row>
    <row r="59" spans="1:8" ht="12.75" customHeight="1">
      <c r="A59" s="477"/>
      <c r="B59" s="94">
        <v>3</v>
      </c>
      <c r="C59" s="95"/>
      <c r="D59" s="96"/>
      <c r="E59" s="95">
        <f>$D$57*$C$57+$C$58*$D$57+$C$59*$D$57</f>
        <v>4284</v>
      </c>
      <c r="F59" s="97">
        <f>F58+E59</f>
        <v>12852</v>
      </c>
    </row>
    <row r="60" spans="1:8" ht="12.75" customHeight="1">
      <c r="A60" s="477"/>
      <c r="B60" s="94">
        <v>4</v>
      </c>
      <c r="C60" s="95"/>
      <c r="D60" s="96"/>
      <c r="E60" s="95">
        <f>$D$57*$C$57+$C$58*$D$57+$C$59*$D$57+$C$60*$D$57</f>
        <v>4284</v>
      </c>
      <c r="F60" s="97">
        <f>F59+E60</f>
        <v>17136</v>
      </c>
      <c r="H60" s="63"/>
    </row>
    <row r="61" spans="1:8" ht="12.75" customHeight="1">
      <c r="A61" s="477"/>
      <c r="B61" s="94">
        <v>5</v>
      </c>
      <c r="C61" s="95"/>
      <c r="D61" s="173"/>
      <c r="E61" s="95">
        <f>$D$57*$C$57+$C$58*$D$57+$C$59*$D$57+$C$60*$D$57</f>
        <v>4284</v>
      </c>
      <c r="F61" s="97">
        <f>F60+E61</f>
        <v>21420</v>
      </c>
    </row>
    <row r="62" spans="1:8" ht="13.5" customHeight="1" thickBot="1">
      <c r="A62" s="478"/>
      <c r="B62" s="98"/>
      <c r="C62" s="98"/>
      <c r="D62" s="99"/>
      <c r="E62" s="100"/>
      <c r="F62" s="101"/>
    </row>
    <row r="63" spans="1:8" ht="11.25" thickBot="1">
      <c r="C63" s="63"/>
    </row>
    <row r="64" spans="1:8" ht="21.75" thickBot="1">
      <c r="A64" s="187" t="s">
        <v>0</v>
      </c>
      <c r="B64" s="188" t="s">
        <v>46</v>
      </c>
      <c r="C64" s="189" t="s">
        <v>57</v>
      </c>
      <c r="D64" s="190" t="s">
        <v>58</v>
      </c>
    </row>
    <row r="65" spans="1:6">
      <c r="A65" s="473" t="s">
        <v>48</v>
      </c>
      <c r="B65" s="177"/>
      <c r="C65" s="91"/>
      <c r="D65" s="191"/>
    </row>
    <row r="66" spans="1:6" ht="12.75" customHeight="1">
      <c r="A66" s="474"/>
      <c r="B66" s="94">
        <v>1</v>
      </c>
      <c r="C66" s="82">
        <f>E5+E14+E27+E57+E41</f>
        <v>7903.666666666667</v>
      </c>
      <c r="D66" s="51">
        <f>+D65+C66</f>
        <v>7903.666666666667</v>
      </c>
    </row>
    <row r="67" spans="1:6" ht="12.75" customHeight="1">
      <c r="A67" s="474"/>
      <c r="B67" s="94">
        <v>2</v>
      </c>
      <c r="C67" s="82">
        <f>E6+E15+E28+E58+E42</f>
        <v>7903.666666666667</v>
      </c>
      <c r="D67" s="51">
        <f>+D66+C67</f>
        <v>15807.333333333334</v>
      </c>
    </row>
    <row r="68" spans="1:6" ht="12.75" customHeight="1">
      <c r="A68" s="474"/>
      <c r="B68" s="94">
        <v>3</v>
      </c>
      <c r="C68" s="82">
        <f>E7+E16+E29+E59+E43</f>
        <v>7903.666666666667</v>
      </c>
      <c r="D68" s="51">
        <f>+D67+C68</f>
        <v>23711</v>
      </c>
      <c r="F68" s="63"/>
    </row>
    <row r="69" spans="1:6" ht="12.75" customHeight="1">
      <c r="A69" s="474"/>
      <c r="B69" s="94">
        <v>4</v>
      </c>
      <c r="C69" s="82">
        <f>E8+E17+E30+E60+E44</f>
        <v>8813.6666499999992</v>
      </c>
      <c r="D69" s="51">
        <f>+D68+C69</f>
        <v>32524.666649999999</v>
      </c>
    </row>
    <row r="70" spans="1:6" ht="12.75" customHeight="1">
      <c r="A70" s="474"/>
      <c r="B70" s="172">
        <v>5</v>
      </c>
      <c r="C70" s="82">
        <f>E9+E18+E31+E61+E45</f>
        <v>8813.6666499999992</v>
      </c>
      <c r="D70" s="51">
        <f>+D69+C70</f>
        <v>41338.333299999998</v>
      </c>
    </row>
    <row r="71" spans="1:6" ht="13.5" customHeight="1" thickBot="1">
      <c r="A71" s="475"/>
      <c r="B71" s="98"/>
      <c r="C71" s="85"/>
      <c r="D71" s="86"/>
    </row>
  </sheetData>
  <mergeCells count="6">
    <mergeCell ref="A65:A71"/>
    <mergeCell ref="A57:A62"/>
    <mergeCell ref="A26:A37"/>
    <mergeCell ref="A4:A10"/>
    <mergeCell ref="A13:A23"/>
    <mergeCell ref="A40:A54"/>
  </mergeCells>
  <phoneticPr fontId="0" type="noConversion"/>
  <printOptions horizontalCentered="1" verticalCentered="1"/>
  <pageMargins left="0.74803149606299213" right="0.74803149606299213" top="0.43307086614173229" bottom="0.6692913385826772" header="0" footer="0"/>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sheetPr codeName="Hoja10">
    <tabColor rgb="FFFFFF00"/>
  </sheetPr>
  <dimension ref="A1:K399"/>
  <sheetViews>
    <sheetView showGridLines="0" topLeftCell="A26" workbookViewId="0">
      <selection sqref="A1:I50"/>
    </sheetView>
  </sheetViews>
  <sheetFormatPr defaultColWidth="9.140625" defaultRowHeight="12.75"/>
  <cols>
    <col min="1" max="1" width="8" style="221" customWidth="1"/>
    <col min="2" max="2" width="12.140625" style="221" customWidth="1"/>
    <col min="3" max="3" width="14.140625" style="221" customWidth="1"/>
    <col min="4" max="4" width="15.28515625" style="221" customWidth="1"/>
    <col min="5" max="5" width="12" style="221" customWidth="1"/>
    <col min="6" max="6" width="13.140625" style="221" customWidth="1"/>
    <col min="7" max="7" width="13.42578125" style="221" customWidth="1"/>
    <col min="8" max="8" width="14.42578125" style="221" bestFit="1" customWidth="1"/>
    <col min="9" max="9" width="14.28515625" style="221" customWidth="1"/>
    <col min="10" max="10" width="6.140625" style="221" customWidth="1"/>
    <col min="11" max="11" width="9.140625" style="222" customWidth="1"/>
    <col min="12" max="12" width="15.28515625" style="222" customWidth="1"/>
    <col min="13" max="16384" width="9.140625" style="222"/>
  </cols>
  <sheetData>
    <row r="1" spans="1:10" ht="24" customHeight="1">
      <c r="A1" s="22" t="s">
        <v>286</v>
      </c>
      <c r="B1" s="220"/>
      <c r="C1" s="220"/>
      <c r="D1" s="220"/>
      <c r="E1" s="220"/>
      <c r="F1" s="220"/>
      <c r="G1" s="220"/>
      <c r="H1" s="220"/>
      <c r="I1" s="220"/>
    </row>
    <row r="2" spans="1:10" ht="12" customHeight="1">
      <c r="A2" s="224"/>
      <c r="B2" s="224"/>
      <c r="C2" s="224"/>
      <c r="D2" s="224"/>
      <c r="E2" s="224"/>
      <c r="F2" s="224"/>
      <c r="G2" s="224"/>
      <c r="H2" s="224"/>
      <c r="I2" s="224"/>
    </row>
    <row r="3" spans="1:10" ht="14.25" customHeight="1">
      <c r="A3" s="223"/>
      <c r="B3" s="488" t="s">
        <v>187</v>
      </c>
      <c r="C3" s="489"/>
      <c r="D3" s="490"/>
      <c r="E3" s="220"/>
      <c r="F3" s="488" t="s">
        <v>188</v>
      </c>
      <c r="G3" s="489"/>
      <c r="H3" s="490"/>
      <c r="I3" s="220"/>
      <c r="J3" s="225"/>
    </row>
    <row r="4" spans="1:10">
      <c r="A4" s="226"/>
      <c r="B4" s="282"/>
      <c r="C4" s="283" t="s">
        <v>189</v>
      </c>
      <c r="D4" s="284">
        <f>+'Anexo - Flujo de Caja'!B6</f>
        <v>142621.37</v>
      </c>
      <c r="E4" s="220"/>
      <c r="F4" s="282"/>
      <c r="G4" s="283" t="s">
        <v>190</v>
      </c>
      <c r="H4" s="291">
        <f>IF(Values_Entered,-PMT(Interest_Rate/Num_Pmt_Per_Year,Loan_Years*Num_Pmt_Per_Year,Loan_Amount),"")</f>
        <v>5156.1041801143792</v>
      </c>
      <c r="I4" s="220"/>
      <c r="J4" s="225"/>
    </row>
    <row r="5" spans="1:10">
      <c r="A5" s="226"/>
      <c r="B5" s="493" t="s">
        <v>191</v>
      </c>
      <c r="C5" s="494"/>
      <c r="D5" s="285">
        <v>0.18</v>
      </c>
      <c r="E5" s="220"/>
      <c r="F5" s="282"/>
      <c r="G5" s="283" t="s">
        <v>192</v>
      </c>
      <c r="H5" s="292">
        <f>IF(Values_Entered,Loan_Years*Num_Pmt_Per_Year,"")</f>
        <v>36</v>
      </c>
      <c r="I5" s="228"/>
      <c r="J5" s="225"/>
    </row>
    <row r="6" spans="1:10">
      <c r="A6" s="226"/>
      <c r="B6" s="282"/>
      <c r="C6" s="283" t="s">
        <v>193</v>
      </c>
      <c r="D6" s="286">
        <v>3</v>
      </c>
      <c r="E6" s="220"/>
      <c r="F6" s="282"/>
      <c r="G6" s="283" t="s">
        <v>194</v>
      </c>
      <c r="H6" s="292">
        <f>IF(Values_Entered,Number_of_Payments,"")</f>
        <v>36</v>
      </c>
      <c r="I6" s="228"/>
      <c r="J6" s="225"/>
    </row>
    <row r="7" spans="1:10">
      <c r="A7" s="226"/>
      <c r="B7" s="282"/>
      <c r="C7" s="283" t="s">
        <v>195</v>
      </c>
      <c r="D7" s="286">
        <v>12</v>
      </c>
      <c r="E7" s="220"/>
      <c r="F7" s="282"/>
      <c r="G7" s="283" t="s">
        <v>196</v>
      </c>
      <c r="H7" s="291">
        <f>IF(Values_Entered,SUMIF(Beg_Bal,"&gt;0",Extra_Pay),"")</f>
        <v>0</v>
      </c>
      <c r="I7" s="228"/>
      <c r="J7" s="225"/>
    </row>
    <row r="8" spans="1:10">
      <c r="A8" s="226"/>
      <c r="B8" s="282"/>
      <c r="C8" s="283" t="s">
        <v>197</v>
      </c>
      <c r="D8" s="287">
        <v>40179</v>
      </c>
      <c r="E8" s="220"/>
      <c r="F8" s="495" t="s">
        <v>198</v>
      </c>
      <c r="G8" s="496"/>
      <c r="H8" s="293">
        <f>IF(Values_Entered,SUMIF(Beg_Bal,"&gt;0",Int),"")</f>
        <v>42998.380484116009</v>
      </c>
      <c r="I8" s="228"/>
      <c r="J8" s="225"/>
    </row>
    <row r="9" spans="1:10">
      <c r="A9" s="226"/>
      <c r="B9" s="288"/>
      <c r="C9" s="289" t="s">
        <v>199</v>
      </c>
      <c r="D9" s="290"/>
      <c r="E9" s="220"/>
      <c r="F9" s="223"/>
      <c r="G9" s="223"/>
      <c r="H9" s="223"/>
      <c r="I9" s="228"/>
      <c r="J9" s="225"/>
    </row>
    <row r="10" spans="1:10">
      <c r="A10" s="223"/>
      <c r="B10" s="223"/>
      <c r="C10" s="223"/>
      <c r="D10" s="223"/>
      <c r="E10" s="223"/>
      <c r="F10" s="223"/>
      <c r="G10" s="223"/>
      <c r="H10" s="223"/>
      <c r="I10" s="223"/>
      <c r="J10" s="225"/>
    </row>
    <row r="11" spans="1:10">
      <c r="A11" s="223"/>
      <c r="B11" s="229" t="s">
        <v>200</v>
      </c>
      <c r="C11" s="491" t="s">
        <v>237</v>
      </c>
      <c r="D11" s="492"/>
      <c r="E11" s="230"/>
      <c r="F11" s="223"/>
      <c r="G11" s="223"/>
      <c r="H11" s="223"/>
      <c r="I11" s="223"/>
      <c r="J11" s="225"/>
    </row>
    <row r="12" spans="1:10" ht="13.5" customHeight="1" thickBot="1">
      <c r="A12" s="223"/>
      <c r="B12" s="223"/>
      <c r="C12" s="223"/>
      <c r="D12" s="223"/>
      <c r="E12" s="223"/>
      <c r="F12" s="223"/>
      <c r="G12" s="223"/>
      <c r="H12" s="223"/>
      <c r="I12" s="223"/>
      <c r="J12" s="225"/>
    </row>
    <row r="13" spans="1:10" s="232" customFormat="1" ht="31.5" customHeight="1" thickBot="1">
      <c r="A13" s="303" t="s">
        <v>201</v>
      </c>
      <c r="B13" s="304" t="s">
        <v>202</v>
      </c>
      <c r="C13" s="304" t="s">
        <v>203</v>
      </c>
      <c r="D13" s="304" t="s">
        <v>190</v>
      </c>
      <c r="E13" s="304" t="s">
        <v>204</v>
      </c>
      <c r="F13" s="304" t="s">
        <v>205</v>
      </c>
      <c r="G13" s="304" t="s">
        <v>206</v>
      </c>
      <c r="H13" s="304" t="s">
        <v>156</v>
      </c>
      <c r="I13" s="305" t="s">
        <v>207</v>
      </c>
      <c r="J13" s="231"/>
    </row>
    <row r="14" spans="1:10" s="232" customFormat="1" ht="3" customHeight="1" thickBot="1">
      <c r="A14" s="224"/>
      <c r="B14" s="301"/>
      <c r="C14" s="301"/>
      <c r="D14" s="301"/>
      <c r="E14" s="301"/>
      <c r="F14" s="301"/>
      <c r="G14" s="301"/>
      <c r="H14" s="301"/>
      <c r="I14" s="302"/>
      <c r="J14" s="231"/>
    </row>
    <row r="15" spans="1:10" s="232" customFormat="1">
      <c r="A15" s="317">
        <f>IF(Values_Entered,1,"")</f>
        <v>1</v>
      </c>
      <c r="B15" s="318">
        <f t="shared" ref="B15:B78" si="0">IF(Pay_Num&lt;&gt;"",DATE(YEAR(Loan_Start),MONTH(Loan_Start)+(Pay_Num)*12/Num_Pmt_Per_Year,DAY(Loan_Start)),"")</f>
        <v>40210</v>
      </c>
      <c r="C15" s="319">
        <f>IF(Values_Entered,Loan_Amount,"")</f>
        <v>142621.37</v>
      </c>
      <c r="D15" s="319">
        <f t="shared" ref="D15:D78" si="1">IF(Pay_Num&lt;&gt;"",Scheduled_Monthly_Payment,"")</f>
        <v>5156.1041801143792</v>
      </c>
      <c r="E15" s="320">
        <f t="shared" ref="E15:E78" si="2">IF(AND(Pay_Num&lt;&gt;"",Sched_Pay+Scheduled_Extra_Payments&lt;Beg_Bal),Scheduled_Extra_Payments,IF(AND(Pay_Num&lt;&gt;"",Beg_Bal-Sched_Pay&gt;0),Beg_Bal-Sched_Pay,IF(Pay_Num&lt;&gt;"",0,"")))</f>
        <v>0</v>
      </c>
      <c r="F15" s="319">
        <f t="shared" ref="F15:F78" si="3">IF(AND(Pay_Num&lt;&gt;"",Sched_Pay+Extra_Pay&lt;Beg_Bal),Sched_Pay+Extra_Pay,IF(Pay_Num&lt;&gt;"",Beg_Bal,""))</f>
        <v>5156.1041801143792</v>
      </c>
      <c r="G15" s="319">
        <f t="shared" ref="G15:G78" si="4">IF(Pay_Num&lt;&gt;"",Total_Pay-Int,"")</f>
        <v>3016.7836301143793</v>
      </c>
      <c r="H15" s="319">
        <f>IF(Pay_Num&lt;&gt;"",Beg_Bal*(Interest_Rate/Num_Pmt_Per_Year),"")</f>
        <v>2139.3205499999999</v>
      </c>
      <c r="I15" s="321">
        <f t="shared" ref="I15:I78" si="5">IF(AND(Pay_Num&lt;&gt;"",Sched_Pay+Extra_Pay&lt;Beg_Bal),Beg_Bal-Princ,IF(Pay_Num&lt;&gt;"",0,""))</f>
        <v>139604.58636988563</v>
      </c>
    </row>
    <row r="16" spans="1:10" s="232" customFormat="1" ht="12.75" customHeight="1">
      <c r="A16" s="322">
        <f t="shared" ref="A16:A79" si="6">IF(Values_Entered,A15+1,"")</f>
        <v>2</v>
      </c>
      <c r="B16" s="306">
        <f t="shared" si="0"/>
        <v>40238</v>
      </c>
      <c r="C16" s="307">
        <f t="shared" ref="C16:C79" si="7">IF(Pay_Num&lt;&gt;"",I15,"")</f>
        <v>139604.58636988563</v>
      </c>
      <c r="D16" s="307">
        <f t="shared" si="1"/>
        <v>5156.1041801143792</v>
      </c>
      <c r="E16" s="308">
        <f t="shared" si="2"/>
        <v>0</v>
      </c>
      <c r="F16" s="307">
        <f t="shared" si="3"/>
        <v>5156.1041801143792</v>
      </c>
      <c r="G16" s="307">
        <f t="shared" si="4"/>
        <v>3062.0353845660948</v>
      </c>
      <c r="H16" s="307">
        <f t="shared" ref="H16:H79" si="8">IF(Pay_Num&lt;&gt;"",Beg_Bal*Interest_Rate/Num_Pmt_Per_Year,"")</f>
        <v>2094.0687955482845</v>
      </c>
      <c r="I16" s="323">
        <f t="shared" si="5"/>
        <v>136542.55098531954</v>
      </c>
    </row>
    <row r="17" spans="1:11" s="232" customFormat="1" ht="12.75" customHeight="1">
      <c r="A17" s="322">
        <f t="shared" si="6"/>
        <v>3</v>
      </c>
      <c r="B17" s="306">
        <f t="shared" si="0"/>
        <v>40269</v>
      </c>
      <c r="C17" s="307">
        <f t="shared" si="7"/>
        <v>136542.55098531954</v>
      </c>
      <c r="D17" s="307">
        <f t="shared" si="1"/>
        <v>5156.1041801143792</v>
      </c>
      <c r="E17" s="308">
        <f t="shared" si="2"/>
        <v>0</v>
      </c>
      <c r="F17" s="307">
        <f t="shared" si="3"/>
        <v>5156.1041801143792</v>
      </c>
      <c r="G17" s="307">
        <f t="shared" si="4"/>
        <v>3107.965915334586</v>
      </c>
      <c r="H17" s="307">
        <f t="shared" si="8"/>
        <v>2048.1382647797932</v>
      </c>
      <c r="I17" s="323">
        <f t="shared" si="5"/>
        <v>133434.58506998495</v>
      </c>
    </row>
    <row r="18" spans="1:11" s="232" customFormat="1">
      <c r="A18" s="322">
        <f t="shared" si="6"/>
        <v>4</v>
      </c>
      <c r="B18" s="306">
        <f t="shared" si="0"/>
        <v>40299</v>
      </c>
      <c r="C18" s="307">
        <f t="shared" si="7"/>
        <v>133434.58506998495</v>
      </c>
      <c r="D18" s="307">
        <f t="shared" si="1"/>
        <v>5156.1041801143792</v>
      </c>
      <c r="E18" s="308">
        <f t="shared" si="2"/>
        <v>0</v>
      </c>
      <c r="F18" s="307">
        <f t="shared" si="3"/>
        <v>5156.1041801143792</v>
      </c>
      <c r="G18" s="307">
        <f t="shared" si="4"/>
        <v>3154.5854040646054</v>
      </c>
      <c r="H18" s="307">
        <f t="shared" si="8"/>
        <v>2001.518776049774</v>
      </c>
      <c r="I18" s="323">
        <f t="shared" si="5"/>
        <v>130279.99966592035</v>
      </c>
    </row>
    <row r="19" spans="1:11" s="232" customFormat="1">
      <c r="A19" s="322">
        <f t="shared" si="6"/>
        <v>5</v>
      </c>
      <c r="B19" s="306">
        <f t="shared" si="0"/>
        <v>40330</v>
      </c>
      <c r="C19" s="307">
        <f t="shared" si="7"/>
        <v>130279.99966592035</v>
      </c>
      <c r="D19" s="307">
        <f t="shared" si="1"/>
        <v>5156.1041801143792</v>
      </c>
      <c r="E19" s="308">
        <f t="shared" si="2"/>
        <v>0</v>
      </c>
      <c r="F19" s="307">
        <f t="shared" si="3"/>
        <v>5156.1041801143792</v>
      </c>
      <c r="G19" s="307">
        <f t="shared" si="4"/>
        <v>3201.9041851255743</v>
      </c>
      <c r="H19" s="307">
        <f t="shared" si="8"/>
        <v>1954.199994988805</v>
      </c>
      <c r="I19" s="323">
        <f t="shared" si="5"/>
        <v>127078.09548079477</v>
      </c>
    </row>
    <row r="20" spans="1:11">
      <c r="A20" s="322">
        <f t="shared" si="6"/>
        <v>6</v>
      </c>
      <c r="B20" s="306">
        <f t="shared" si="0"/>
        <v>40360</v>
      </c>
      <c r="C20" s="307">
        <f t="shared" si="7"/>
        <v>127078.09548079477</v>
      </c>
      <c r="D20" s="307">
        <f t="shared" si="1"/>
        <v>5156.1041801143792</v>
      </c>
      <c r="E20" s="308">
        <f t="shared" si="2"/>
        <v>0</v>
      </c>
      <c r="F20" s="307">
        <f t="shared" si="3"/>
        <v>5156.1041801143792</v>
      </c>
      <c r="G20" s="307">
        <f t="shared" si="4"/>
        <v>3249.9327479024578</v>
      </c>
      <c r="H20" s="307">
        <f t="shared" si="8"/>
        <v>1906.1714322119215</v>
      </c>
      <c r="I20" s="323">
        <f t="shared" si="5"/>
        <v>123828.16273289232</v>
      </c>
      <c r="J20" s="232"/>
      <c r="K20" s="232"/>
    </row>
    <row r="21" spans="1:11">
      <c r="A21" s="324">
        <f t="shared" si="6"/>
        <v>7</v>
      </c>
      <c r="B21" s="306">
        <f t="shared" si="0"/>
        <v>40391</v>
      </c>
      <c r="C21" s="307">
        <f t="shared" si="7"/>
        <v>123828.16273289232</v>
      </c>
      <c r="D21" s="307">
        <f t="shared" si="1"/>
        <v>5156.1041801143792</v>
      </c>
      <c r="E21" s="308">
        <f t="shared" si="2"/>
        <v>0</v>
      </c>
      <c r="F21" s="307">
        <f t="shared" si="3"/>
        <v>5156.1041801143792</v>
      </c>
      <c r="G21" s="307">
        <f t="shared" si="4"/>
        <v>3298.6817391209943</v>
      </c>
      <c r="H21" s="307">
        <f t="shared" si="8"/>
        <v>1857.4224409933847</v>
      </c>
      <c r="I21" s="323">
        <f t="shared" si="5"/>
        <v>120529.48099377133</v>
      </c>
      <c r="J21" s="232"/>
      <c r="K21" s="232"/>
    </row>
    <row r="22" spans="1:11">
      <c r="A22" s="324">
        <f t="shared" si="6"/>
        <v>8</v>
      </c>
      <c r="B22" s="306">
        <f t="shared" si="0"/>
        <v>40422</v>
      </c>
      <c r="C22" s="307">
        <f t="shared" si="7"/>
        <v>120529.48099377133</v>
      </c>
      <c r="D22" s="307">
        <f t="shared" si="1"/>
        <v>5156.1041801143792</v>
      </c>
      <c r="E22" s="308">
        <f t="shared" si="2"/>
        <v>0</v>
      </c>
      <c r="F22" s="307">
        <f t="shared" si="3"/>
        <v>5156.1041801143792</v>
      </c>
      <c r="G22" s="307">
        <f t="shared" si="4"/>
        <v>3348.1619652078098</v>
      </c>
      <c r="H22" s="307">
        <f t="shared" si="8"/>
        <v>1807.9422149065697</v>
      </c>
      <c r="I22" s="323">
        <f t="shared" si="5"/>
        <v>117181.31902856352</v>
      </c>
      <c r="J22" s="232"/>
      <c r="K22" s="232"/>
    </row>
    <row r="23" spans="1:11">
      <c r="A23" s="324">
        <f t="shared" si="6"/>
        <v>9</v>
      </c>
      <c r="B23" s="306">
        <f t="shared" si="0"/>
        <v>40452</v>
      </c>
      <c r="C23" s="307">
        <f t="shared" si="7"/>
        <v>117181.31902856352</v>
      </c>
      <c r="D23" s="307">
        <f t="shared" si="1"/>
        <v>5156.1041801143792</v>
      </c>
      <c r="E23" s="308">
        <f t="shared" si="2"/>
        <v>0</v>
      </c>
      <c r="F23" s="307">
        <f t="shared" si="3"/>
        <v>5156.1041801143792</v>
      </c>
      <c r="G23" s="307">
        <f t="shared" si="4"/>
        <v>3398.3843946859261</v>
      </c>
      <c r="H23" s="307">
        <f t="shared" si="8"/>
        <v>1757.719785428453</v>
      </c>
      <c r="I23" s="323">
        <f t="shared" si="5"/>
        <v>113782.93463387759</v>
      </c>
      <c r="J23" s="232"/>
      <c r="K23" s="232"/>
    </row>
    <row r="24" spans="1:11">
      <c r="A24" s="324">
        <f t="shared" si="6"/>
        <v>10</v>
      </c>
      <c r="B24" s="306">
        <f t="shared" si="0"/>
        <v>40483</v>
      </c>
      <c r="C24" s="307">
        <f t="shared" si="7"/>
        <v>113782.93463387759</v>
      </c>
      <c r="D24" s="307">
        <f t="shared" si="1"/>
        <v>5156.1041801143792</v>
      </c>
      <c r="E24" s="308">
        <f t="shared" si="2"/>
        <v>0</v>
      </c>
      <c r="F24" s="307">
        <f t="shared" si="3"/>
        <v>5156.1041801143792</v>
      </c>
      <c r="G24" s="307">
        <f t="shared" si="4"/>
        <v>3449.3601606062157</v>
      </c>
      <c r="H24" s="307">
        <f t="shared" si="8"/>
        <v>1706.7440195081638</v>
      </c>
      <c r="I24" s="323">
        <f t="shared" si="5"/>
        <v>110333.57447327138</v>
      </c>
      <c r="J24" s="232"/>
      <c r="K24" s="232"/>
    </row>
    <row r="25" spans="1:11">
      <c r="A25" s="324">
        <f t="shared" si="6"/>
        <v>11</v>
      </c>
      <c r="B25" s="306">
        <f t="shared" si="0"/>
        <v>40513</v>
      </c>
      <c r="C25" s="307">
        <f t="shared" si="7"/>
        <v>110333.57447327138</v>
      </c>
      <c r="D25" s="307">
        <f t="shared" si="1"/>
        <v>5156.1041801143792</v>
      </c>
      <c r="E25" s="308">
        <f t="shared" si="2"/>
        <v>0</v>
      </c>
      <c r="F25" s="307">
        <f t="shared" si="3"/>
        <v>5156.1041801143792</v>
      </c>
      <c r="G25" s="307">
        <f t="shared" si="4"/>
        <v>3501.1005630153086</v>
      </c>
      <c r="H25" s="307">
        <f t="shared" si="8"/>
        <v>1655.0036170990707</v>
      </c>
      <c r="I25" s="323">
        <f t="shared" si="5"/>
        <v>106832.47391025607</v>
      </c>
      <c r="J25" s="232"/>
      <c r="K25" s="232"/>
    </row>
    <row r="26" spans="1:11">
      <c r="A26" s="324">
        <f t="shared" si="6"/>
        <v>12</v>
      </c>
      <c r="B26" s="306">
        <f t="shared" si="0"/>
        <v>40544</v>
      </c>
      <c r="C26" s="307">
        <f t="shared" si="7"/>
        <v>106832.47391025607</v>
      </c>
      <c r="D26" s="307">
        <f t="shared" si="1"/>
        <v>5156.1041801143792</v>
      </c>
      <c r="E26" s="308">
        <f t="shared" si="2"/>
        <v>0</v>
      </c>
      <c r="F26" s="307">
        <f t="shared" si="3"/>
        <v>5156.1041801143792</v>
      </c>
      <c r="G26" s="307">
        <f t="shared" si="4"/>
        <v>3553.6170714605387</v>
      </c>
      <c r="H26" s="307">
        <f t="shared" si="8"/>
        <v>1602.4871086538408</v>
      </c>
      <c r="I26" s="323">
        <f t="shared" si="5"/>
        <v>103278.85683879553</v>
      </c>
      <c r="J26" s="232"/>
      <c r="K26" s="232"/>
    </row>
    <row r="27" spans="1:11">
      <c r="A27" s="325">
        <f t="shared" si="6"/>
        <v>13</v>
      </c>
      <c r="B27" s="309">
        <f t="shared" si="0"/>
        <v>40575</v>
      </c>
      <c r="C27" s="310">
        <f t="shared" si="7"/>
        <v>103278.85683879553</v>
      </c>
      <c r="D27" s="310">
        <f t="shared" si="1"/>
        <v>5156.1041801143792</v>
      </c>
      <c r="E27" s="308">
        <f t="shared" si="2"/>
        <v>0</v>
      </c>
      <c r="F27" s="307">
        <f t="shared" si="3"/>
        <v>5156.1041801143792</v>
      </c>
      <c r="G27" s="307">
        <f t="shared" si="4"/>
        <v>3606.9213275324464</v>
      </c>
      <c r="H27" s="307">
        <f t="shared" si="8"/>
        <v>1549.1828525819328</v>
      </c>
      <c r="I27" s="323">
        <f t="shared" si="5"/>
        <v>99671.935511263087</v>
      </c>
      <c r="J27" s="232"/>
      <c r="K27" s="232"/>
    </row>
    <row r="28" spans="1:11">
      <c r="A28" s="325">
        <f t="shared" si="6"/>
        <v>14</v>
      </c>
      <c r="B28" s="309">
        <f t="shared" si="0"/>
        <v>40603</v>
      </c>
      <c r="C28" s="310">
        <f t="shared" si="7"/>
        <v>99671.935511263087</v>
      </c>
      <c r="D28" s="310">
        <f t="shared" si="1"/>
        <v>5156.1041801143792</v>
      </c>
      <c r="E28" s="308">
        <f t="shared" si="2"/>
        <v>0</v>
      </c>
      <c r="F28" s="307">
        <f t="shared" si="3"/>
        <v>5156.1041801143792</v>
      </c>
      <c r="G28" s="307">
        <f t="shared" si="4"/>
        <v>3661.0251474454326</v>
      </c>
      <c r="H28" s="307">
        <f t="shared" si="8"/>
        <v>1495.0790326689464</v>
      </c>
      <c r="I28" s="323">
        <f t="shared" si="5"/>
        <v>96010.91036381766</v>
      </c>
      <c r="J28" s="232"/>
      <c r="K28" s="232"/>
    </row>
    <row r="29" spans="1:11">
      <c r="A29" s="325">
        <f t="shared" si="6"/>
        <v>15</v>
      </c>
      <c r="B29" s="309">
        <f t="shared" si="0"/>
        <v>40634</v>
      </c>
      <c r="C29" s="310">
        <f t="shared" si="7"/>
        <v>96010.91036381766</v>
      </c>
      <c r="D29" s="310">
        <f t="shared" si="1"/>
        <v>5156.1041801143792</v>
      </c>
      <c r="E29" s="308">
        <f t="shared" si="2"/>
        <v>0</v>
      </c>
      <c r="F29" s="307">
        <f t="shared" si="3"/>
        <v>5156.1041801143792</v>
      </c>
      <c r="G29" s="307">
        <f t="shared" si="4"/>
        <v>3715.9405246571141</v>
      </c>
      <c r="H29" s="307">
        <f t="shared" si="8"/>
        <v>1440.1636554572649</v>
      </c>
      <c r="I29" s="323">
        <f t="shared" si="5"/>
        <v>92294.969839160549</v>
      </c>
      <c r="J29" s="232"/>
      <c r="K29" s="232"/>
    </row>
    <row r="30" spans="1:11">
      <c r="A30" s="325">
        <f t="shared" si="6"/>
        <v>16</v>
      </c>
      <c r="B30" s="309">
        <f t="shared" si="0"/>
        <v>40664</v>
      </c>
      <c r="C30" s="310">
        <f t="shared" si="7"/>
        <v>92294.969839160549</v>
      </c>
      <c r="D30" s="310">
        <f t="shared" si="1"/>
        <v>5156.1041801143792</v>
      </c>
      <c r="E30" s="308">
        <f t="shared" si="2"/>
        <v>0</v>
      </c>
      <c r="F30" s="307">
        <f t="shared" si="3"/>
        <v>5156.1041801143792</v>
      </c>
      <c r="G30" s="307">
        <f t="shared" si="4"/>
        <v>3771.6796325269706</v>
      </c>
      <c r="H30" s="307">
        <f t="shared" si="8"/>
        <v>1384.4245475874084</v>
      </c>
      <c r="I30" s="323">
        <f t="shared" si="5"/>
        <v>88523.290206633581</v>
      </c>
      <c r="J30" s="232"/>
      <c r="K30" s="232"/>
    </row>
    <row r="31" spans="1:11">
      <c r="A31" s="325">
        <f t="shared" si="6"/>
        <v>17</v>
      </c>
      <c r="B31" s="309">
        <f t="shared" si="0"/>
        <v>40695</v>
      </c>
      <c r="C31" s="310">
        <f t="shared" si="7"/>
        <v>88523.290206633581</v>
      </c>
      <c r="D31" s="310">
        <f t="shared" si="1"/>
        <v>5156.1041801143792</v>
      </c>
      <c r="E31" s="308">
        <f t="shared" si="2"/>
        <v>0</v>
      </c>
      <c r="F31" s="307">
        <f t="shared" si="3"/>
        <v>5156.1041801143792</v>
      </c>
      <c r="G31" s="307">
        <f t="shared" si="4"/>
        <v>3828.2548270148754</v>
      </c>
      <c r="H31" s="307">
        <f t="shared" si="8"/>
        <v>1327.8493530995036</v>
      </c>
      <c r="I31" s="323">
        <f t="shared" si="5"/>
        <v>84695.035379618712</v>
      </c>
      <c r="J31" s="232"/>
      <c r="K31" s="232"/>
    </row>
    <row r="32" spans="1:11">
      <c r="A32" s="325">
        <f t="shared" si="6"/>
        <v>18</v>
      </c>
      <c r="B32" s="309">
        <f t="shared" si="0"/>
        <v>40725</v>
      </c>
      <c r="C32" s="310">
        <f t="shared" si="7"/>
        <v>84695.035379618712</v>
      </c>
      <c r="D32" s="310">
        <f t="shared" si="1"/>
        <v>5156.1041801143792</v>
      </c>
      <c r="E32" s="308">
        <f t="shared" si="2"/>
        <v>0</v>
      </c>
      <c r="F32" s="307">
        <f t="shared" si="3"/>
        <v>5156.1041801143792</v>
      </c>
      <c r="G32" s="307">
        <f t="shared" si="4"/>
        <v>3885.6786494200987</v>
      </c>
      <c r="H32" s="307">
        <f t="shared" si="8"/>
        <v>1270.4255306942807</v>
      </c>
      <c r="I32" s="323">
        <f t="shared" si="5"/>
        <v>80809.356730198619</v>
      </c>
      <c r="J32" s="232"/>
      <c r="K32" s="232"/>
    </row>
    <row r="33" spans="1:11">
      <c r="A33" s="325">
        <f t="shared" si="6"/>
        <v>19</v>
      </c>
      <c r="B33" s="309">
        <f t="shared" si="0"/>
        <v>40756</v>
      </c>
      <c r="C33" s="310">
        <f t="shared" si="7"/>
        <v>80809.356730198619</v>
      </c>
      <c r="D33" s="310">
        <f t="shared" si="1"/>
        <v>5156.1041801143792</v>
      </c>
      <c r="E33" s="308">
        <f t="shared" si="2"/>
        <v>0</v>
      </c>
      <c r="F33" s="307">
        <f t="shared" si="3"/>
        <v>5156.1041801143792</v>
      </c>
      <c r="G33" s="307">
        <f t="shared" si="4"/>
        <v>3943.9638291614001</v>
      </c>
      <c r="H33" s="307">
        <f t="shared" si="8"/>
        <v>1212.1403509529794</v>
      </c>
      <c r="I33" s="323">
        <f t="shared" si="5"/>
        <v>76865.392901037223</v>
      </c>
      <c r="J33" s="232"/>
      <c r="K33" s="232"/>
    </row>
    <row r="34" spans="1:11">
      <c r="A34" s="325">
        <f t="shared" si="6"/>
        <v>20</v>
      </c>
      <c r="B34" s="309">
        <f t="shared" si="0"/>
        <v>40787</v>
      </c>
      <c r="C34" s="310">
        <f t="shared" si="7"/>
        <v>76865.392901037223</v>
      </c>
      <c r="D34" s="310">
        <f t="shared" si="1"/>
        <v>5156.1041801143792</v>
      </c>
      <c r="E34" s="308">
        <f t="shared" si="2"/>
        <v>0</v>
      </c>
      <c r="F34" s="307">
        <f t="shared" si="3"/>
        <v>5156.1041801143792</v>
      </c>
      <c r="G34" s="307">
        <f t="shared" si="4"/>
        <v>4003.1232865988209</v>
      </c>
      <c r="H34" s="307">
        <f t="shared" si="8"/>
        <v>1152.9808935155584</v>
      </c>
      <c r="I34" s="323">
        <f t="shared" si="5"/>
        <v>72862.269614438395</v>
      </c>
      <c r="J34" s="232"/>
      <c r="K34" s="232"/>
    </row>
    <row r="35" spans="1:11">
      <c r="A35" s="325">
        <f t="shared" si="6"/>
        <v>21</v>
      </c>
      <c r="B35" s="309">
        <f t="shared" si="0"/>
        <v>40817</v>
      </c>
      <c r="C35" s="310">
        <f t="shared" si="7"/>
        <v>72862.269614438395</v>
      </c>
      <c r="D35" s="310">
        <f t="shared" si="1"/>
        <v>5156.1041801143792</v>
      </c>
      <c r="E35" s="308">
        <f t="shared" si="2"/>
        <v>0</v>
      </c>
      <c r="F35" s="307">
        <f t="shared" si="3"/>
        <v>5156.1041801143792</v>
      </c>
      <c r="G35" s="307">
        <f t="shared" si="4"/>
        <v>4063.1701358978034</v>
      </c>
      <c r="H35" s="307">
        <f t="shared" si="8"/>
        <v>1092.934044216576</v>
      </c>
      <c r="I35" s="323">
        <f t="shared" si="5"/>
        <v>68799.099478540593</v>
      </c>
      <c r="J35" s="232"/>
      <c r="K35" s="232"/>
    </row>
    <row r="36" spans="1:11">
      <c r="A36" s="325">
        <f t="shared" si="6"/>
        <v>22</v>
      </c>
      <c r="B36" s="309">
        <f t="shared" si="0"/>
        <v>40848</v>
      </c>
      <c r="C36" s="310">
        <f t="shared" si="7"/>
        <v>68799.099478540593</v>
      </c>
      <c r="D36" s="310">
        <f t="shared" si="1"/>
        <v>5156.1041801143792</v>
      </c>
      <c r="E36" s="308">
        <f t="shared" si="2"/>
        <v>0</v>
      </c>
      <c r="F36" s="307">
        <f t="shared" si="3"/>
        <v>5156.1041801143792</v>
      </c>
      <c r="G36" s="307">
        <f t="shared" si="4"/>
        <v>4124.1176879362702</v>
      </c>
      <c r="H36" s="307">
        <f t="shared" si="8"/>
        <v>1031.9864921781088</v>
      </c>
      <c r="I36" s="323">
        <f t="shared" si="5"/>
        <v>64674.981790604324</v>
      </c>
      <c r="J36" s="232"/>
      <c r="K36" s="232"/>
    </row>
    <row r="37" spans="1:11">
      <c r="A37" s="325">
        <f t="shared" si="6"/>
        <v>23</v>
      </c>
      <c r="B37" s="309">
        <f t="shared" si="0"/>
        <v>40878</v>
      </c>
      <c r="C37" s="310">
        <f t="shared" si="7"/>
        <v>64674.981790604324</v>
      </c>
      <c r="D37" s="310">
        <f t="shared" si="1"/>
        <v>5156.1041801143792</v>
      </c>
      <c r="E37" s="308">
        <f t="shared" si="2"/>
        <v>0</v>
      </c>
      <c r="F37" s="307">
        <f t="shared" si="3"/>
        <v>5156.1041801143792</v>
      </c>
      <c r="G37" s="307">
        <f t="shared" si="4"/>
        <v>4185.9794532553142</v>
      </c>
      <c r="H37" s="307">
        <f t="shared" si="8"/>
        <v>970.12472685906494</v>
      </c>
      <c r="I37" s="323">
        <f t="shared" si="5"/>
        <v>60489.002337349011</v>
      </c>
      <c r="J37" s="232"/>
      <c r="K37" s="232"/>
    </row>
    <row r="38" spans="1:11">
      <c r="A38" s="325">
        <f t="shared" si="6"/>
        <v>24</v>
      </c>
      <c r="B38" s="309">
        <f t="shared" si="0"/>
        <v>40909</v>
      </c>
      <c r="C38" s="310">
        <f t="shared" si="7"/>
        <v>60489.002337349011</v>
      </c>
      <c r="D38" s="310">
        <f t="shared" si="1"/>
        <v>5156.1041801143792</v>
      </c>
      <c r="E38" s="308">
        <f t="shared" si="2"/>
        <v>0</v>
      </c>
      <c r="F38" s="307">
        <f t="shared" si="3"/>
        <v>5156.1041801143792</v>
      </c>
      <c r="G38" s="307">
        <f t="shared" si="4"/>
        <v>4248.7691450541442</v>
      </c>
      <c r="H38" s="307">
        <f t="shared" si="8"/>
        <v>907.3350350602351</v>
      </c>
      <c r="I38" s="323">
        <f t="shared" si="5"/>
        <v>56240.233192294865</v>
      </c>
      <c r="J38" s="232"/>
      <c r="K38" s="232"/>
    </row>
    <row r="39" spans="1:11">
      <c r="A39" s="324">
        <f t="shared" si="6"/>
        <v>25</v>
      </c>
      <c r="B39" s="306">
        <f t="shared" si="0"/>
        <v>40940</v>
      </c>
      <c r="C39" s="307">
        <f t="shared" si="7"/>
        <v>56240.233192294865</v>
      </c>
      <c r="D39" s="307">
        <f t="shared" si="1"/>
        <v>5156.1041801143792</v>
      </c>
      <c r="E39" s="308">
        <f t="shared" si="2"/>
        <v>0</v>
      </c>
      <c r="F39" s="307">
        <f t="shared" si="3"/>
        <v>5156.1041801143792</v>
      </c>
      <c r="G39" s="307">
        <f t="shared" si="4"/>
        <v>4312.5006822299565</v>
      </c>
      <c r="H39" s="307">
        <f t="shared" si="8"/>
        <v>843.60349788442284</v>
      </c>
      <c r="I39" s="323">
        <f t="shared" si="5"/>
        <v>51927.73251006491</v>
      </c>
      <c r="J39" s="232"/>
      <c r="K39" s="232"/>
    </row>
    <row r="40" spans="1:11">
      <c r="A40" s="324">
        <f t="shared" si="6"/>
        <v>26</v>
      </c>
      <c r="B40" s="306">
        <f t="shared" si="0"/>
        <v>40969</v>
      </c>
      <c r="C40" s="307">
        <f t="shared" si="7"/>
        <v>51927.73251006491</v>
      </c>
      <c r="D40" s="307">
        <f t="shared" si="1"/>
        <v>5156.1041801143792</v>
      </c>
      <c r="E40" s="308">
        <f t="shared" si="2"/>
        <v>0</v>
      </c>
      <c r="F40" s="307">
        <f t="shared" si="3"/>
        <v>5156.1041801143792</v>
      </c>
      <c r="G40" s="307">
        <f t="shared" si="4"/>
        <v>4377.1881924634054</v>
      </c>
      <c r="H40" s="307">
        <f t="shared" si="8"/>
        <v>778.91598765097353</v>
      </c>
      <c r="I40" s="323">
        <f t="shared" si="5"/>
        <v>47550.544317601503</v>
      </c>
      <c r="J40" s="232"/>
      <c r="K40" s="232"/>
    </row>
    <row r="41" spans="1:11">
      <c r="A41" s="324">
        <f t="shared" si="6"/>
        <v>27</v>
      </c>
      <c r="B41" s="306">
        <f t="shared" si="0"/>
        <v>41000</v>
      </c>
      <c r="C41" s="307">
        <f t="shared" si="7"/>
        <v>47550.544317601503</v>
      </c>
      <c r="D41" s="307">
        <f t="shared" si="1"/>
        <v>5156.1041801143792</v>
      </c>
      <c r="E41" s="308">
        <f t="shared" si="2"/>
        <v>0</v>
      </c>
      <c r="F41" s="307">
        <f t="shared" si="3"/>
        <v>5156.1041801143792</v>
      </c>
      <c r="G41" s="307">
        <f t="shared" si="4"/>
        <v>4442.8460153503565</v>
      </c>
      <c r="H41" s="307">
        <f t="shared" si="8"/>
        <v>713.25816476402258</v>
      </c>
      <c r="I41" s="323">
        <f t="shared" si="5"/>
        <v>43107.698302251149</v>
      </c>
      <c r="J41" s="232"/>
      <c r="K41" s="232"/>
    </row>
    <row r="42" spans="1:11">
      <c r="A42" s="324">
        <f t="shared" si="6"/>
        <v>28</v>
      </c>
      <c r="B42" s="306">
        <f t="shared" si="0"/>
        <v>41030</v>
      </c>
      <c r="C42" s="307">
        <f t="shared" si="7"/>
        <v>43107.698302251149</v>
      </c>
      <c r="D42" s="307">
        <f t="shared" si="1"/>
        <v>5156.1041801143792</v>
      </c>
      <c r="E42" s="308">
        <f t="shared" si="2"/>
        <v>0</v>
      </c>
      <c r="F42" s="307">
        <f t="shared" si="3"/>
        <v>5156.1041801143792</v>
      </c>
      <c r="G42" s="307">
        <f t="shared" si="4"/>
        <v>4509.4887055806121</v>
      </c>
      <c r="H42" s="307">
        <f t="shared" si="8"/>
        <v>646.61547453376727</v>
      </c>
      <c r="I42" s="323">
        <f t="shared" si="5"/>
        <v>38598.209596670538</v>
      </c>
      <c r="J42" s="232"/>
      <c r="K42" s="232"/>
    </row>
    <row r="43" spans="1:11">
      <c r="A43" s="324">
        <f t="shared" si="6"/>
        <v>29</v>
      </c>
      <c r="B43" s="306">
        <f t="shared" si="0"/>
        <v>41061</v>
      </c>
      <c r="C43" s="307">
        <f t="shared" si="7"/>
        <v>38598.209596670538</v>
      </c>
      <c r="D43" s="307">
        <f t="shared" si="1"/>
        <v>5156.1041801143792</v>
      </c>
      <c r="E43" s="308">
        <f t="shared" si="2"/>
        <v>0</v>
      </c>
      <c r="F43" s="307">
        <f t="shared" si="3"/>
        <v>5156.1041801143792</v>
      </c>
      <c r="G43" s="307">
        <f t="shared" si="4"/>
        <v>4577.1310361643209</v>
      </c>
      <c r="H43" s="307">
        <f t="shared" si="8"/>
        <v>578.97314395005799</v>
      </c>
      <c r="I43" s="323">
        <f t="shared" si="5"/>
        <v>34021.078560506219</v>
      </c>
      <c r="J43" s="232"/>
      <c r="K43" s="232"/>
    </row>
    <row r="44" spans="1:11">
      <c r="A44" s="324">
        <f t="shared" si="6"/>
        <v>30</v>
      </c>
      <c r="B44" s="306">
        <f t="shared" si="0"/>
        <v>41091</v>
      </c>
      <c r="C44" s="307">
        <f t="shared" si="7"/>
        <v>34021.078560506219</v>
      </c>
      <c r="D44" s="307">
        <f t="shared" si="1"/>
        <v>5156.1041801143792</v>
      </c>
      <c r="E44" s="308">
        <f t="shared" si="2"/>
        <v>0</v>
      </c>
      <c r="F44" s="307">
        <f t="shared" si="3"/>
        <v>5156.1041801143792</v>
      </c>
      <c r="G44" s="307">
        <f t="shared" si="4"/>
        <v>4645.7880017067855</v>
      </c>
      <c r="H44" s="307">
        <f t="shared" si="8"/>
        <v>510.31617840759327</v>
      </c>
      <c r="I44" s="323">
        <f t="shared" si="5"/>
        <v>29375.290558799432</v>
      </c>
      <c r="J44" s="232"/>
      <c r="K44" s="232"/>
    </row>
    <row r="45" spans="1:11">
      <c r="A45" s="324">
        <f t="shared" si="6"/>
        <v>31</v>
      </c>
      <c r="B45" s="306">
        <f t="shared" si="0"/>
        <v>41122</v>
      </c>
      <c r="C45" s="307">
        <f t="shared" si="7"/>
        <v>29375.290558799432</v>
      </c>
      <c r="D45" s="307">
        <f t="shared" si="1"/>
        <v>5156.1041801143792</v>
      </c>
      <c r="E45" s="308">
        <f t="shared" si="2"/>
        <v>0</v>
      </c>
      <c r="F45" s="307">
        <f t="shared" si="3"/>
        <v>5156.1041801143792</v>
      </c>
      <c r="G45" s="307">
        <f t="shared" si="4"/>
        <v>4715.4748217323877</v>
      </c>
      <c r="H45" s="307">
        <f t="shared" si="8"/>
        <v>440.62935838199149</v>
      </c>
      <c r="I45" s="323">
        <f t="shared" si="5"/>
        <v>24659.815737067045</v>
      </c>
      <c r="J45" s="232"/>
      <c r="K45" s="232"/>
    </row>
    <row r="46" spans="1:11">
      <c r="A46" s="324">
        <f t="shared" si="6"/>
        <v>32</v>
      </c>
      <c r="B46" s="306">
        <f t="shared" si="0"/>
        <v>41153</v>
      </c>
      <c r="C46" s="307">
        <f t="shared" si="7"/>
        <v>24659.815737067045</v>
      </c>
      <c r="D46" s="307">
        <f t="shared" si="1"/>
        <v>5156.1041801143792</v>
      </c>
      <c r="E46" s="308">
        <f t="shared" si="2"/>
        <v>0</v>
      </c>
      <c r="F46" s="307">
        <f t="shared" si="3"/>
        <v>5156.1041801143792</v>
      </c>
      <c r="G46" s="307">
        <f t="shared" si="4"/>
        <v>4786.2069440583737</v>
      </c>
      <c r="H46" s="307">
        <f t="shared" si="8"/>
        <v>369.89723605600562</v>
      </c>
      <c r="I46" s="323">
        <f t="shared" si="5"/>
        <v>19873.608793008672</v>
      </c>
      <c r="J46" s="232"/>
      <c r="K46" s="232"/>
    </row>
    <row r="47" spans="1:11">
      <c r="A47" s="324">
        <f t="shared" si="6"/>
        <v>33</v>
      </c>
      <c r="B47" s="306">
        <f t="shared" si="0"/>
        <v>41183</v>
      </c>
      <c r="C47" s="307">
        <f t="shared" si="7"/>
        <v>19873.608793008672</v>
      </c>
      <c r="D47" s="307">
        <f t="shared" si="1"/>
        <v>5156.1041801143792</v>
      </c>
      <c r="E47" s="308">
        <f t="shared" si="2"/>
        <v>0</v>
      </c>
      <c r="F47" s="307">
        <f t="shared" si="3"/>
        <v>5156.1041801143792</v>
      </c>
      <c r="G47" s="307">
        <f t="shared" si="4"/>
        <v>4858.000048219249</v>
      </c>
      <c r="H47" s="307">
        <f t="shared" si="8"/>
        <v>298.10413189513008</v>
      </c>
      <c r="I47" s="323">
        <f t="shared" si="5"/>
        <v>15015.608744789424</v>
      </c>
      <c r="J47" s="232"/>
      <c r="K47" s="232"/>
    </row>
    <row r="48" spans="1:11">
      <c r="A48" s="324">
        <f t="shared" si="6"/>
        <v>34</v>
      </c>
      <c r="B48" s="306">
        <f t="shared" si="0"/>
        <v>41214</v>
      </c>
      <c r="C48" s="307">
        <f t="shared" si="7"/>
        <v>15015.608744789424</v>
      </c>
      <c r="D48" s="307">
        <f t="shared" si="1"/>
        <v>5156.1041801143792</v>
      </c>
      <c r="E48" s="308">
        <f t="shared" si="2"/>
        <v>0</v>
      </c>
      <c r="F48" s="307">
        <f t="shared" si="3"/>
        <v>5156.1041801143792</v>
      </c>
      <c r="G48" s="307">
        <f t="shared" si="4"/>
        <v>4930.8700489425382</v>
      </c>
      <c r="H48" s="307">
        <f t="shared" si="8"/>
        <v>225.23413117184134</v>
      </c>
      <c r="I48" s="323">
        <f t="shared" si="5"/>
        <v>10084.738695846885</v>
      </c>
      <c r="J48" s="232"/>
      <c r="K48" s="232"/>
    </row>
    <row r="49" spans="1:11">
      <c r="A49" s="324">
        <f t="shared" si="6"/>
        <v>35</v>
      </c>
      <c r="B49" s="306">
        <f t="shared" si="0"/>
        <v>41244</v>
      </c>
      <c r="C49" s="307">
        <f t="shared" si="7"/>
        <v>10084.738695846885</v>
      </c>
      <c r="D49" s="307">
        <f t="shared" si="1"/>
        <v>5156.1041801143792</v>
      </c>
      <c r="E49" s="308">
        <f t="shared" si="2"/>
        <v>0</v>
      </c>
      <c r="F49" s="307">
        <f t="shared" si="3"/>
        <v>5156.1041801143792</v>
      </c>
      <c r="G49" s="307">
        <f t="shared" si="4"/>
        <v>5004.8330996766763</v>
      </c>
      <c r="H49" s="307">
        <f t="shared" si="8"/>
        <v>151.27108043770326</v>
      </c>
      <c r="I49" s="323">
        <f t="shared" si="5"/>
        <v>5079.9055961702088</v>
      </c>
      <c r="J49" s="232"/>
      <c r="K49" s="232"/>
    </row>
    <row r="50" spans="1:11" ht="17.25" customHeight="1" thickBot="1">
      <c r="A50" s="326">
        <f t="shared" si="6"/>
        <v>36</v>
      </c>
      <c r="B50" s="327">
        <f t="shared" si="0"/>
        <v>41275</v>
      </c>
      <c r="C50" s="328">
        <f t="shared" si="7"/>
        <v>5079.9055961702088</v>
      </c>
      <c r="D50" s="328">
        <f t="shared" si="1"/>
        <v>5156.1041801143792</v>
      </c>
      <c r="E50" s="329">
        <f t="shared" si="2"/>
        <v>0</v>
      </c>
      <c r="F50" s="328">
        <f t="shared" si="3"/>
        <v>5079.9055961702088</v>
      </c>
      <c r="G50" s="328">
        <f t="shared" si="4"/>
        <v>5003.7070122276555</v>
      </c>
      <c r="H50" s="328">
        <f t="shared" si="8"/>
        <v>76.198583942553128</v>
      </c>
      <c r="I50" s="330">
        <f t="shared" si="5"/>
        <v>0</v>
      </c>
      <c r="J50" s="232"/>
      <c r="K50" s="232"/>
    </row>
    <row r="51" spans="1:11">
      <c r="A51" s="227">
        <f t="shared" si="6"/>
        <v>37</v>
      </c>
      <c r="B51" s="233">
        <f t="shared" si="0"/>
        <v>41306</v>
      </c>
      <c r="C51" s="234">
        <f t="shared" si="7"/>
        <v>0</v>
      </c>
      <c r="D51" s="234">
        <f t="shared" si="1"/>
        <v>5156.1041801143792</v>
      </c>
      <c r="E51" s="235">
        <f t="shared" si="2"/>
        <v>0</v>
      </c>
      <c r="F51" s="234">
        <f t="shared" si="3"/>
        <v>0</v>
      </c>
      <c r="G51" s="234">
        <f t="shared" si="4"/>
        <v>0</v>
      </c>
      <c r="H51" s="234">
        <f t="shared" si="8"/>
        <v>0</v>
      </c>
      <c r="I51" s="234">
        <f t="shared" si="5"/>
        <v>0</v>
      </c>
      <c r="J51" s="232"/>
      <c r="K51" s="232"/>
    </row>
    <row r="52" spans="1:11">
      <c r="A52" s="227">
        <f t="shared" si="6"/>
        <v>38</v>
      </c>
      <c r="B52" s="233">
        <f t="shared" si="0"/>
        <v>41334</v>
      </c>
      <c r="C52" s="234">
        <f t="shared" si="7"/>
        <v>0</v>
      </c>
      <c r="D52" s="234">
        <f t="shared" si="1"/>
        <v>5156.1041801143792</v>
      </c>
      <c r="E52" s="235">
        <f t="shared" si="2"/>
        <v>0</v>
      </c>
      <c r="F52" s="234">
        <f t="shared" si="3"/>
        <v>0</v>
      </c>
      <c r="G52" s="234"/>
      <c r="H52" s="234">
        <f t="shared" si="8"/>
        <v>0</v>
      </c>
      <c r="I52" s="234">
        <f t="shared" si="5"/>
        <v>0</v>
      </c>
      <c r="J52" s="232"/>
      <c r="K52" s="232"/>
    </row>
    <row r="53" spans="1:11">
      <c r="A53" s="227">
        <f t="shared" si="6"/>
        <v>39</v>
      </c>
      <c r="B53" s="233">
        <f t="shared" si="0"/>
        <v>41365</v>
      </c>
      <c r="C53" s="234">
        <f t="shared" si="7"/>
        <v>0</v>
      </c>
      <c r="D53" s="234">
        <f t="shared" si="1"/>
        <v>5156.1041801143792</v>
      </c>
      <c r="E53" s="235">
        <f t="shared" si="2"/>
        <v>0</v>
      </c>
      <c r="F53" s="234">
        <f t="shared" si="3"/>
        <v>0</v>
      </c>
      <c r="G53" s="234">
        <f t="shared" si="4"/>
        <v>0</v>
      </c>
      <c r="H53" s="234">
        <f t="shared" si="8"/>
        <v>0</v>
      </c>
      <c r="I53" s="234">
        <f t="shared" si="5"/>
        <v>0</v>
      </c>
      <c r="J53" s="232"/>
      <c r="K53" s="232"/>
    </row>
    <row r="54" spans="1:11">
      <c r="A54" s="227">
        <f t="shared" si="6"/>
        <v>40</v>
      </c>
      <c r="B54" s="233">
        <f t="shared" si="0"/>
        <v>41395</v>
      </c>
      <c r="C54" s="234">
        <f t="shared" si="7"/>
        <v>0</v>
      </c>
      <c r="D54" s="234">
        <f t="shared" si="1"/>
        <v>5156.1041801143792</v>
      </c>
      <c r="E54" s="235">
        <f t="shared" si="2"/>
        <v>0</v>
      </c>
      <c r="F54" s="234">
        <f t="shared" si="3"/>
        <v>0</v>
      </c>
      <c r="G54" s="234">
        <f t="shared" si="4"/>
        <v>0</v>
      </c>
      <c r="H54" s="234">
        <f t="shared" si="8"/>
        <v>0</v>
      </c>
      <c r="I54" s="234">
        <f t="shared" si="5"/>
        <v>0</v>
      </c>
      <c r="J54" s="232"/>
      <c r="K54" s="232"/>
    </row>
    <row r="55" spans="1:11">
      <c r="A55" s="227">
        <f t="shared" si="6"/>
        <v>41</v>
      </c>
      <c r="B55" s="233">
        <f t="shared" si="0"/>
        <v>41426</v>
      </c>
      <c r="C55" s="234">
        <f t="shared" si="7"/>
        <v>0</v>
      </c>
      <c r="D55" s="234">
        <f t="shared" si="1"/>
        <v>5156.1041801143792</v>
      </c>
      <c r="E55" s="235">
        <f t="shared" si="2"/>
        <v>0</v>
      </c>
      <c r="F55" s="234">
        <f t="shared" si="3"/>
        <v>0</v>
      </c>
      <c r="G55" s="234">
        <f t="shared" si="4"/>
        <v>0</v>
      </c>
      <c r="H55" s="234">
        <f t="shared" si="8"/>
        <v>0</v>
      </c>
      <c r="I55" s="234">
        <f t="shared" si="5"/>
        <v>0</v>
      </c>
      <c r="J55" s="232"/>
      <c r="K55" s="232"/>
    </row>
    <row r="56" spans="1:11">
      <c r="A56" s="227">
        <f t="shared" si="6"/>
        <v>42</v>
      </c>
      <c r="B56" s="233">
        <f t="shared" si="0"/>
        <v>41456</v>
      </c>
      <c r="C56" s="234">
        <f t="shared" si="7"/>
        <v>0</v>
      </c>
      <c r="D56" s="234">
        <f t="shared" si="1"/>
        <v>5156.1041801143792</v>
      </c>
      <c r="E56" s="235">
        <f t="shared" si="2"/>
        <v>0</v>
      </c>
      <c r="F56" s="234">
        <f t="shared" si="3"/>
        <v>0</v>
      </c>
      <c r="G56" s="234">
        <f t="shared" si="4"/>
        <v>0</v>
      </c>
      <c r="H56" s="234">
        <f t="shared" si="8"/>
        <v>0</v>
      </c>
      <c r="I56" s="234">
        <f t="shared" si="5"/>
        <v>0</v>
      </c>
      <c r="J56" s="232"/>
      <c r="K56" s="232"/>
    </row>
    <row r="57" spans="1:11">
      <c r="A57" s="227">
        <f t="shared" si="6"/>
        <v>43</v>
      </c>
      <c r="B57" s="233">
        <f t="shared" si="0"/>
        <v>41487</v>
      </c>
      <c r="C57" s="234">
        <f t="shared" si="7"/>
        <v>0</v>
      </c>
      <c r="D57" s="234">
        <f t="shared" si="1"/>
        <v>5156.1041801143792</v>
      </c>
      <c r="E57" s="235">
        <f t="shared" si="2"/>
        <v>0</v>
      </c>
      <c r="F57" s="234">
        <f t="shared" si="3"/>
        <v>0</v>
      </c>
      <c r="G57" s="234">
        <f t="shared" si="4"/>
        <v>0</v>
      </c>
      <c r="H57" s="234">
        <f t="shared" si="8"/>
        <v>0</v>
      </c>
      <c r="I57" s="234">
        <f t="shared" si="5"/>
        <v>0</v>
      </c>
      <c r="J57" s="232"/>
      <c r="K57" s="232"/>
    </row>
    <row r="58" spans="1:11">
      <c r="A58" s="227">
        <f t="shared" si="6"/>
        <v>44</v>
      </c>
      <c r="B58" s="233">
        <f t="shared" si="0"/>
        <v>41518</v>
      </c>
      <c r="C58" s="234">
        <f t="shared" si="7"/>
        <v>0</v>
      </c>
      <c r="D58" s="234">
        <f t="shared" si="1"/>
        <v>5156.1041801143792</v>
      </c>
      <c r="E58" s="235">
        <f t="shared" si="2"/>
        <v>0</v>
      </c>
      <c r="F58" s="234">
        <f t="shared" si="3"/>
        <v>0</v>
      </c>
      <c r="G58" s="234">
        <f t="shared" si="4"/>
        <v>0</v>
      </c>
      <c r="H58" s="234">
        <f t="shared" si="8"/>
        <v>0</v>
      </c>
      <c r="I58" s="234">
        <f t="shared" si="5"/>
        <v>0</v>
      </c>
      <c r="J58" s="232"/>
      <c r="K58" s="232"/>
    </row>
    <row r="59" spans="1:11">
      <c r="A59" s="227">
        <f t="shared" si="6"/>
        <v>45</v>
      </c>
      <c r="B59" s="233">
        <f t="shared" si="0"/>
        <v>41548</v>
      </c>
      <c r="C59" s="234">
        <f t="shared" si="7"/>
        <v>0</v>
      </c>
      <c r="D59" s="234">
        <f t="shared" si="1"/>
        <v>5156.1041801143792</v>
      </c>
      <c r="E59" s="235">
        <f t="shared" si="2"/>
        <v>0</v>
      </c>
      <c r="F59" s="234">
        <f t="shared" si="3"/>
        <v>0</v>
      </c>
      <c r="G59" s="234">
        <f t="shared" si="4"/>
        <v>0</v>
      </c>
      <c r="H59" s="234">
        <f t="shared" si="8"/>
        <v>0</v>
      </c>
      <c r="I59" s="234">
        <f t="shared" si="5"/>
        <v>0</v>
      </c>
      <c r="J59" s="232"/>
      <c r="K59" s="232"/>
    </row>
    <row r="60" spans="1:11">
      <c r="A60" s="227">
        <f t="shared" si="6"/>
        <v>46</v>
      </c>
      <c r="B60" s="233">
        <f t="shared" si="0"/>
        <v>41579</v>
      </c>
      <c r="C60" s="234">
        <f t="shared" si="7"/>
        <v>0</v>
      </c>
      <c r="D60" s="234">
        <f t="shared" si="1"/>
        <v>5156.1041801143792</v>
      </c>
      <c r="E60" s="235">
        <f t="shared" si="2"/>
        <v>0</v>
      </c>
      <c r="F60" s="234">
        <f t="shared" si="3"/>
        <v>0</v>
      </c>
      <c r="G60" s="234">
        <f t="shared" si="4"/>
        <v>0</v>
      </c>
      <c r="H60" s="234">
        <f t="shared" si="8"/>
        <v>0</v>
      </c>
      <c r="I60" s="234">
        <f t="shared" si="5"/>
        <v>0</v>
      </c>
      <c r="J60" s="232"/>
      <c r="K60" s="232"/>
    </row>
    <row r="61" spans="1:11">
      <c r="A61" s="227">
        <f t="shared" si="6"/>
        <v>47</v>
      </c>
      <c r="B61" s="233">
        <f t="shared" si="0"/>
        <v>41609</v>
      </c>
      <c r="C61" s="234">
        <f t="shared" si="7"/>
        <v>0</v>
      </c>
      <c r="D61" s="234">
        <f t="shared" si="1"/>
        <v>5156.1041801143792</v>
      </c>
      <c r="E61" s="235">
        <f t="shared" si="2"/>
        <v>0</v>
      </c>
      <c r="F61" s="234">
        <f t="shared" si="3"/>
        <v>0</v>
      </c>
      <c r="G61" s="234">
        <f t="shared" si="4"/>
        <v>0</v>
      </c>
      <c r="H61" s="234">
        <f t="shared" si="8"/>
        <v>0</v>
      </c>
      <c r="I61" s="234">
        <f t="shared" si="5"/>
        <v>0</v>
      </c>
      <c r="J61" s="232"/>
      <c r="K61" s="232"/>
    </row>
    <row r="62" spans="1:11">
      <c r="A62" s="227">
        <f t="shared" si="6"/>
        <v>48</v>
      </c>
      <c r="B62" s="233">
        <f t="shared" si="0"/>
        <v>41640</v>
      </c>
      <c r="C62" s="234">
        <f t="shared" si="7"/>
        <v>0</v>
      </c>
      <c r="D62" s="234">
        <f t="shared" si="1"/>
        <v>5156.1041801143792</v>
      </c>
      <c r="E62" s="235">
        <f t="shared" si="2"/>
        <v>0</v>
      </c>
      <c r="F62" s="234">
        <f t="shared" si="3"/>
        <v>0</v>
      </c>
      <c r="G62" s="234">
        <f t="shared" si="4"/>
        <v>0</v>
      </c>
      <c r="H62" s="234">
        <f t="shared" si="8"/>
        <v>0</v>
      </c>
      <c r="I62" s="234">
        <f t="shared" si="5"/>
        <v>0</v>
      </c>
      <c r="J62" s="232"/>
      <c r="K62" s="232"/>
    </row>
    <row r="63" spans="1:11">
      <c r="A63" s="227">
        <f t="shared" si="6"/>
        <v>49</v>
      </c>
      <c r="B63" s="233">
        <f t="shared" si="0"/>
        <v>41671</v>
      </c>
      <c r="C63" s="234">
        <f t="shared" si="7"/>
        <v>0</v>
      </c>
      <c r="D63" s="234">
        <f t="shared" si="1"/>
        <v>5156.1041801143792</v>
      </c>
      <c r="E63" s="235">
        <f t="shared" si="2"/>
        <v>0</v>
      </c>
      <c r="F63" s="234">
        <f t="shared" si="3"/>
        <v>0</v>
      </c>
      <c r="G63" s="234">
        <f t="shared" si="4"/>
        <v>0</v>
      </c>
      <c r="H63" s="234">
        <f t="shared" si="8"/>
        <v>0</v>
      </c>
      <c r="I63" s="234">
        <f t="shared" si="5"/>
        <v>0</v>
      </c>
      <c r="J63" s="232"/>
      <c r="K63" s="232"/>
    </row>
    <row r="64" spans="1:11">
      <c r="A64" s="227">
        <f t="shared" si="6"/>
        <v>50</v>
      </c>
      <c r="B64" s="233">
        <f t="shared" si="0"/>
        <v>41699</v>
      </c>
      <c r="C64" s="234">
        <f t="shared" si="7"/>
        <v>0</v>
      </c>
      <c r="D64" s="234">
        <f t="shared" si="1"/>
        <v>5156.1041801143792</v>
      </c>
      <c r="E64" s="235">
        <f t="shared" si="2"/>
        <v>0</v>
      </c>
      <c r="F64" s="234">
        <f t="shared" si="3"/>
        <v>0</v>
      </c>
      <c r="G64" s="234">
        <f t="shared" si="4"/>
        <v>0</v>
      </c>
      <c r="H64" s="234">
        <f t="shared" si="8"/>
        <v>0</v>
      </c>
      <c r="I64" s="234">
        <f t="shared" si="5"/>
        <v>0</v>
      </c>
      <c r="J64" s="232"/>
      <c r="K64" s="232"/>
    </row>
    <row r="65" spans="1:11">
      <c r="A65" s="227">
        <f t="shared" si="6"/>
        <v>51</v>
      </c>
      <c r="B65" s="233">
        <f t="shared" si="0"/>
        <v>41730</v>
      </c>
      <c r="C65" s="234">
        <f t="shared" si="7"/>
        <v>0</v>
      </c>
      <c r="D65" s="234">
        <f t="shared" si="1"/>
        <v>5156.1041801143792</v>
      </c>
      <c r="E65" s="235">
        <f t="shared" si="2"/>
        <v>0</v>
      </c>
      <c r="F65" s="234">
        <f t="shared" si="3"/>
        <v>0</v>
      </c>
      <c r="G65" s="234">
        <f t="shared" si="4"/>
        <v>0</v>
      </c>
      <c r="H65" s="234">
        <f t="shared" si="8"/>
        <v>0</v>
      </c>
      <c r="I65" s="234">
        <f t="shared" si="5"/>
        <v>0</v>
      </c>
      <c r="J65" s="232"/>
      <c r="K65" s="232"/>
    </row>
    <row r="66" spans="1:11">
      <c r="A66" s="227">
        <f t="shared" si="6"/>
        <v>52</v>
      </c>
      <c r="B66" s="233">
        <f t="shared" si="0"/>
        <v>41760</v>
      </c>
      <c r="C66" s="234">
        <f t="shared" si="7"/>
        <v>0</v>
      </c>
      <c r="D66" s="234">
        <f t="shared" si="1"/>
        <v>5156.1041801143792</v>
      </c>
      <c r="E66" s="235">
        <f t="shared" si="2"/>
        <v>0</v>
      </c>
      <c r="F66" s="234">
        <f t="shared" si="3"/>
        <v>0</v>
      </c>
      <c r="G66" s="234">
        <f t="shared" si="4"/>
        <v>0</v>
      </c>
      <c r="H66" s="234">
        <f t="shared" si="8"/>
        <v>0</v>
      </c>
      <c r="I66" s="234">
        <f t="shared" si="5"/>
        <v>0</v>
      </c>
      <c r="J66" s="232"/>
      <c r="K66" s="232"/>
    </row>
    <row r="67" spans="1:11">
      <c r="A67" s="227">
        <f t="shared" si="6"/>
        <v>53</v>
      </c>
      <c r="B67" s="233">
        <f t="shared" si="0"/>
        <v>41791</v>
      </c>
      <c r="C67" s="234">
        <f t="shared" si="7"/>
        <v>0</v>
      </c>
      <c r="D67" s="234">
        <f t="shared" si="1"/>
        <v>5156.1041801143792</v>
      </c>
      <c r="E67" s="235">
        <f t="shared" si="2"/>
        <v>0</v>
      </c>
      <c r="F67" s="234">
        <f t="shared" si="3"/>
        <v>0</v>
      </c>
      <c r="G67" s="234">
        <f t="shared" si="4"/>
        <v>0</v>
      </c>
      <c r="H67" s="234">
        <f t="shared" si="8"/>
        <v>0</v>
      </c>
      <c r="I67" s="234">
        <f t="shared" si="5"/>
        <v>0</v>
      </c>
      <c r="J67" s="232"/>
      <c r="K67" s="232"/>
    </row>
    <row r="68" spans="1:11">
      <c r="A68" s="227">
        <f t="shared" si="6"/>
        <v>54</v>
      </c>
      <c r="B68" s="233">
        <f t="shared" si="0"/>
        <v>41821</v>
      </c>
      <c r="C68" s="234">
        <f t="shared" si="7"/>
        <v>0</v>
      </c>
      <c r="D68" s="234">
        <f t="shared" si="1"/>
        <v>5156.1041801143792</v>
      </c>
      <c r="E68" s="235">
        <f t="shared" si="2"/>
        <v>0</v>
      </c>
      <c r="F68" s="234">
        <f t="shared" si="3"/>
        <v>0</v>
      </c>
      <c r="G68" s="234">
        <f t="shared" si="4"/>
        <v>0</v>
      </c>
      <c r="H68" s="234">
        <f t="shared" si="8"/>
        <v>0</v>
      </c>
      <c r="I68" s="234">
        <f t="shared" si="5"/>
        <v>0</v>
      </c>
      <c r="J68" s="232"/>
      <c r="K68" s="232"/>
    </row>
    <row r="69" spans="1:11">
      <c r="A69" s="227">
        <f t="shared" si="6"/>
        <v>55</v>
      </c>
      <c r="B69" s="233">
        <f t="shared" si="0"/>
        <v>41852</v>
      </c>
      <c r="C69" s="234">
        <f t="shared" si="7"/>
        <v>0</v>
      </c>
      <c r="D69" s="234">
        <f t="shared" si="1"/>
        <v>5156.1041801143792</v>
      </c>
      <c r="E69" s="235">
        <f t="shared" si="2"/>
        <v>0</v>
      </c>
      <c r="F69" s="234">
        <f t="shared" si="3"/>
        <v>0</v>
      </c>
      <c r="G69" s="234">
        <f t="shared" si="4"/>
        <v>0</v>
      </c>
      <c r="H69" s="234">
        <f t="shared" si="8"/>
        <v>0</v>
      </c>
      <c r="I69" s="234">
        <f t="shared" si="5"/>
        <v>0</v>
      </c>
      <c r="J69" s="232"/>
      <c r="K69" s="232"/>
    </row>
    <row r="70" spans="1:11">
      <c r="A70" s="227">
        <f t="shared" si="6"/>
        <v>56</v>
      </c>
      <c r="B70" s="233">
        <f t="shared" si="0"/>
        <v>41883</v>
      </c>
      <c r="C70" s="234">
        <f t="shared" si="7"/>
        <v>0</v>
      </c>
      <c r="D70" s="234">
        <f t="shared" si="1"/>
        <v>5156.1041801143792</v>
      </c>
      <c r="E70" s="235">
        <f t="shared" si="2"/>
        <v>0</v>
      </c>
      <c r="F70" s="234">
        <f t="shared" si="3"/>
        <v>0</v>
      </c>
      <c r="G70" s="234">
        <f t="shared" si="4"/>
        <v>0</v>
      </c>
      <c r="H70" s="234">
        <f t="shared" si="8"/>
        <v>0</v>
      </c>
      <c r="I70" s="234">
        <f t="shared" si="5"/>
        <v>0</v>
      </c>
      <c r="J70" s="232"/>
      <c r="K70" s="232"/>
    </row>
    <row r="71" spans="1:11">
      <c r="A71" s="227">
        <f t="shared" si="6"/>
        <v>57</v>
      </c>
      <c r="B71" s="233">
        <f t="shared" si="0"/>
        <v>41913</v>
      </c>
      <c r="C71" s="234">
        <f t="shared" si="7"/>
        <v>0</v>
      </c>
      <c r="D71" s="234">
        <f t="shared" si="1"/>
        <v>5156.1041801143792</v>
      </c>
      <c r="E71" s="235">
        <f t="shared" si="2"/>
        <v>0</v>
      </c>
      <c r="F71" s="234">
        <f t="shared" si="3"/>
        <v>0</v>
      </c>
      <c r="G71" s="234">
        <f t="shared" si="4"/>
        <v>0</v>
      </c>
      <c r="H71" s="234">
        <f t="shared" si="8"/>
        <v>0</v>
      </c>
      <c r="I71" s="234">
        <f t="shared" si="5"/>
        <v>0</v>
      </c>
      <c r="J71" s="232"/>
      <c r="K71" s="232"/>
    </row>
    <row r="72" spans="1:11">
      <c r="A72" s="227">
        <f t="shared" si="6"/>
        <v>58</v>
      </c>
      <c r="B72" s="233">
        <f t="shared" si="0"/>
        <v>41944</v>
      </c>
      <c r="C72" s="234">
        <f t="shared" si="7"/>
        <v>0</v>
      </c>
      <c r="D72" s="234">
        <f t="shared" si="1"/>
        <v>5156.1041801143792</v>
      </c>
      <c r="E72" s="235">
        <f t="shared" si="2"/>
        <v>0</v>
      </c>
      <c r="F72" s="234">
        <f t="shared" si="3"/>
        <v>0</v>
      </c>
      <c r="G72" s="234">
        <f t="shared" si="4"/>
        <v>0</v>
      </c>
      <c r="H72" s="234">
        <f t="shared" si="8"/>
        <v>0</v>
      </c>
      <c r="I72" s="234">
        <f t="shared" si="5"/>
        <v>0</v>
      </c>
      <c r="J72" s="232"/>
      <c r="K72" s="232"/>
    </row>
    <row r="73" spans="1:11">
      <c r="A73" s="227">
        <f t="shared" si="6"/>
        <v>59</v>
      </c>
      <c r="B73" s="233">
        <f t="shared" si="0"/>
        <v>41974</v>
      </c>
      <c r="C73" s="234">
        <f t="shared" si="7"/>
        <v>0</v>
      </c>
      <c r="D73" s="234">
        <f t="shared" si="1"/>
        <v>5156.1041801143792</v>
      </c>
      <c r="E73" s="235">
        <f t="shared" si="2"/>
        <v>0</v>
      </c>
      <c r="F73" s="234">
        <f t="shared" si="3"/>
        <v>0</v>
      </c>
      <c r="G73" s="234">
        <f t="shared" si="4"/>
        <v>0</v>
      </c>
      <c r="H73" s="234">
        <f t="shared" si="8"/>
        <v>0</v>
      </c>
      <c r="I73" s="234">
        <f t="shared" si="5"/>
        <v>0</v>
      </c>
      <c r="J73" s="232"/>
      <c r="K73" s="232"/>
    </row>
    <row r="74" spans="1:11">
      <c r="A74" s="227">
        <f t="shared" si="6"/>
        <v>60</v>
      </c>
      <c r="B74" s="233">
        <f t="shared" si="0"/>
        <v>42005</v>
      </c>
      <c r="C74" s="234">
        <f t="shared" si="7"/>
        <v>0</v>
      </c>
      <c r="D74" s="234">
        <f t="shared" si="1"/>
        <v>5156.1041801143792</v>
      </c>
      <c r="E74" s="235">
        <f t="shared" si="2"/>
        <v>0</v>
      </c>
      <c r="F74" s="234">
        <f t="shared" si="3"/>
        <v>0</v>
      </c>
      <c r="G74" s="234">
        <f t="shared" si="4"/>
        <v>0</v>
      </c>
      <c r="H74" s="234">
        <f t="shared" si="8"/>
        <v>0</v>
      </c>
      <c r="I74" s="234">
        <f t="shared" si="5"/>
        <v>0</v>
      </c>
      <c r="J74" s="232"/>
      <c r="K74" s="232"/>
    </row>
    <row r="75" spans="1:11">
      <c r="A75" s="227">
        <f t="shared" si="6"/>
        <v>61</v>
      </c>
      <c r="B75" s="233">
        <f t="shared" si="0"/>
        <v>42036</v>
      </c>
      <c r="C75" s="234">
        <f t="shared" si="7"/>
        <v>0</v>
      </c>
      <c r="D75" s="234">
        <f t="shared" si="1"/>
        <v>5156.1041801143792</v>
      </c>
      <c r="E75" s="235">
        <f t="shared" si="2"/>
        <v>0</v>
      </c>
      <c r="F75" s="234">
        <f t="shared" si="3"/>
        <v>0</v>
      </c>
      <c r="G75" s="234">
        <f t="shared" si="4"/>
        <v>0</v>
      </c>
      <c r="H75" s="234">
        <f t="shared" si="8"/>
        <v>0</v>
      </c>
      <c r="I75" s="234">
        <f t="shared" si="5"/>
        <v>0</v>
      </c>
      <c r="J75" s="232"/>
      <c r="K75" s="232"/>
    </row>
    <row r="76" spans="1:11">
      <c r="A76" s="227">
        <f t="shared" si="6"/>
        <v>62</v>
      </c>
      <c r="B76" s="233">
        <f t="shared" si="0"/>
        <v>42064</v>
      </c>
      <c r="C76" s="234">
        <f t="shared" si="7"/>
        <v>0</v>
      </c>
      <c r="D76" s="234">
        <f t="shared" si="1"/>
        <v>5156.1041801143792</v>
      </c>
      <c r="E76" s="235">
        <f t="shared" si="2"/>
        <v>0</v>
      </c>
      <c r="F76" s="234">
        <f t="shared" si="3"/>
        <v>0</v>
      </c>
      <c r="G76" s="234">
        <f t="shared" si="4"/>
        <v>0</v>
      </c>
      <c r="H76" s="234">
        <f t="shared" si="8"/>
        <v>0</v>
      </c>
      <c r="I76" s="234">
        <f t="shared" si="5"/>
        <v>0</v>
      </c>
      <c r="J76" s="232"/>
      <c r="K76" s="232"/>
    </row>
    <row r="77" spans="1:11">
      <c r="A77" s="227">
        <f t="shared" si="6"/>
        <v>63</v>
      </c>
      <c r="B77" s="233">
        <f t="shared" si="0"/>
        <v>42095</v>
      </c>
      <c r="C77" s="234">
        <f t="shared" si="7"/>
        <v>0</v>
      </c>
      <c r="D77" s="234">
        <f t="shared" si="1"/>
        <v>5156.1041801143792</v>
      </c>
      <c r="E77" s="235">
        <f t="shared" si="2"/>
        <v>0</v>
      </c>
      <c r="F77" s="234">
        <f t="shared" si="3"/>
        <v>0</v>
      </c>
      <c r="G77" s="234">
        <f t="shared" si="4"/>
        <v>0</v>
      </c>
      <c r="H77" s="234">
        <f t="shared" si="8"/>
        <v>0</v>
      </c>
      <c r="I77" s="234">
        <f t="shared" si="5"/>
        <v>0</v>
      </c>
      <c r="J77" s="232"/>
      <c r="K77" s="232"/>
    </row>
    <row r="78" spans="1:11">
      <c r="A78" s="227">
        <f t="shared" si="6"/>
        <v>64</v>
      </c>
      <c r="B78" s="233">
        <f t="shared" si="0"/>
        <v>42125</v>
      </c>
      <c r="C78" s="234">
        <f t="shared" si="7"/>
        <v>0</v>
      </c>
      <c r="D78" s="234">
        <f t="shared" si="1"/>
        <v>5156.1041801143792</v>
      </c>
      <c r="E78" s="235">
        <f t="shared" si="2"/>
        <v>0</v>
      </c>
      <c r="F78" s="234">
        <f t="shared" si="3"/>
        <v>0</v>
      </c>
      <c r="G78" s="234">
        <f t="shared" si="4"/>
        <v>0</v>
      </c>
      <c r="H78" s="234">
        <f t="shared" si="8"/>
        <v>0</v>
      </c>
      <c r="I78" s="234">
        <f t="shared" si="5"/>
        <v>0</v>
      </c>
      <c r="J78" s="232"/>
      <c r="K78" s="232"/>
    </row>
    <row r="79" spans="1:11">
      <c r="A79" s="227">
        <f t="shared" si="6"/>
        <v>65</v>
      </c>
      <c r="B79" s="233">
        <f t="shared" ref="B79:B142" si="9">IF(Pay_Num&lt;&gt;"",DATE(YEAR(Loan_Start),MONTH(Loan_Start)+(Pay_Num)*12/Num_Pmt_Per_Year,DAY(Loan_Start)),"")</f>
        <v>42156</v>
      </c>
      <c r="C79" s="234">
        <f t="shared" si="7"/>
        <v>0</v>
      </c>
      <c r="D79" s="234">
        <f t="shared" ref="D79:D142" si="10">IF(Pay_Num&lt;&gt;"",Scheduled_Monthly_Payment,"")</f>
        <v>5156.1041801143792</v>
      </c>
      <c r="E79" s="235">
        <f t="shared" ref="E79:E142" si="11">IF(AND(Pay_Num&lt;&gt;"",Sched_Pay+Scheduled_Extra_Payments&lt;Beg_Bal),Scheduled_Extra_Payments,IF(AND(Pay_Num&lt;&gt;"",Beg_Bal-Sched_Pay&gt;0),Beg_Bal-Sched_Pay,IF(Pay_Num&lt;&gt;"",0,"")))</f>
        <v>0</v>
      </c>
      <c r="F79" s="234">
        <f t="shared" ref="F79:F142" si="12">IF(AND(Pay_Num&lt;&gt;"",Sched_Pay+Extra_Pay&lt;Beg_Bal),Sched_Pay+Extra_Pay,IF(Pay_Num&lt;&gt;"",Beg_Bal,""))</f>
        <v>0</v>
      </c>
      <c r="G79" s="234">
        <f t="shared" ref="G79:G142" si="13">IF(Pay_Num&lt;&gt;"",Total_Pay-Int,"")</f>
        <v>0</v>
      </c>
      <c r="H79" s="234">
        <f t="shared" si="8"/>
        <v>0</v>
      </c>
      <c r="I79" s="234">
        <f t="shared" ref="I79:I142" si="14">IF(AND(Pay_Num&lt;&gt;"",Sched_Pay+Extra_Pay&lt;Beg_Bal),Beg_Bal-Princ,IF(Pay_Num&lt;&gt;"",0,""))</f>
        <v>0</v>
      </c>
      <c r="J79" s="232"/>
      <c r="K79" s="232"/>
    </row>
    <row r="80" spans="1:11">
      <c r="A80" s="227">
        <f t="shared" ref="A80:A143" si="15">IF(Values_Entered,A79+1,"")</f>
        <v>66</v>
      </c>
      <c r="B80" s="233">
        <f t="shared" si="9"/>
        <v>42186</v>
      </c>
      <c r="C80" s="234">
        <f t="shared" ref="C80:C143" si="16">IF(Pay_Num&lt;&gt;"",I79,"")</f>
        <v>0</v>
      </c>
      <c r="D80" s="234">
        <f t="shared" si="10"/>
        <v>5156.1041801143792</v>
      </c>
      <c r="E80" s="235">
        <f t="shared" si="11"/>
        <v>0</v>
      </c>
      <c r="F80" s="234">
        <f t="shared" si="12"/>
        <v>0</v>
      </c>
      <c r="G80" s="234">
        <f t="shared" si="13"/>
        <v>0</v>
      </c>
      <c r="H80" s="234">
        <f t="shared" ref="H80:H143" si="17">IF(Pay_Num&lt;&gt;"",Beg_Bal*Interest_Rate/Num_Pmt_Per_Year,"")</f>
        <v>0</v>
      </c>
      <c r="I80" s="234">
        <f t="shared" si="14"/>
        <v>0</v>
      </c>
      <c r="J80" s="232"/>
      <c r="K80" s="232"/>
    </row>
    <row r="81" spans="1:11">
      <c r="A81" s="227">
        <f t="shared" si="15"/>
        <v>67</v>
      </c>
      <c r="B81" s="233">
        <f t="shared" si="9"/>
        <v>42217</v>
      </c>
      <c r="C81" s="234">
        <f t="shared" si="16"/>
        <v>0</v>
      </c>
      <c r="D81" s="234">
        <f t="shared" si="10"/>
        <v>5156.1041801143792</v>
      </c>
      <c r="E81" s="235">
        <f t="shared" si="11"/>
        <v>0</v>
      </c>
      <c r="F81" s="234">
        <f t="shared" si="12"/>
        <v>0</v>
      </c>
      <c r="G81" s="234">
        <f t="shared" si="13"/>
        <v>0</v>
      </c>
      <c r="H81" s="234">
        <f t="shared" si="17"/>
        <v>0</v>
      </c>
      <c r="I81" s="234">
        <f t="shared" si="14"/>
        <v>0</v>
      </c>
      <c r="J81" s="232"/>
      <c r="K81" s="232"/>
    </row>
    <row r="82" spans="1:11">
      <c r="A82" s="227">
        <f t="shared" si="15"/>
        <v>68</v>
      </c>
      <c r="B82" s="233">
        <f t="shared" si="9"/>
        <v>42248</v>
      </c>
      <c r="C82" s="234">
        <f t="shared" si="16"/>
        <v>0</v>
      </c>
      <c r="D82" s="234">
        <f t="shared" si="10"/>
        <v>5156.1041801143792</v>
      </c>
      <c r="E82" s="235">
        <f t="shared" si="11"/>
        <v>0</v>
      </c>
      <c r="F82" s="234">
        <f t="shared" si="12"/>
        <v>0</v>
      </c>
      <c r="G82" s="234">
        <f t="shared" si="13"/>
        <v>0</v>
      </c>
      <c r="H82" s="234">
        <f t="shared" si="17"/>
        <v>0</v>
      </c>
      <c r="I82" s="234">
        <f t="shared" si="14"/>
        <v>0</v>
      </c>
      <c r="J82" s="232"/>
      <c r="K82" s="232"/>
    </row>
    <row r="83" spans="1:11">
      <c r="A83" s="227">
        <f t="shared" si="15"/>
        <v>69</v>
      </c>
      <c r="B83" s="233">
        <f t="shared" si="9"/>
        <v>42278</v>
      </c>
      <c r="C83" s="234">
        <f t="shared" si="16"/>
        <v>0</v>
      </c>
      <c r="D83" s="234">
        <f t="shared" si="10"/>
        <v>5156.1041801143792</v>
      </c>
      <c r="E83" s="235">
        <f t="shared" si="11"/>
        <v>0</v>
      </c>
      <c r="F83" s="234">
        <f t="shared" si="12"/>
        <v>0</v>
      </c>
      <c r="G83" s="234">
        <f t="shared" si="13"/>
        <v>0</v>
      </c>
      <c r="H83" s="234">
        <f t="shared" si="17"/>
        <v>0</v>
      </c>
      <c r="I83" s="234">
        <f t="shared" si="14"/>
        <v>0</v>
      </c>
      <c r="J83" s="232"/>
      <c r="K83" s="232"/>
    </row>
    <row r="84" spans="1:11">
      <c r="A84" s="227">
        <f t="shared" si="15"/>
        <v>70</v>
      </c>
      <c r="B84" s="233">
        <f t="shared" si="9"/>
        <v>42309</v>
      </c>
      <c r="C84" s="234">
        <f t="shared" si="16"/>
        <v>0</v>
      </c>
      <c r="D84" s="234">
        <f t="shared" si="10"/>
        <v>5156.1041801143792</v>
      </c>
      <c r="E84" s="235">
        <f t="shared" si="11"/>
        <v>0</v>
      </c>
      <c r="F84" s="234">
        <f t="shared" si="12"/>
        <v>0</v>
      </c>
      <c r="G84" s="234">
        <f t="shared" si="13"/>
        <v>0</v>
      </c>
      <c r="H84" s="234">
        <f t="shared" si="17"/>
        <v>0</v>
      </c>
      <c r="I84" s="234">
        <f t="shared" si="14"/>
        <v>0</v>
      </c>
      <c r="J84" s="232"/>
      <c r="K84" s="232"/>
    </row>
    <row r="85" spans="1:11">
      <c r="A85" s="227">
        <f t="shared" si="15"/>
        <v>71</v>
      </c>
      <c r="B85" s="233">
        <f t="shared" si="9"/>
        <v>42339</v>
      </c>
      <c r="C85" s="234">
        <f t="shared" si="16"/>
        <v>0</v>
      </c>
      <c r="D85" s="234">
        <f t="shared" si="10"/>
        <v>5156.1041801143792</v>
      </c>
      <c r="E85" s="235">
        <f t="shared" si="11"/>
        <v>0</v>
      </c>
      <c r="F85" s="234">
        <f t="shared" si="12"/>
        <v>0</v>
      </c>
      <c r="G85" s="234">
        <f t="shared" si="13"/>
        <v>0</v>
      </c>
      <c r="H85" s="234">
        <f t="shared" si="17"/>
        <v>0</v>
      </c>
      <c r="I85" s="234">
        <f t="shared" si="14"/>
        <v>0</v>
      </c>
      <c r="J85" s="232"/>
      <c r="K85" s="232"/>
    </row>
    <row r="86" spans="1:11">
      <c r="A86" s="227">
        <f t="shared" si="15"/>
        <v>72</v>
      </c>
      <c r="B86" s="233">
        <f t="shared" si="9"/>
        <v>42370</v>
      </c>
      <c r="C86" s="234">
        <f t="shared" si="16"/>
        <v>0</v>
      </c>
      <c r="D86" s="234">
        <f t="shared" si="10"/>
        <v>5156.1041801143792</v>
      </c>
      <c r="E86" s="235">
        <f t="shared" si="11"/>
        <v>0</v>
      </c>
      <c r="F86" s="234">
        <f t="shared" si="12"/>
        <v>0</v>
      </c>
      <c r="G86" s="234">
        <f t="shared" si="13"/>
        <v>0</v>
      </c>
      <c r="H86" s="234">
        <f t="shared" si="17"/>
        <v>0</v>
      </c>
      <c r="I86" s="234">
        <f t="shared" si="14"/>
        <v>0</v>
      </c>
      <c r="J86" s="232"/>
      <c r="K86" s="232"/>
    </row>
    <row r="87" spans="1:11">
      <c r="A87" s="227">
        <f t="shared" si="15"/>
        <v>73</v>
      </c>
      <c r="B87" s="233">
        <f t="shared" si="9"/>
        <v>42401</v>
      </c>
      <c r="C87" s="234">
        <f t="shared" si="16"/>
        <v>0</v>
      </c>
      <c r="D87" s="234">
        <f t="shared" si="10"/>
        <v>5156.1041801143792</v>
      </c>
      <c r="E87" s="235">
        <f t="shared" si="11"/>
        <v>0</v>
      </c>
      <c r="F87" s="234">
        <f t="shared" si="12"/>
        <v>0</v>
      </c>
      <c r="G87" s="234">
        <f t="shared" si="13"/>
        <v>0</v>
      </c>
      <c r="H87" s="234">
        <f t="shared" si="17"/>
        <v>0</v>
      </c>
      <c r="I87" s="234">
        <f t="shared" si="14"/>
        <v>0</v>
      </c>
      <c r="J87" s="232"/>
      <c r="K87" s="232"/>
    </row>
    <row r="88" spans="1:11">
      <c r="A88" s="227">
        <f t="shared" si="15"/>
        <v>74</v>
      </c>
      <c r="B88" s="233">
        <f t="shared" si="9"/>
        <v>42430</v>
      </c>
      <c r="C88" s="234">
        <f t="shared" si="16"/>
        <v>0</v>
      </c>
      <c r="D88" s="234">
        <f t="shared" si="10"/>
        <v>5156.1041801143792</v>
      </c>
      <c r="E88" s="235">
        <f t="shared" si="11"/>
        <v>0</v>
      </c>
      <c r="F88" s="234">
        <f t="shared" si="12"/>
        <v>0</v>
      </c>
      <c r="G88" s="234">
        <f t="shared" si="13"/>
        <v>0</v>
      </c>
      <c r="H88" s="234">
        <f t="shared" si="17"/>
        <v>0</v>
      </c>
      <c r="I88" s="234">
        <f t="shared" si="14"/>
        <v>0</v>
      </c>
      <c r="J88" s="232"/>
      <c r="K88" s="232"/>
    </row>
    <row r="89" spans="1:11">
      <c r="A89" s="227">
        <f t="shared" si="15"/>
        <v>75</v>
      </c>
      <c r="B89" s="233">
        <f t="shared" si="9"/>
        <v>42461</v>
      </c>
      <c r="C89" s="234">
        <f t="shared" si="16"/>
        <v>0</v>
      </c>
      <c r="D89" s="234">
        <f t="shared" si="10"/>
        <v>5156.1041801143792</v>
      </c>
      <c r="E89" s="235">
        <f t="shared" si="11"/>
        <v>0</v>
      </c>
      <c r="F89" s="234">
        <f t="shared" si="12"/>
        <v>0</v>
      </c>
      <c r="G89" s="234">
        <f t="shared" si="13"/>
        <v>0</v>
      </c>
      <c r="H89" s="234">
        <f t="shared" si="17"/>
        <v>0</v>
      </c>
      <c r="I89" s="234">
        <f t="shared" si="14"/>
        <v>0</v>
      </c>
      <c r="J89" s="232"/>
      <c r="K89" s="232"/>
    </row>
    <row r="90" spans="1:11">
      <c r="A90" s="227">
        <f t="shared" si="15"/>
        <v>76</v>
      </c>
      <c r="B90" s="233">
        <f t="shared" si="9"/>
        <v>42491</v>
      </c>
      <c r="C90" s="234">
        <f t="shared" si="16"/>
        <v>0</v>
      </c>
      <c r="D90" s="234">
        <f t="shared" si="10"/>
        <v>5156.1041801143792</v>
      </c>
      <c r="E90" s="235">
        <f t="shared" si="11"/>
        <v>0</v>
      </c>
      <c r="F90" s="234">
        <f t="shared" si="12"/>
        <v>0</v>
      </c>
      <c r="G90" s="234">
        <f t="shared" si="13"/>
        <v>0</v>
      </c>
      <c r="H90" s="234">
        <f t="shared" si="17"/>
        <v>0</v>
      </c>
      <c r="I90" s="234">
        <f t="shared" si="14"/>
        <v>0</v>
      </c>
      <c r="J90" s="232"/>
      <c r="K90" s="232"/>
    </row>
    <row r="91" spans="1:11">
      <c r="A91" s="227">
        <f t="shared" si="15"/>
        <v>77</v>
      </c>
      <c r="B91" s="233">
        <f t="shared" si="9"/>
        <v>42522</v>
      </c>
      <c r="C91" s="234">
        <f t="shared" si="16"/>
        <v>0</v>
      </c>
      <c r="D91" s="234">
        <f t="shared" si="10"/>
        <v>5156.1041801143792</v>
      </c>
      <c r="E91" s="235">
        <f t="shared" si="11"/>
        <v>0</v>
      </c>
      <c r="F91" s="234">
        <f t="shared" si="12"/>
        <v>0</v>
      </c>
      <c r="G91" s="234">
        <f t="shared" si="13"/>
        <v>0</v>
      </c>
      <c r="H91" s="234">
        <f t="shared" si="17"/>
        <v>0</v>
      </c>
      <c r="I91" s="234">
        <f t="shared" si="14"/>
        <v>0</v>
      </c>
      <c r="J91" s="232"/>
      <c r="K91" s="232"/>
    </row>
    <row r="92" spans="1:11">
      <c r="A92" s="227">
        <f t="shared" si="15"/>
        <v>78</v>
      </c>
      <c r="B92" s="233">
        <f t="shared" si="9"/>
        <v>42552</v>
      </c>
      <c r="C92" s="234">
        <f t="shared" si="16"/>
        <v>0</v>
      </c>
      <c r="D92" s="234">
        <f t="shared" si="10"/>
        <v>5156.1041801143792</v>
      </c>
      <c r="E92" s="235">
        <f t="shared" si="11"/>
        <v>0</v>
      </c>
      <c r="F92" s="234">
        <f t="shared" si="12"/>
        <v>0</v>
      </c>
      <c r="G92" s="234">
        <f t="shared" si="13"/>
        <v>0</v>
      </c>
      <c r="H92" s="234">
        <f t="shared" si="17"/>
        <v>0</v>
      </c>
      <c r="I92" s="234">
        <f t="shared" si="14"/>
        <v>0</v>
      </c>
      <c r="J92" s="232"/>
      <c r="K92" s="232"/>
    </row>
    <row r="93" spans="1:11">
      <c r="A93" s="227">
        <f t="shared" si="15"/>
        <v>79</v>
      </c>
      <c r="B93" s="233">
        <f t="shared" si="9"/>
        <v>42583</v>
      </c>
      <c r="C93" s="234">
        <f t="shared" si="16"/>
        <v>0</v>
      </c>
      <c r="D93" s="234">
        <f t="shared" si="10"/>
        <v>5156.1041801143792</v>
      </c>
      <c r="E93" s="235">
        <f t="shared" si="11"/>
        <v>0</v>
      </c>
      <c r="F93" s="234">
        <f t="shared" si="12"/>
        <v>0</v>
      </c>
      <c r="G93" s="234">
        <f t="shared" si="13"/>
        <v>0</v>
      </c>
      <c r="H93" s="234">
        <f t="shared" si="17"/>
        <v>0</v>
      </c>
      <c r="I93" s="234">
        <f t="shared" si="14"/>
        <v>0</v>
      </c>
      <c r="J93" s="232"/>
      <c r="K93" s="232"/>
    </row>
    <row r="94" spans="1:11">
      <c r="A94" s="227">
        <f t="shared" si="15"/>
        <v>80</v>
      </c>
      <c r="B94" s="233">
        <f t="shared" si="9"/>
        <v>42614</v>
      </c>
      <c r="C94" s="234">
        <f t="shared" si="16"/>
        <v>0</v>
      </c>
      <c r="D94" s="234">
        <f t="shared" si="10"/>
        <v>5156.1041801143792</v>
      </c>
      <c r="E94" s="235">
        <f t="shared" si="11"/>
        <v>0</v>
      </c>
      <c r="F94" s="234">
        <f t="shared" si="12"/>
        <v>0</v>
      </c>
      <c r="G94" s="234">
        <f t="shared" si="13"/>
        <v>0</v>
      </c>
      <c r="H94" s="234">
        <f t="shared" si="17"/>
        <v>0</v>
      </c>
      <c r="I94" s="234">
        <f t="shared" si="14"/>
        <v>0</v>
      </c>
      <c r="J94" s="232"/>
      <c r="K94" s="232"/>
    </row>
    <row r="95" spans="1:11">
      <c r="A95" s="227">
        <f t="shared" si="15"/>
        <v>81</v>
      </c>
      <c r="B95" s="233">
        <f t="shared" si="9"/>
        <v>42644</v>
      </c>
      <c r="C95" s="234">
        <f t="shared" si="16"/>
        <v>0</v>
      </c>
      <c r="D95" s="234">
        <f t="shared" si="10"/>
        <v>5156.1041801143792</v>
      </c>
      <c r="E95" s="235">
        <f t="shared" si="11"/>
        <v>0</v>
      </c>
      <c r="F95" s="234">
        <f t="shared" si="12"/>
        <v>0</v>
      </c>
      <c r="G95" s="234">
        <f t="shared" si="13"/>
        <v>0</v>
      </c>
      <c r="H95" s="234">
        <f t="shared" si="17"/>
        <v>0</v>
      </c>
      <c r="I95" s="234">
        <f t="shared" si="14"/>
        <v>0</v>
      </c>
      <c r="J95" s="232"/>
      <c r="K95" s="232"/>
    </row>
    <row r="96" spans="1:11">
      <c r="A96" s="227">
        <f t="shared" si="15"/>
        <v>82</v>
      </c>
      <c r="B96" s="233">
        <f t="shared" si="9"/>
        <v>42675</v>
      </c>
      <c r="C96" s="234">
        <f t="shared" si="16"/>
        <v>0</v>
      </c>
      <c r="D96" s="234">
        <f t="shared" si="10"/>
        <v>5156.1041801143792</v>
      </c>
      <c r="E96" s="235">
        <f t="shared" si="11"/>
        <v>0</v>
      </c>
      <c r="F96" s="234">
        <f t="shared" si="12"/>
        <v>0</v>
      </c>
      <c r="G96" s="234">
        <f t="shared" si="13"/>
        <v>0</v>
      </c>
      <c r="H96" s="234">
        <f t="shared" si="17"/>
        <v>0</v>
      </c>
      <c r="I96" s="234">
        <f t="shared" si="14"/>
        <v>0</v>
      </c>
      <c r="J96" s="232"/>
      <c r="K96" s="232"/>
    </row>
    <row r="97" spans="1:11">
      <c r="A97" s="227">
        <f t="shared" si="15"/>
        <v>83</v>
      </c>
      <c r="B97" s="233">
        <f t="shared" si="9"/>
        <v>42705</v>
      </c>
      <c r="C97" s="234">
        <f t="shared" si="16"/>
        <v>0</v>
      </c>
      <c r="D97" s="234">
        <f t="shared" si="10"/>
        <v>5156.1041801143792</v>
      </c>
      <c r="E97" s="235">
        <f t="shared" si="11"/>
        <v>0</v>
      </c>
      <c r="F97" s="234">
        <f t="shared" si="12"/>
        <v>0</v>
      </c>
      <c r="G97" s="234">
        <f t="shared" si="13"/>
        <v>0</v>
      </c>
      <c r="H97" s="234">
        <f t="shared" si="17"/>
        <v>0</v>
      </c>
      <c r="I97" s="234">
        <f t="shared" si="14"/>
        <v>0</v>
      </c>
      <c r="J97" s="232"/>
      <c r="K97" s="232"/>
    </row>
    <row r="98" spans="1:11">
      <c r="A98" s="227">
        <f t="shared" si="15"/>
        <v>84</v>
      </c>
      <c r="B98" s="233">
        <f t="shared" si="9"/>
        <v>42736</v>
      </c>
      <c r="C98" s="234">
        <f t="shared" si="16"/>
        <v>0</v>
      </c>
      <c r="D98" s="234">
        <f t="shared" si="10"/>
        <v>5156.1041801143792</v>
      </c>
      <c r="E98" s="235">
        <f t="shared" si="11"/>
        <v>0</v>
      </c>
      <c r="F98" s="234">
        <f t="shared" si="12"/>
        <v>0</v>
      </c>
      <c r="G98" s="234">
        <f t="shared" si="13"/>
        <v>0</v>
      </c>
      <c r="H98" s="234">
        <f t="shared" si="17"/>
        <v>0</v>
      </c>
      <c r="I98" s="234">
        <f t="shared" si="14"/>
        <v>0</v>
      </c>
      <c r="J98" s="232"/>
      <c r="K98" s="232"/>
    </row>
    <row r="99" spans="1:11">
      <c r="A99" s="227">
        <f t="shared" si="15"/>
        <v>85</v>
      </c>
      <c r="B99" s="233">
        <f t="shared" si="9"/>
        <v>42767</v>
      </c>
      <c r="C99" s="234">
        <f t="shared" si="16"/>
        <v>0</v>
      </c>
      <c r="D99" s="234">
        <f t="shared" si="10"/>
        <v>5156.1041801143792</v>
      </c>
      <c r="E99" s="235">
        <f t="shared" si="11"/>
        <v>0</v>
      </c>
      <c r="F99" s="234">
        <f t="shared" si="12"/>
        <v>0</v>
      </c>
      <c r="G99" s="234">
        <f t="shared" si="13"/>
        <v>0</v>
      </c>
      <c r="H99" s="234">
        <f t="shared" si="17"/>
        <v>0</v>
      </c>
      <c r="I99" s="234">
        <f t="shared" si="14"/>
        <v>0</v>
      </c>
      <c r="J99" s="232"/>
      <c r="K99" s="232"/>
    </row>
    <row r="100" spans="1:11">
      <c r="A100" s="227">
        <f t="shared" si="15"/>
        <v>86</v>
      </c>
      <c r="B100" s="233">
        <f t="shared" si="9"/>
        <v>42795</v>
      </c>
      <c r="C100" s="234">
        <f t="shared" si="16"/>
        <v>0</v>
      </c>
      <c r="D100" s="234">
        <f t="shared" si="10"/>
        <v>5156.1041801143792</v>
      </c>
      <c r="E100" s="235">
        <f t="shared" si="11"/>
        <v>0</v>
      </c>
      <c r="F100" s="234">
        <f t="shared" si="12"/>
        <v>0</v>
      </c>
      <c r="G100" s="234">
        <f t="shared" si="13"/>
        <v>0</v>
      </c>
      <c r="H100" s="234">
        <f t="shared" si="17"/>
        <v>0</v>
      </c>
      <c r="I100" s="234">
        <f t="shared" si="14"/>
        <v>0</v>
      </c>
      <c r="J100" s="232"/>
      <c r="K100" s="232"/>
    </row>
    <row r="101" spans="1:11">
      <c r="A101" s="227">
        <f t="shared" si="15"/>
        <v>87</v>
      </c>
      <c r="B101" s="233">
        <f t="shared" si="9"/>
        <v>42826</v>
      </c>
      <c r="C101" s="234">
        <f t="shared" si="16"/>
        <v>0</v>
      </c>
      <c r="D101" s="234">
        <f t="shared" si="10"/>
        <v>5156.1041801143792</v>
      </c>
      <c r="E101" s="235">
        <f t="shared" si="11"/>
        <v>0</v>
      </c>
      <c r="F101" s="234">
        <f t="shared" si="12"/>
        <v>0</v>
      </c>
      <c r="G101" s="234">
        <f t="shared" si="13"/>
        <v>0</v>
      </c>
      <c r="H101" s="234">
        <f t="shared" si="17"/>
        <v>0</v>
      </c>
      <c r="I101" s="234">
        <f t="shared" si="14"/>
        <v>0</v>
      </c>
      <c r="J101" s="232"/>
      <c r="K101" s="232"/>
    </row>
    <row r="102" spans="1:11">
      <c r="A102" s="227">
        <f t="shared" si="15"/>
        <v>88</v>
      </c>
      <c r="B102" s="233">
        <f t="shared" si="9"/>
        <v>42856</v>
      </c>
      <c r="C102" s="234">
        <f t="shared" si="16"/>
        <v>0</v>
      </c>
      <c r="D102" s="234">
        <f t="shared" si="10"/>
        <v>5156.1041801143792</v>
      </c>
      <c r="E102" s="235">
        <f t="shared" si="11"/>
        <v>0</v>
      </c>
      <c r="F102" s="234">
        <f t="shared" si="12"/>
        <v>0</v>
      </c>
      <c r="G102" s="234">
        <f t="shared" si="13"/>
        <v>0</v>
      </c>
      <c r="H102" s="234">
        <f t="shared" si="17"/>
        <v>0</v>
      </c>
      <c r="I102" s="234">
        <f t="shared" si="14"/>
        <v>0</v>
      </c>
      <c r="J102" s="232"/>
      <c r="K102" s="232"/>
    </row>
    <row r="103" spans="1:11">
      <c r="A103" s="227">
        <f t="shared" si="15"/>
        <v>89</v>
      </c>
      <c r="B103" s="233">
        <f t="shared" si="9"/>
        <v>42887</v>
      </c>
      <c r="C103" s="234">
        <f t="shared" si="16"/>
        <v>0</v>
      </c>
      <c r="D103" s="234">
        <f t="shared" si="10"/>
        <v>5156.1041801143792</v>
      </c>
      <c r="E103" s="235">
        <f t="shared" si="11"/>
        <v>0</v>
      </c>
      <c r="F103" s="234">
        <f t="shared" si="12"/>
        <v>0</v>
      </c>
      <c r="G103" s="234">
        <f t="shared" si="13"/>
        <v>0</v>
      </c>
      <c r="H103" s="234">
        <f t="shared" si="17"/>
        <v>0</v>
      </c>
      <c r="I103" s="234">
        <f t="shared" si="14"/>
        <v>0</v>
      </c>
      <c r="J103" s="232"/>
      <c r="K103" s="232"/>
    </row>
    <row r="104" spans="1:11">
      <c r="A104" s="227">
        <f t="shared" si="15"/>
        <v>90</v>
      </c>
      <c r="B104" s="233">
        <f t="shared" si="9"/>
        <v>42917</v>
      </c>
      <c r="C104" s="234">
        <f t="shared" si="16"/>
        <v>0</v>
      </c>
      <c r="D104" s="234">
        <f t="shared" si="10"/>
        <v>5156.1041801143792</v>
      </c>
      <c r="E104" s="235">
        <f t="shared" si="11"/>
        <v>0</v>
      </c>
      <c r="F104" s="234">
        <f t="shared" si="12"/>
        <v>0</v>
      </c>
      <c r="G104" s="234">
        <f t="shared" si="13"/>
        <v>0</v>
      </c>
      <c r="H104" s="234">
        <f t="shared" si="17"/>
        <v>0</v>
      </c>
      <c r="I104" s="234">
        <f t="shared" si="14"/>
        <v>0</v>
      </c>
      <c r="J104" s="232"/>
      <c r="K104" s="232"/>
    </row>
    <row r="105" spans="1:11">
      <c r="A105" s="227">
        <f t="shared" si="15"/>
        <v>91</v>
      </c>
      <c r="B105" s="233">
        <f t="shared" si="9"/>
        <v>42948</v>
      </c>
      <c r="C105" s="234">
        <f t="shared" si="16"/>
        <v>0</v>
      </c>
      <c r="D105" s="234">
        <f t="shared" si="10"/>
        <v>5156.1041801143792</v>
      </c>
      <c r="E105" s="235">
        <f t="shared" si="11"/>
        <v>0</v>
      </c>
      <c r="F105" s="234">
        <f t="shared" si="12"/>
        <v>0</v>
      </c>
      <c r="G105" s="234">
        <f t="shared" si="13"/>
        <v>0</v>
      </c>
      <c r="H105" s="234">
        <f t="shared" si="17"/>
        <v>0</v>
      </c>
      <c r="I105" s="234">
        <f t="shared" si="14"/>
        <v>0</v>
      </c>
      <c r="J105" s="232"/>
      <c r="K105" s="232"/>
    </row>
    <row r="106" spans="1:11">
      <c r="A106" s="227">
        <f t="shared" si="15"/>
        <v>92</v>
      </c>
      <c r="B106" s="233">
        <f t="shared" si="9"/>
        <v>42979</v>
      </c>
      <c r="C106" s="234">
        <f t="shared" si="16"/>
        <v>0</v>
      </c>
      <c r="D106" s="234">
        <f t="shared" si="10"/>
        <v>5156.1041801143792</v>
      </c>
      <c r="E106" s="235">
        <f t="shared" si="11"/>
        <v>0</v>
      </c>
      <c r="F106" s="234">
        <f t="shared" si="12"/>
        <v>0</v>
      </c>
      <c r="G106" s="234">
        <f t="shared" si="13"/>
        <v>0</v>
      </c>
      <c r="H106" s="234">
        <f t="shared" si="17"/>
        <v>0</v>
      </c>
      <c r="I106" s="234">
        <f t="shared" si="14"/>
        <v>0</v>
      </c>
      <c r="J106" s="232"/>
      <c r="K106" s="232"/>
    </row>
    <row r="107" spans="1:11">
      <c r="A107" s="227">
        <f t="shared" si="15"/>
        <v>93</v>
      </c>
      <c r="B107" s="233">
        <f t="shared" si="9"/>
        <v>43009</v>
      </c>
      <c r="C107" s="234">
        <f t="shared" si="16"/>
        <v>0</v>
      </c>
      <c r="D107" s="234">
        <f t="shared" si="10"/>
        <v>5156.1041801143792</v>
      </c>
      <c r="E107" s="235">
        <f t="shared" si="11"/>
        <v>0</v>
      </c>
      <c r="F107" s="234">
        <f t="shared" si="12"/>
        <v>0</v>
      </c>
      <c r="G107" s="234">
        <f t="shared" si="13"/>
        <v>0</v>
      </c>
      <c r="H107" s="234">
        <f t="shared" si="17"/>
        <v>0</v>
      </c>
      <c r="I107" s="234">
        <f t="shared" si="14"/>
        <v>0</v>
      </c>
      <c r="J107" s="232"/>
      <c r="K107" s="232"/>
    </row>
    <row r="108" spans="1:11">
      <c r="A108" s="227">
        <f t="shared" si="15"/>
        <v>94</v>
      </c>
      <c r="B108" s="233">
        <f t="shared" si="9"/>
        <v>43040</v>
      </c>
      <c r="C108" s="234">
        <f t="shared" si="16"/>
        <v>0</v>
      </c>
      <c r="D108" s="234">
        <f t="shared" si="10"/>
        <v>5156.1041801143792</v>
      </c>
      <c r="E108" s="235">
        <f t="shared" si="11"/>
        <v>0</v>
      </c>
      <c r="F108" s="234">
        <f t="shared" si="12"/>
        <v>0</v>
      </c>
      <c r="G108" s="234">
        <f t="shared" si="13"/>
        <v>0</v>
      </c>
      <c r="H108" s="234">
        <f t="shared" si="17"/>
        <v>0</v>
      </c>
      <c r="I108" s="234">
        <f t="shared" si="14"/>
        <v>0</v>
      </c>
      <c r="J108" s="232"/>
      <c r="K108" s="232"/>
    </row>
    <row r="109" spans="1:11">
      <c r="A109" s="227">
        <f t="shared" si="15"/>
        <v>95</v>
      </c>
      <c r="B109" s="233">
        <f t="shared" si="9"/>
        <v>43070</v>
      </c>
      <c r="C109" s="234">
        <f t="shared" si="16"/>
        <v>0</v>
      </c>
      <c r="D109" s="234">
        <f t="shared" si="10"/>
        <v>5156.1041801143792</v>
      </c>
      <c r="E109" s="235">
        <f t="shared" si="11"/>
        <v>0</v>
      </c>
      <c r="F109" s="234">
        <f t="shared" si="12"/>
        <v>0</v>
      </c>
      <c r="G109" s="234">
        <f t="shared" si="13"/>
        <v>0</v>
      </c>
      <c r="H109" s="234">
        <f t="shared" si="17"/>
        <v>0</v>
      </c>
      <c r="I109" s="234">
        <f t="shared" si="14"/>
        <v>0</v>
      </c>
      <c r="J109" s="232"/>
      <c r="K109" s="232"/>
    </row>
    <row r="110" spans="1:11">
      <c r="A110" s="227">
        <f t="shared" si="15"/>
        <v>96</v>
      </c>
      <c r="B110" s="233">
        <f t="shared" si="9"/>
        <v>43101</v>
      </c>
      <c r="C110" s="234">
        <f t="shared" si="16"/>
        <v>0</v>
      </c>
      <c r="D110" s="234">
        <f t="shared" si="10"/>
        <v>5156.1041801143792</v>
      </c>
      <c r="E110" s="235">
        <f t="shared" si="11"/>
        <v>0</v>
      </c>
      <c r="F110" s="234">
        <f t="shared" si="12"/>
        <v>0</v>
      </c>
      <c r="G110" s="234">
        <f t="shared" si="13"/>
        <v>0</v>
      </c>
      <c r="H110" s="234">
        <f t="shared" si="17"/>
        <v>0</v>
      </c>
      <c r="I110" s="234">
        <f t="shared" si="14"/>
        <v>0</v>
      </c>
      <c r="J110" s="232"/>
      <c r="K110" s="232"/>
    </row>
    <row r="111" spans="1:11">
      <c r="A111" s="227">
        <f t="shared" si="15"/>
        <v>97</v>
      </c>
      <c r="B111" s="233">
        <f t="shared" si="9"/>
        <v>43132</v>
      </c>
      <c r="C111" s="234">
        <f t="shared" si="16"/>
        <v>0</v>
      </c>
      <c r="D111" s="234">
        <f t="shared" si="10"/>
        <v>5156.1041801143792</v>
      </c>
      <c r="E111" s="235">
        <f t="shared" si="11"/>
        <v>0</v>
      </c>
      <c r="F111" s="234">
        <f t="shared" si="12"/>
        <v>0</v>
      </c>
      <c r="G111" s="234">
        <f t="shared" si="13"/>
        <v>0</v>
      </c>
      <c r="H111" s="234">
        <f t="shared" si="17"/>
        <v>0</v>
      </c>
      <c r="I111" s="234">
        <f t="shared" si="14"/>
        <v>0</v>
      </c>
      <c r="J111" s="232"/>
      <c r="K111" s="232"/>
    </row>
    <row r="112" spans="1:11">
      <c r="A112" s="227">
        <f t="shared" si="15"/>
        <v>98</v>
      </c>
      <c r="B112" s="233">
        <f t="shared" si="9"/>
        <v>43160</v>
      </c>
      <c r="C112" s="234">
        <f t="shared" si="16"/>
        <v>0</v>
      </c>
      <c r="D112" s="234">
        <f t="shared" si="10"/>
        <v>5156.1041801143792</v>
      </c>
      <c r="E112" s="235">
        <f t="shared" si="11"/>
        <v>0</v>
      </c>
      <c r="F112" s="234">
        <f t="shared" si="12"/>
        <v>0</v>
      </c>
      <c r="G112" s="234">
        <f t="shared" si="13"/>
        <v>0</v>
      </c>
      <c r="H112" s="234">
        <f t="shared" si="17"/>
        <v>0</v>
      </c>
      <c r="I112" s="234">
        <f t="shared" si="14"/>
        <v>0</v>
      </c>
      <c r="J112" s="232"/>
      <c r="K112" s="232"/>
    </row>
    <row r="113" spans="1:11">
      <c r="A113" s="227">
        <f t="shared" si="15"/>
        <v>99</v>
      </c>
      <c r="B113" s="233">
        <f t="shared" si="9"/>
        <v>43191</v>
      </c>
      <c r="C113" s="234">
        <f t="shared" si="16"/>
        <v>0</v>
      </c>
      <c r="D113" s="234">
        <f t="shared" si="10"/>
        <v>5156.1041801143792</v>
      </c>
      <c r="E113" s="235">
        <f t="shared" si="11"/>
        <v>0</v>
      </c>
      <c r="F113" s="234">
        <f t="shared" si="12"/>
        <v>0</v>
      </c>
      <c r="G113" s="234">
        <f t="shared" si="13"/>
        <v>0</v>
      </c>
      <c r="H113" s="234">
        <f t="shared" si="17"/>
        <v>0</v>
      </c>
      <c r="I113" s="234">
        <f t="shared" si="14"/>
        <v>0</v>
      </c>
      <c r="J113" s="232"/>
      <c r="K113" s="232"/>
    </row>
    <row r="114" spans="1:11">
      <c r="A114" s="227">
        <f t="shared" si="15"/>
        <v>100</v>
      </c>
      <c r="B114" s="233">
        <f t="shared" si="9"/>
        <v>43221</v>
      </c>
      <c r="C114" s="234">
        <f t="shared" si="16"/>
        <v>0</v>
      </c>
      <c r="D114" s="234">
        <f t="shared" si="10"/>
        <v>5156.1041801143792</v>
      </c>
      <c r="E114" s="235">
        <f t="shared" si="11"/>
        <v>0</v>
      </c>
      <c r="F114" s="234">
        <f t="shared" si="12"/>
        <v>0</v>
      </c>
      <c r="G114" s="234">
        <f t="shared" si="13"/>
        <v>0</v>
      </c>
      <c r="H114" s="234">
        <f t="shared" si="17"/>
        <v>0</v>
      </c>
      <c r="I114" s="234">
        <f t="shared" si="14"/>
        <v>0</v>
      </c>
      <c r="J114" s="232"/>
      <c r="K114" s="232"/>
    </row>
    <row r="115" spans="1:11">
      <c r="A115" s="227">
        <f t="shared" si="15"/>
        <v>101</v>
      </c>
      <c r="B115" s="233">
        <f t="shared" si="9"/>
        <v>43252</v>
      </c>
      <c r="C115" s="234">
        <f t="shared" si="16"/>
        <v>0</v>
      </c>
      <c r="D115" s="234">
        <f t="shared" si="10"/>
        <v>5156.1041801143792</v>
      </c>
      <c r="E115" s="235">
        <f t="shared" si="11"/>
        <v>0</v>
      </c>
      <c r="F115" s="234">
        <f t="shared" si="12"/>
        <v>0</v>
      </c>
      <c r="G115" s="234">
        <f t="shared" si="13"/>
        <v>0</v>
      </c>
      <c r="H115" s="234">
        <f t="shared" si="17"/>
        <v>0</v>
      </c>
      <c r="I115" s="234">
        <f t="shared" si="14"/>
        <v>0</v>
      </c>
      <c r="J115" s="232"/>
      <c r="K115" s="232"/>
    </row>
    <row r="116" spans="1:11">
      <c r="A116" s="227">
        <f t="shared" si="15"/>
        <v>102</v>
      </c>
      <c r="B116" s="233">
        <f t="shared" si="9"/>
        <v>43282</v>
      </c>
      <c r="C116" s="234">
        <f t="shared" si="16"/>
        <v>0</v>
      </c>
      <c r="D116" s="234">
        <f t="shared" si="10"/>
        <v>5156.1041801143792</v>
      </c>
      <c r="E116" s="235">
        <f t="shared" si="11"/>
        <v>0</v>
      </c>
      <c r="F116" s="234">
        <f t="shared" si="12"/>
        <v>0</v>
      </c>
      <c r="G116" s="234">
        <f t="shared" si="13"/>
        <v>0</v>
      </c>
      <c r="H116" s="234">
        <f t="shared" si="17"/>
        <v>0</v>
      </c>
      <c r="I116" s="234">
        <f t="shared" si="14"/>
        <v>0</v>
      </c>
      <c r="J116" s="232"/>
      <c r="K116" s="232"/>
    </row>
    <row r="117" spans="1:11">
      <c r="A117" s="227">
        <f t="shared" si="15"/>
        <v>103</v>
      </c>
      <c r="B117" s="233">
        <f t="shared" si="9"/>
        <v>43313</v>
      </c>
      <c r="C117" s="234">
        <f t="shared" si="16"/>
        <v>0</v>
      </c>
      <c r="D117" s="234">
        <f t="shared" si="10"/>
        <v>5156.1041801143792</v>
      </c>
      <c r="E117" s="235">
        <f t="shared" si="11"/>
        <v>0</v>
      </c>
      <c r="F117" s="234">
        <f t="shared" si="12"/>
        <v>0</v>
      </c>
      <c r="G117" s="234">
        <f t="shared" si="13"/>
        <v>0</v>
      </c>
      <c r="H117" s="234">
        <f t="shared" si="17"/>
        <v>0</v>
      </c>
      <c r="I117" s="234">
        <f t="shared" si="14"/>
        <v>0</v>
      </c>
      <c r="J117" s="232"/>
      <c r="K117" s="232"/>
    </row>
    <row r="118" spans="1:11">
      <c r="A118" s="227">
        <f t="shared" si="15"/>
        <v>104</v>
      </c>
      <c r="B118" s="233">
        <f t="shared" si="9"/>
        <v>43344</v>
      </c>
      <c r="C118" s="234">
        <f t="shared" si="16"/>
        <v>0</v>
      </c>
      <c r="D118" s="234">
        <f t="shared" si="10"/>
        <v>5156.1041801143792</v>
      </c>
      <c r="E118" s="235">
        <f t="shared" si="11"/>
        <v>0</v>
      </c>
      <c r="F118" s="234">
        <f t="shared" si="12"/>
        <v>0</v>
      </c>
      <c r="G118" s="234">
        <f t="shared" si="13"/>
        <v>0</v>
      </c>
      <c r="H118" s="234">
        <f t="shared" si="17"/>
        <v>0</v>
      </c>
      <c r="I118" s="234">
        <f t="shared" si="14"/>
        <v>0</v>
      </c>
      <c r="J118" s="232"/>
      <c r="K118" s="232"/>
    </row>
    <row r="119" spans="1:11">
      <c r="A119" s="227">
        <f t="shared" si="15"/>
        <v>105</v>
      </c>
      <c r="B119" s="233">
        <f t="shared" si="9"/>
        <v>43374</v>
      </c>
      <c r="C119" s="234">
        <f t="shared" si="16"/>
        <v>0</v>
      </c>
      <c r="D119" s="234">
        <f t="shared" si="10"/>
        <v>5156.1041801143792</v>
      </c>
      <c r="E119" s="235">
        <f t="shared" si="11"/>
        <v>0</v>
      </c>
      <c r="F119" s="234">
        <f t="shared" si="12"/>
        <v>0</v>
      </c>
      <c r="G119" s="234">
        <f t="shared" si="13"/>
        <v>0</v>
      </c>
      <c r="H119" s="234">
        <f t="shared" si="17"/>
        <v>0</v>
      </c>
      <c r="I119" s="234">
        <f t="shared" si="14"/>
        <v>0</v>
      </c>
      <c r="J119" s="232"/>
      <c r="K119" s="232"/>
    </row>
    <row r="120" spans="1:11">
      <c r="A120" s="227">
        <f t="shared" si="15"/>
        <v>106</v>
      </c>
      <c r="B120" s="233">
        <f t="shared" si="9"/>
        <v>43405</v>
      </c>
      <c r="C120" s="234">
        <f t="shared" si="16"/>
        <v>0</v>
      </c>
      <c r="D120" s="234">
        <f t="shared" si="10"/>
        <v>5156.1041801143792</v>
      </c>
      <c r="E120" s="235">
        <f t="shared" si="11"/>
        <v>0</v>
      </c>
      <c r="F120" s="234">
        <f t="shared" si="12"/>
        <v>0</v>
      </c>
      <c r="G120" s="234">
        <f t="shared" si="13"/>
        <v>0</v>
      </c>
      <c r="H120" s="234">
        <f t="shared" si="17"/>
        <v>0</v>
      </c>
      <c r="I120" s="234">
        <f t="shared" si="14"/>
        <v>0</v>
      </c>
      <c r="J120" s="232"/>
      <c r="K120" s="232"/>
    </row>
    <row r="121" spans="1:11">
      <c r="A121" s="227">
        <f t="shared" si="15"/>
        <v>107</v>
      </c>
      <c r="B121" s="233">
        <f t="shared" si="9"/>
        <v>43435</v>
      </c>
      <c r="C121" s="234">
        <f t="shared" si="16"/>
        <v>0</v>
      </c>
      <c r="D121" s="234">
        <f t="shared" si="10"/>
        <v>5156.1041801143792</v>
      </c>
      <c r="E121" s="235">
        <f t="shared" si="11"/>
        <v>0</v>
      </c>
      <c r="F121" s="234">
        <f t="shared" si="12"/>
        <v>0</v>
      </c>
      <c r="G121" s="234">
        <f t="shared" si="13"/>
        <v>0</v>
      </c>
      <c r="H121" s="234">
        <f t="shared" si="17"/>
        <v>0</v>
      </c>
      <c r="I121" s="234">
        <f t="shared" si="14"/>
        <v>0</v>
      </c>
      <c r="J121" s="232"/>
      <c r="K121" s="232"/>
    </row>
    <row r="122" spans="1:11">
      <c r="A122" s="227">
        <f t="shared" si="15"/>
        <v>108</v>
      </c>
      <c r="B122" s="233">
        <f t="shared" si="9"/>
        <v>43466</v>
      </c>
      <c r="C122" s="234">
        <f t="shared" si="16"/>
        <v>0</v>
      </c>
      <c r="D122" s="234">
        <f t="shared" si="10"/>
        <v>5156.1041801143792</v>
      </c>
      <c r="E122" s="235">
        <f t="shared" si="11"/>
        <v>0</v>
      </c>
      <c r="F122" s="234">
        <f t="shared" si="12"/>
        <v>0</v>
      </c>
      <c r="G122" s="234">
        <f t="shared" si="13"/>
        <v>0</v>
      </c>
      <c r="H122" s="234">
        <f t="shared" si="17"/>
        <v>0</v>
      </c>
      <c r="I122" s="234">
        <f t="shared" si="14"/>
        <v>0</v>
      </c>
      <c r="J122" s="232"/>
      <c r="K122" s="232"/>
    </row>
    <row r="123" spans="1:11">
      <c r="A123" s="227">
        <f t="shared" si="15"/>
        <v>109</v>
      </c>
      <c r="B123" s="233">
        <f t="shared" si="9"/>
        <v>43497</v>
      </c>
      <c r="C123" s="234">
        <f t="shared" si="16"/>
        <v>0</v>
      </c>
      <c r="D123" s="234">
        <f t="shared" si="10"/>
        <v>5156.1041801143792</v>
      </c>
      <c r="E123" s="235">
        <f t="shared" si="11"/>
        <v>0</v>
      </c>
      <c r="F123" s="234">
        <f t="shared" si="12"/>
        <v>0</v>
      </c>
      <c r="G123" s="234">
        <f t="shared" si="13"/>
        <v>0</v>
      </c>
      <c r="H123" s="234">
        <f t="shared" si="17"/>
        <v>0</v>
      </c>
      <c r="I123" s="234">
        <f t="shared" si="14"/>
        <v>0</v>
      </c>
      <c r="J123" s="232"/>
      <c r="K123" s="232"/>
    </row>
    <row r="124" spans="1:11">
      <c r="A124" s="227">
        <f t="shared" si="15"/>
        <v>110</v>
      </c>
      <c r="B124" s="233">
        <f t="shared" si="9"/>
        <v>43525</v>
      </c>
      <c r="C124" s="234">
        <f t="shared" si="16"/>
        <v>0</v>
      </c>
      <c r="D124" s="234">
        <f t="shared" si="10"/>
        <v>5156.1041801143792</v>
      </c>
      <c r="E124" s="235">
        <f t="shared" si="11"/>
        <v>0</v>
      </c>
      <c r="F124" s="234">
        <f t="shared" si="12"/>
        <v>0</v>
      </c>
      <c r="G124" s="234">
        <f t="shared" si="13"/>
        <v>0</v>
      </c>
      <c r="H124" s="234">
        <f t="shared" si="17"/>
        <v>0</v>
      </c>
      <c r="I124" s="234">
        <f t="shared" si="14"/>
        <v>0</v>
      </c>
      <c r="J124" s="232"/>
      <c r="K124" s="232"/>
    </row>
    <row r="125" spans="1:11">
      <c r="A125" s="227">
        <f t="shared" si="15"/>
        <v>111</v>
      </c>
      <c r="B125" s="233">
        <f t="shared" si="9"/>
        <v>43556</v>
      </c>
      <c r="C125" s="234">
        <f t="shared" si="16"/>
        <v>0</v>
      </c>
      <c r="D125" s="234">
        <f t="shared" si="10"/>
        <v>5156.1041801143792</v>
      </c>
      <c r="E125" s="235">
        <f t="shared" si="11"/>
        <v>0</v>
      </c>
      <c r="F125" s="234">
        <f t="shared" si="12"/>
        <v>0</v>
      </c>
      <c r="G125" s="234">
        <f t="shared" si="13"/>
        <v>0</v>
      </c>
      <c r="H125" s="234">
        <f t="shared" si="17"/>
        <v>0</v>
      </c>
      <c r="I125" s="234">
        <f t="shared" si="14"/>
        <v>0</v>
      </c>
      <c r="J125" s="232"/>
      <c r="K125" s="232"/>
    </row>
    <row r="126" spans="1:11">
      <c r="A126" s="227">
        <f t="shared" si="15"/>
        <v>112</v>
      </c>
      <c r="B126" s="233">
        <f t="shared" si="9"/>
        <v>43586</v>
      </c>
      <c r="C126" s="234">
        <f t="shared" si="16"/>
        <v>0</v>
      </c>
      <c r="D126" s="234">
        <f t="shared" si="10"/>
        <v>5156.1041801143792</v>
      </c>
      <c r="E126" s="235">
        <f t="shared" si="11"/>
        <v>0</v>
      </c>
      <c r="F126" s="234">
        <f t="shared" si="12"/>
        <v>0</v>
      </c>
      <c r="G126" s="234">
        <f t="shared" si="13"/>
        <v>0</v>
      </c>
      <c r="H126" s="234">
        <f t="shared" si="17"/>
        <v>0</v>
      </c>
      <c r="I126" s="234">
        <f t="shared" si="14"/>
        <v>0</v>
      </c>
      <c r="J126" s="232"/>
      <c r="K126" s="232"/>
    </row>
    <row r="127" spans="1:11">
      <c r="A127" s="227">
        <f t="shared" si="15"/>
        <v>113</v>
      </c>
      <c r="B127" s="233">
        <f t="shared" si="9"/>
        <v>43617</v>
      </c>
      <c r="C127" s="234">
        <f t="shared" si="16"/>
        <v>0</v>
      </c>
      <c r="D127" s="234">
        <f t="shared" si="10"/>
        <v>5156.1041801143792</v>
      </c>
      <c r="E127" s="235">
        <f t="shared" si="11"/>
        <v>0</v>
      </c>
      <c r="F127" s="234">
        <f t="shared" si="12"/>
        <v>0</v>
      </c>
      <c r="G127" s="234">
        <f t="shared" si="13"/>
        <v>0</v>
      </c>
      <c r="H127" s="234">
        <f t="shared" si="17"/>
        <v>0</v>
      </c>
      <c r="I127" s="234">
        <f t="shared" si="14"/>
        <v>0</v>
      </c>
      <c r="J127" s="232"/>
      <c r="K127" s="232"/>
    </row>
    <row r="128" spans="1:11">
      <c r="A128" s="227">
        <f t="shared" si="15"/>
        <v>114</v>
      </c>
      <c r="B128" s="233">
        <f t="shared" si="9"/>
        <v>43647</v>
      </c>
      <c r="C128" s="234">
        <f t="shared" si="16"/>
        <v>0</v>
      </c>
      <c r="D128" s="234">
        <f t="shared" si="10"/>
        <v>5156.1041801143792</v>
      </c>
      <c r="E128" s="235">
        <f t="shared" si="11"/>
        <v>0</v>
      </c>
      <c r="F128" s="234">
        <f t="shared" si="12"/>
        <v>0</v>
      </c>
      <c r="G128" s="234">
        <f t="shared" si="13"/>
        <v>0</v>
      </c>
      <c r="H128" s="234">
        <f t="shared" si="17"/>
        <v>0</v>
      </c>
      <c r="I128" s="234">
        <f t="shared" si="14"/>
        <v>0</v>
      </c>
      <c r="J128" s="232"/>
      <c r="K128" s="232"/>
    </row>
    <row r="129" spans="1:11">
      <c r="A129" s="227">
        <f t="shared" si="15"/>
        <v>115</v>
      </c>
      <c r="B129" s="233">
        <f t="shared" si="9"/>
        <v>43678</v>
      </c>
      <c r="C129" s="234">
        <f t="shared" si="16"/>
        <v>0</v>
      </c>
      <c r="D129" s="234">
        <f t="shared" si="10"/>
        <v>5156.1041801143792</v>
      </c>
      <c r="E129" s="235">
        <f t="shared" si="11"/>
        <v>0</v>
      </c>
      <c r="F129" s="234">
        <f t="shared" si="12"/>
        <v>0</v>
      </c>
      <c r="G129" s="234">
        <f t="shared" si="13"/>
        <v>0</v>
      </c>
      <c r="H129" s="234">
        <f t="shared" si="17"/>
        <v>0</v>
      </c>
      <c r="I129" s="234">
        <f t="shared" si="14"/>
        <v>0</v>
      </c>
      <c r="J129" s="232"/>
      <c r="K129" s="232"/>
    </row>
    <row r="130" spans="1:11">
      <c r="A130" s="227">
        <f t="shared" si="15"/>
        <v>116</v>
      </c>
      <c r="B130" s="233">
        <f t="shared" si="9"/>
        <v>43709</v>
      </c>
      <c r="C130" s="234">
        <f t="shared" si="16"/>
        <v>0</v>
      </c>
      <c r="D130" s="234">
        <f t="shared" si="10"/>
        <v>5156.1041801143792</v>
      </c>
      <c r="E130" s="235">
        <f t="shared" si="11"/>
        <v>0</v>
      </c>
      <c r="F130" s="234">
        <f t="shared" si="12"/>
        <v>0</v>
      </c>
      <c r="G130" s="234">
        <f t="shared" si="13"/>
        <v>0</v>
      </c>
      <c r="H130" s="234">
        <f t="shared" si="17"/>
        <v>0</v>
      </c>
      <c r="I130" s="234">
        <f t="shared" si="14"/>
        <v>0</v>
      </c>
      <c r="J130" s="232"/>
      <c r="K130" s="232"/>
    </row>
    <row r="131" spans="1:11">
      <c r="A131" s="227">
        <f t="shared" si="15"/>
        <v>117</v>
      </c>
      <c r="B131" s="233">
        <f t="shared" si="9"/>
        <v>43739</v>
      </c>
      <c r="C131" s="234">
        <f t="shared" si="16"/>
        <v>0</v>
      </c>
      <c r="D131" s="234">
        <f t="shared" si="10"/>
        <v>5156.1041801143792</v>
      </c>
      <c r="E131" s="235">
        <f t="shared" si="11"/>
        <v>0</v>
      </c>
      <c r="F131" s="234">
        <f t="shared" si="12"/>
        <v>0</v>
      </c>
      <c r="G131" s="234">
        <f t="shared" si="13"/>
        <v>0</v>
      </c>
      <c r="H131" s="234">
        <f t="shared" si="17"/>
        <v>0</v>
      </c>
      <c r="I131" s="234">
        <f t="shared" si="14"/>
        <v>0</v>
      </c>
      <c r="J131" s="232"/>
      <c r="K131" s="232"/>
    </row>
    <row r="132" spans="1:11">
      <c r="A132" s="227">
        <f t="shared" si="15"/>
        <v>118</v>
      </c>
      <c r="B132" s="233">
        <f t="shared" si="9"/>
        <v>43770</v>
      </c>
      <c r="C132" s="234">
        <f t="shared" si="16"/>
        <v>0</v>
      </c>
      <c r="D132" s="234">
        <f t="shared" si="10"/>
        <v>5156.1041801143792</v>
      </c>
      <c r="E132" s="235">
        <f t="shared" si="11"/>
        <v>0</v>
      </c>
      <c r="F132" s="234">
        <f t="shared" si="12"/>
        <v>0</v>
      </c>
      <c r="G132" s="234">
        <f t="shared" si="13"/>
        <v>0</v>
      </c>
      <c r="H132" s="234">
        <f t="shared" si="17"/>
        <v>0</v>
      </c>
      <c r="I132" s="234">
        <f t="shared" si="14"/>
        <v>0</v>
      </c>
      <c r="J132" s="232"/>
      <c r="K132" s="232"/>
    </row>
    <row r="133" spans="1:11">
      <c r="A133" s="227">
        <f t="shared" si="15"/>
        <v>119</v>
      </c>
      <c r="B133" s="233">
        <f t="shared" si="9"/>
        <v>43800</v>
      </c>
      <c r="C133" s="234">
        <f t="shared" si="16"/>
        <v>0</v>
      </c>
      <c r="D133" s="234">
        <f t="shared" si="10"/>
        <v>5156.1041801143792</v>
      </c>
      <c r="E133" s="235">
        <f t="shared" si="11"/>
        <v>0</v>
      </c>
      <c r="F133" s="234">
        <f t="shared" si="12"/>
        <v>0</v>
      </c>
      <c r="G133" s="234">
        <f t="shared" si="13"/>
        <v>0</v>
      </c>
      <c r="H133" s="234">
        <f t="shared" si="17"/>
        <v>0</v>
      </c>
      <c r="I133" s="234">
        <f t="shared" si="14"/>
        <v>0</v>
      </c>
      <c r="J133" s="232"/>
      <c r="K133" s="232"/>
    </row>
    <row r="134" spans="1:11">
      <c r="A134" s="227">
        <f t="shared" si="15"/>
        <v>120</v>
      </c>
      <c r="B134" s="233">
        <f t="shared" si="9"/>
        <v>43831</v>
      </c>
      <c r="C134" s="234">
        <f t="shared" si="16"/>
        <v>0</v>
      </c>
      <c r="D134" s="234">
        <f t="shared" si="10"/>
        <v>5156.1041801143792</v>
      </c>
      <c r="E134" s="235">
        <f t="shared" si="11"/>
        <v>0</v>
      </c>
      <c r="F134" s="234">
        <f t="shared" si="12"/>
        <v>0</v>
      </c>
      <c r="G134" s="234">
        <f t="shared" si="13"/>
        <v>0</v>
      </c>
      <c r="H134" s="234">
        <f t="shared" si="17"/>
        <v>0</v>
      </c>
      <c r="I134" s="234">
        <f t="shared" si="14"/>
        <v>0</v>
      </c>
      <c r="J134" s="232"/>
      <c r="K134" s="232"/>
    </row>
    <row r="135" spans="1:11">
      <c r="A135" s="227">
        <f t="shared" si="15"/>
        <v>121</v>
      </c>
      <c r="B135" s="233">
        <f t="shared" si="9"/>
        <v>43862</v>
      </c>
      <c r="C135" s="234">
        <f t="shared" si="16"/>
        <v>0</v>
      </c>
      <c r="D135" s="234">
        <f t="shared" si="10"/>
        <v>5156.1041801143792</v>
      </c>
      <c r="E135" s="235">
        <f t="shared" si="11"/>
        <v>0</v>
      </c>
      <c r="F135" s="234">
        <f t="shared" si="12"/>
        <v>0</v>
      </c>
      <c r="G135" s="234">
        <f t="shared" si="13"/>
        <v>0</v>
      </c>
      <c r="H135" s="234">
        <f t="shared" si="17"/>
        <v>0</v>
      </c>
      <c r="I135" s="234">
        <f t="shared" si="14"/>
        <v>0</v>
      </c>
      <c r="J135" s="232"/>
      <c r="K135" s="232"/>
    </row>
    <row r="136" spans="1:11">
      <c r="A136" s="227">
        <f t="shared" si="15"/>
        <v>122</v>
      </c>
      <c r="B136" s="233">
        <f t="shared" si="9"/>
        <v>43891</v>
      </c>
      <c r="C136" s="234">
        <f t="shared" si="16"/>
        <v>0</v>
      </c>
      <c r="D136" s="234">
        <f t="shared" si="10"/>
        <v>5156.1041801143792</v>
      </c>
      <c r="E136" s="235">
        <f t="shared" si="11"/>
        <v>0</v>
      </c>
      <c r="F136" s="234">
        <f t="shared" si="12"/>
        <v>0</v>
      </c>
      <c r="G136" s="234">
        <f t="shared" si="13"/>
        <v>0</v>
      </c>
      <c r="H136" s="234">
        <f t="shared" si="17"/>
        <v>0</v>
      </c>
      <c r="I136" s="234">
        <f t="shared" si="14"/>
        <v>0</v>
      </c>
      <c r="J136" s="232"/>
      <c r="K136" s="232"/>
    </row>
    <row r="137" spans="1:11">
      <c r="A137" s="227">
        <f t="shared" si="15"/>
        <v>123</v>
      </c>
      <c r="B137" s="233">
        <f t="shared" si="9"/>
        <v>43922</v>
      </c>
      <c r="C137" s="234">
        <f t="shared" si="16"/>
        <v>0</v>
      </c>
      <c r="D137" s="234">
        <f t="shared" si="10"/>
        <v>5156.1041801143792</v>
      </c>
      <c r="E137" s="235">
        <f t="shared" si="11"/>
        <v>0</v>
      </c>
      <c r="F137" s="234">
        <f t="shared" si="12"/>
        <v>0</v>
      </c>
      <c r="G137" s="234">
        <f t="shared" si="13"/>
        <v>0</v>
      </c>
      <c r="H137" s="234">
        <f t="shared" si="17"/>
        <v>0</v>
      </c>
      <c r="I137" s="234">
        <f t="shared" si="14"/>
        <v>0</v>
      </c>
      <c r="J137" s="232"/>
      <c r="K137" s="232"/>
    </row>
    <row r="138" spans="1:11">
      <c r="A138" s="227">
        <f t="shared" si="15"/>
        <v>124</v>
      </c>
      <c r="B138" s="233">
        <f t="shared" si="9"/>
        <v>43952</v>
      </c>
      <c r="C138" s="234">
        <f t="shared" si="16"/>
        <v>0</v>
      </c>
      <c r="D138" s="234">
        <f t="shared" si="10"/>
        <v>5156.1041801143792</v>
      </c>
      <c r="E138" s="235">
        <f t="shared" si="11"/>
        <v>0</v>
      </c>
      <c r="F138" s="234">
        <f t="shared" si="12"/>
        <v>0</v>
      </c>
      <c r="G138" s="234">
        <f t="shared" si="13"/>
        <v>0</v>
      </c>
      <c r="H138" s="234">
        <f t="shared" si="17"/>
        <v>0</v>
      </c>
      <c r="I138" s="234">
        <f t="shared" si="14"/>
        <v>0</v>
      </c>
      <c r="J138" s="232"/>
      <c r="K138" s="232"/>
    </row>
    <row r="139" spans="1:11">
      <c r="A139" s="227">
        <f t="shared" si="15"/>
        <v>125</v>
      </c>
      <c r="B139" s="233">
        <f t="shared" si="9"/>
        <v>43983</v>
      </c>
      <c r="C139" s="234">
        <f t="shared" si="16"/>
        <v>0</v>
      </c>
      <c r="D139" s="234">
        <f t="shared" si="10"/>
        <v>5156.1041801143792</v>
      </c>
      <c r="E139" s="235">
        <f t="shared" si="11"/>
        <v>0</v>
      </c>
      <c r="F139" s="234">
        <f t="shared" si="12"/>
        <v>0</v>
      </c>
      <c r="G139" s="234">
        <f t="shared" si="13"/>
        <v>0</v>
      </c>
      <c r="H139" s="234">
        <f t="shared" si="17"/>
        <v>0</v>
      </c>
      <c r="I139" s="234">
        <f t="shared" si="14"/>
        <v>0</v>
      </c>
      <c r="J139" s="232"/>
      <c r="K139" s="232"/>
    </row>
    <row r="140" spans="1:11">
      <c r="A140" s="227">
        <f t="shared" si="15"/>
        <v>126</v>
      </c>
      <c r="B140" s="233">
        <f t="shared" si="9"/>
        <v>44013</v>
      </c>
      <c r="C140" s="234">
        <f t="shared" si="16"/>
        <v>0</v>
      </c>
      <c r="D140" s="234">
        <f t="shared" si="10"/>
        <v>5156.1041801143792</v>
      </c>
      <c r="E140" s="235">
        <f t="shared" si="11"/>
        <v>0</v>
      </c>
      <c r="F140" s="234">
        <f t="shared" si="12"/>
        <v>0</v>
      </c>
      <c r="G140" s="234">
        <f t="shared" si="13"/>
        <v>0</v>
      </c>
      <c r="H140" s="234">
        <f t="shared" si="17"/>
        <v>0</v>
      </c>
      <c r="I140" s="234">
        <f t="shared" si="14"/>
        <v>0</v>
      </c>
      <c r="J140" s="232"/>
      <c r="K140" s="232"/>
    </row>
    <row r="141" spans="1:11">
      <c r="A141" s="227">
        <f t="shared" si="15"/>
        <v>127</v>
      </c>
      <c r="B141" s="233">
        <f t="shared" si="9"/>
        <v>44044</v>
      </c>
      <c r="C141" s="234">
        <f t="shared" si="16"/>
        <v>0</v>
      </c>
      <c r="D141" s="234">
        <f t="shared" si="10"/>
        <v>5156.1041801143792</v>
      </c>
      <c r="E141" s="235">
        <f t="shared" si="11"/>
        <v>0</v>
      </c>
      <c r="F141" s="234">
        <f t="shared" si="12"/>
        <v>0</v>
      </c>
      <c r="G141" s="234">
        <f t="shared" si="13"/>
        <v>0</v>
      </c>
      <c r="H141" s="234">
        <f t="shared" si="17"/>
        <v>0</v>
      </c>
      <c r="I141" s="234">
        <f t="shared" si="14"/>
        <v>0</v>
      </c>
      <c r="J141" s="232"/>
      <c r="K141" s="232"/>
    </row>
    <row r="142" spans="1:11">
      <c r="A142" s="227">
        <f t="shared" si="15"/>
        <v>128</v>
      </c>
      <c r="B142" s="233">
        <f t="shared" si="9"/>
        <v>44075</v>
      </c>
      <c r="C142" s="234">
        <f t="shared" si="16"/>
        <v>0</v>
      </c>
      <c r="D142" s="234">
        <f t="shared" si="10"/>
        <v>5156.1041801143792</v>
      </c>
      <c r="E142" s="235">
        <f t="shared" si="11"/>
        <v>0</v>
      </c>
      <c r="F142" s="234">
        <f t="shared" si="12"/>
        <v>0</v>
      </c>
      <c r="G142" s="234">
        <f t="shared" si="13"/>
        <v>0</v>
      </c>
      <c r="H142" s="234">
        <f t="shared" si="17"/>
        <v>0</v>
      </c>
      <c r="I142" s="234">
        <f t="shared" si="14"/>
        <v>0</v>
      </c>
      <c r="J142" s="232"/>
      <c r="K142" s="232"/>
    </row>
    <row r="143" spans="1:11">
      <c r="A143" s="227">
        <f t="shared" si="15"/>
        <v>129</v>
      </c>
      <c r="B143" s="233">
        <f t="shared" ref="B143:B206" si="18">IF(Pay_Num&lt;&gt;"",DATE(YEAR(Loan_Start),MONTH(Loan_Start)+(Pay_Num)*12/Num_Pmt_Per_Year,DAY(Loan_Start)),"")</f>
        <v>44105</v>
      </c>
      <c r="C143" s="234">
        <f t="shared" si="16"/>
        <v>0</v>
      </c>
      <c r="D143" s="234">
        <f t="shared" ref="D143:D206" si="19">IF(Pay_Num&lt;&gt;"",Scheduled_Monthly_Payment,"")</f>
        <v>5156.1041801143792</v>
      </c>
      <c r="E143" s="235">
        <f t="shared" ref="E143:E206" si="20">IF(AND(Pay_Num&lt;&gt;"",Sched_Pay+Scheduled_Extra_Payments&lt;Beg_Bal),Scheduled_Extra_Payments,IF(AND(Pay_Num&lt;&gt;"",Beg_Bal-Sched_Pay&gt;0),Beg_Bal-Sched_Pay,IF(Pay_Num&lt;&gt;"",0,"")))</f>
        <v>0</v>
      </c>
      <c r="F143" s="234">
        <f t="shared" ref="F143:F206" si="21">IF(AND(Pay_Num&lt;&gt;"",Sched_Pay+Extra_Pay&lt;Beg_Bal),Sched_Pay+Extra_Pay,IF(Pay_Num&lt;&gt;"",Beg_Bal,""))</f>
        <v>0</v>
      </c>
      <c r="G143" s="234">
        <f t="shared" ref="G143:G206" si="22">IF(Pay_Num&lt;&gt;"",Total_Pay-Int,"")</f>
        <v>0</v>
      </c>
      <c r="H143" s="234">
        <f t="shared" si="17"/>
        <v>0</v>
      </c>
      <c r="I143" s="234">
        <f t="shared" ref="I143:I206" si="23">IF(AND(Pay_Num&lt;&gt;"",Sched_Pay+Extra_Pay&lt;Beg_Bal),Beg_Bal-Princ,IF(Pay_Num&lt;&gt;"",0,""))</f>
        <v>0</v>
      </c>
      <c r="J143" s="232"/>
      <c r="K143" s="232"/>
    </row>
    <row r="144" spans="1:11">
      <c r="A144" s="227">
        <f t="shared" ref="A144:A207" si="24">IF(Values_Entered,A143+1,"")</f>
        <v>130</v>
      </c>
      <c r="B144" s="233">
        <f t="shared" si="18"/>
        <v>44136</v>
      </c>
      <c r="C144" s="234">
        <f t="shared" ref="C144:C207" si="25">IF(Pay_Num&lt;&gt;"",I143,"")</f>
        <v>0</v>
      </c>
      <c r="D144" s="234">
        <f t="shared" si="19"/>
        <v>5156.1041801143792</v>
      </c>
      <c r="E144" s="235">
        <f t="shared" si="20"/>
        <v>0</v>
      </c>
      <c r="F144" s="234">
        <f t="shared" si="21"/>
        <v>0</v>
      </c>
      <c r="G144" s="234">
        <f t="shared" si="22"/>
        <v>0</v>
      </c>
      <c r="H144" s="234">
        <f t="shared" ref="H144:H207" si="26">IF(Pay_Num&lt;&gt;"",Beg_Bal*Interest_Rate/Num_Pmt_Per_Year,"")</f>
        <v>0</v>
      </c>
      <c r="I144" s="234">
        <f t="shared" si="23"/>
        <v>0</v>
      </c>
      <c r="J144" s="232"/>
      <c r="K144" s="232"/>
    </row>
    <row r="145" spans="1:11">
      <c r="A145" s="227">
        <f t="shared" si="24"/>
        <v>131</v>
      </c>
      <c r="B145" s="233">
        <f t="shared" si="18"/>
        <v>44166</v>
      </c>
      <c r="C145" s="234">
        <f t="shared" si="25"/>
        <v>0</v>
      </c>
      <c r="D145" s="234">
        <f t="shared" si="19"/>
        <v>5156.1041801143792</v>
      </c>
      <c r="E145" s="235">
        <f t="shared" si="20"/>
        <v>0</v>
      </c>
      <c r="F145" s="234">
        <f t="shared" si="21"/>
        <v>0</v>
      </c>
      <c r="G145" s="234">
        <f t="shared" si="22"/>
        <v>0</v>
      </c>
      <c r="H145" s="234">
        <f t="shared" si="26"/>
        <v>0</v>
      </c>
      <c r="I145" s="234">
        <f t="shared" si="23"/>
        <v>0</v>
      </c>
      <c r="J145" s="232"/>
      <c r="K145" s="232"/>
    </row>
    <row r="146" spans="1:11">
      <c r="A146" s="227">
        <f t="shared" si="24"/>
        <v>132</v>
      </c>
      <c r="B146" s="233">
        <f t="shared" si="18"/>
        <v>44197</v>
      </c>
      <c r="C146" s="234">
        <f t="shared" si="25"/>
        <v>0</v>
      </c>
      <c r="D146" s="234">
        <f t="shared" si="19"/>
        <v>5156.1041801143792</v>
      </c>
      <c r="E146" s="235">
        <f t="shared" si="20"/>
        <v>0</v>
      </c>
      <c r="F146" s="234">
        <f t="shared" si="21"/>
        <v>0</v>
      </c>
      <c r="G146" s="234">
        <f t="shared" si="22"/>
        <v>0</v>
      </c>
      <c r="H146" s="234">
        <f t="shared" si="26"/>
        <v>0</v>
      </c>
      <c r="I146" s="234">
        <f t="shared" si="23"/>
        <v>0</v>
      </c>
      <c r="J146" s="232"/>
      <c r="K146" s="232"/>
    </row>
    <row r="147" spans="1:11">
      <c r="A147" s="227">
        <f t="shared" si="24"/>
        <v>133</v>
      </c>
      <c r="B147" s="233">
        <f t="shared" si="18"/>
        <v>44228</v>
      </c>
      <c r="C147" s="234">
        <f t="shared" si="25"/>
        <v>0</v>
      </c>
      <c r="D147" s="234">
        <f t="shared" si="19"/>
        <v>5156.1041801143792</v>
      </c>
      <c r="E147" s="235">
        <f t="shared" si="20"/>
        <v>0</v>
      </c>
      <c r="F147" s="234">
        <f t="shared" si="21"/>
        <v>0</v>
      </c>
      <c r="G147" s="234">
        <f t="shared" si="22"/>
        <v>0</v>
      </c>
      <c r="H147" s="234">
        <f t="shared" si="26"/>
        <v>0</v>
      </c>
      <c r="I147" s="234">
        <f t="shared" si="23"/>
        <v>0</v>
      </c>
      <c r="J147" s="232"/>
      <c r="K147" s="232"/>
    </row>
    <row r="148" spans="1:11">
      <c r="A148" s="227">
        <f t="shared" si="24"/>
        <v>134</v>
      </c>
      <c r="B148" s="233">
        <f t="shared" si="18"/>
        <v>44256</v>
      </c>
      <c r="C148" s="234">
        <f t="shared" si="25"/>
        <v>0</v>
      </c>
      <c r="D148" s="234">
        <f t="shared" si="19"/>
        <v>5156.1041801143792</v>
      </c>
      <c r="E148" s="235">
        <f t="shared" si="20"/>
        <v>0</v>
      </c>
      <c r="F148" s="234">
        <f t="shared" si="21"/>
        <v>0</v>
      </c>
      <c r="G148" s="234">
        <f t="shared" si="22"/>
        <v>0</v>
      </c>
      <c r="H148" s="234">
        <f t="shared" si="26"/>
        <v>0</v>
      </c>
      <c r="I148" s="234">
        <f t="shared" si="23"/>
        <v>0</v>
      </c>
      <c r="J148" s="232"/>
      <c r="K148" s="232"/>
    </row>
    <row r="149" spans="1:11">
      <c r="A149" s="227">
        <f t="shared" si="24"/>
        <v>135</v>
      </c>
      <c r="B149" s="233">
        <f t="shared" si="18"/>
        <v>44287</v>
      </c>
      <c r="C149" s="234">
        <f t="shared" si="25"/>
        <v>0</v>
      </c>
      <c r="D149" s="234">
        <f t="shared" si="19"/>
        <v>5156.1041801143792</v>
      </c>
      <c r="E149" s="235">
        <f t="shared" si="20"/>
        <v>0</v>
      </c>
      <c r="F149" s="234">
        <f t="shared" si="21"/>
        <v>0</v>
      </c>
      <c r="G149" s="234">
        <f t="shared" si="22"/>
        <v>0</v>
      </c>
      <c r="H149" s="234">
        <f t="shared" si="26"/>
        <v>0</v>
      </c>
      <c r="I149" s="234">
        <f t="shared" si="23"/>
        <v>0</v>
      </c>
      <c r="J149" s="232"/>
      <c r="K149" s="232"/>
    </row>
    <row r="150" spans="1:11">
      <c r="A150" s="227">
        <f t="shared" si="24"/>
        <v>136</v>
      </c>
      <c r="B150" s="233">
        <f t="shared" si="18"/>
        <v>44317</v>
      </c>
      <c r="C150" s="234">
        <f t="shared" si="25"/>
        <v>0</v>
      </c>
      <c r="D150" s="234">
        <f t="shared" si="19"/>
        <v>5156.1041801143792</v>
      </c>
      <c r="E150" s="235">
        <f t="shared" si="20"/>
        <v>0</v>
      </c>
      <c r="F150" s="234">
        <f t="shared" si="21"/>
        <v>0</v>
      </c>
      <c r="G150" s="234">
        <f t="shared" si="22"/>
        <v>0</v>
      </c>
      <c r="H150" s="234">
        <f t="shared" si="26"/>
        <v>0</v>
      </c>
      <c r="I150" s="234">
        <f t="shared" si="23"/>
        <v>0</v>
      </c>
      <c r="J150" s="232"/>
      <c r="K150" s="232"/>
    </row>
    <row r="151" spans="1:11">
      <c r="A151" s="227">
        <f t="shared" si="24"/>
        <v>137</v>
      </c>
      <c r="B151" s="233">
        <f t="shared" si="18"/>
        <v>44348</v>
      </c>
      <c r="C151" s="234">
        <f t="shared" si="25"/>
        <v>0</v>
      </c>
      <c r="D151" s="234">
        <f t="shared" si="19"/>
        <v>5156.1041801143792</v>
      </c>
      <c r="E151" s="235">
        <f t="shared" si="20"/>
        <v>0</v>
      </c>
      <c r="F151" s="234">
        <f t="shared" si="21"/>
        <v>0</v>
      </c>
      <c r="G151" s="234">
        <f t="shared" si="22"/>
        <v>0</v>
      </c>
      <c r="H151" s="234">
        <f t="shared" si="26"/>
        <v>0</v>
      </c>
      <c r="I151" s="234">
        <f t="shared" si="23"/>
        <v>0</v>
      </c>
      <c r="J151" s="232"/>
      <c r="K151" s="232"/>
    </row>
    <row r="152" spans="1:11">
      <c r="A152" s="227">
        <f t="shared" si="24"/>
        <v>138</v>
      </c>
      <c r="B152" s="233">
        <f t="shared" si="18"/>
        <v>44378</v>
      </c>
      <c r="C152" s="234">
        <f t="shared" si="25"/>
        <v>0</v>
      </c>
      <c r="D152" s="234">
        <f t="shared" si="19"/>
        <v>5156.1041801143792</v>
      </c>
      <c r="E152" s="235">
        <f t="shared" si="20"/>
        <v>0</v>
      </c>
      <c r="F152" s="234">
        <f t="shared" si="21"/>
        <v>0</v>
      </c>
      <c r="G152" s="234">
        <f t="shared" si="22"/>
        <v>0</v>
      </c>
      <c r="H152" s="234">
        <f t="shared" si="26"/>
        <v>0</v>
      </c>
      <c r="I152" s="234">
        <f t="shared" si="23"/>
        <v>0</v>
      </c>
      <c r="J152" s="232"/>
      <c r="K152" s="232"/>
    </row>
    <row r="153" spans="1:11">
      <c r="A153" s="227">
        <f t="shared" si="24"/>
        <v>139</v>
      </c>
      <c r="B153" s="233">
        <f t="shared" si="18"/>
        <v>44409</v>
      </c>
      <c r="C153" s="234">
        <f t="shared" si="25"/>
        <v>0</v>
      </c>
      <c r="D153" s="234">
        <f t="shared" si="19"/>
        <v>5156.1041801143792</v>
      </c>
      <c r="E153" s="235">
        <f t="shared" si="20"/>
        <v>0</v>
      </c>
      <c r="F153" s="234">
        <f t="shared" si="21"/>
        <v>0</v>
      </c>
      <c r="G153" s="234">
        <f t="shared" si="22"/>
        <v>0</v>
      </c>
      <c r="H153" s="234">
        <f t="shared" si="26"/>
        <v>0</v>
      </c>
      <c r="I153" s="234">
        <f t="shared" si="23"/>
        <v>0</v>
      </c>
      <c r="J153" s="232"/>
      <c r="K153" s="232"/>
    </row>
    <row r="154" spans="1:11">
      <c r="A154" s="227">
        <f t="shared" si="24"/>
        <v>140</v>
      </c>
      <c r="B154" s="233">
        <f t="shared" si="18"/>
        <v>44440</v>
      </c>
      <c r="C154" s="234">
        <f t="shared" si="25"/>
        <v>0</v>
      </c>
      <c r="D154" s="234">
        <f t="shared" si="19"/>
        <v>5156.1041801143792</v>
      </c>
      <c r="E154" s="235">
        <f t="shared" si="20"/>
        <v>0</v>
      </c>
      <c r="F154" s="234">
        <f t="shared" si="21"/>
        <v>0</v>
      </c>
      <c r="G154" s="234">
        <f t="shared" si="22"/>
        <v>0</v>
      </c>
      <c r="H154" s="234">
        <f t="shared" si="26"/>
        <v>0</v>
      </c>
      <c r="I154" s="234">
        <f t="shared" si="23"/>
        <v>0</v>
      </c>
      <c r="J154" s="232"/>
      <c r="K154" s="232"/>
    </row>
    <row r="155" spans="1:11">
      <c r="A155" s="227">
        <f t="shared" si="24"/>
        <v>141</v>
      </c>
      <c r="B155" s="233">
        <f t="shared" si="18"/>
        <v>44470</v>
      </c>
      <c r="C155" s="234">
        <f t="shared" si="25"/>
        <v>0</v>
      </c>
      <c r="D155" s="234">
        <f t="shared" si="19"/>
        <v>5156.1041801143792</v>
      </c>
      <c r="E155" s="235">
        <f t="shared" si="20"/>
        <v>0</v>
      </c>
      <c r="F155" s="234">
        <f t="shared" si="21"/>
        <v>0</v>
      </c>
      <c r="G155" s="234">
        <f t="shared" si="22"/>
        <v>0</v>
      </c>
      <c r="H155" s="234">
        <f t="shared" si="26"/>
        <v>0</v>
      </c>
      <c r="I155" s="234">
        <f t="shared" si="23"/>
        <v>0</v>
      </c>
      <c r="J155" s="232"/>
      <c r="K155" s="232"/>
    </row>
    <row r="156" spans="1:11">
      <c r="A156" s="227">
        <f t="shared" si="24"/>
        <v>142</v>
      </c>
      <c r="B156" s="233">
        <f t="shared" si="18"/>
        <v>44501</v>
      </c>
      <c r="C156" s="234">
        <f t="shared" si="25"/>
        <v>0</v>
      </c>
      <c r="D156" s="234">
        <f t="shared" si="19"/>
        <v>5156.1041801143792</v>
      </c>
      <c r="E156" s="235">
        <f t="shared" si="20"/>
        <v>0</v>
      </c>
      <c r="F156" s="234">
        <f t="shared" si="21"/>
        <v>0</v>
      </c>
      <c r="G156" s="234">
        <f t="shared" si="22"/>
        <v>0</v>
      </c>
      <c r="H156" s="234">
        <f t="shared" si="26"/>
        <v>0</v>
      </c>
      <c r="I156" s="234">
        <f t="shared" si="23"/>
        <v>0</v>
      </c>
      <c r="J156" s="232"/>
      <c r="K156" s="232"/>
    </row>
    <row r="157" spans="1:11">
      <c r="A157" s="227">
        <f t="shared" si="24"/>
        <v>143</v>
      </c>
      <c r="B157" s="233">
        <f t="shared" si="18"/>
        <v>44531</v>
      </c>
      <c r="C157" s="234">
        <f t="shared" si="25"/>
        <v>0</v>
      </c>
      <c r="D157" s="234">
        <f t="shared" si="19"/>
        <v>5156.1041801143792</v>
      </c>
      <c r="E157" s="235">
        <f t="shared" si="20"/>
        <v>0</v>
      </c>
      <c r="F157" s="234">
        <f t="shared" si="21"/>
        <v>0</v>
      </c>
      <c r="G157" s="234">
        <f t="shared" si="22"/>
        <v>0</v>
      </c>
      <c r="H157" s="234">
        <f t="shared" si="26"/>
        <v>0</v>
      </c>
      <c r="I157" s="234">
        <f t="shared" si="23"/>
        <v>0</v>
      </c>
      <c r="J157" s="232"/>
      <c r="K157" s="232"/>
    </row>
    <row r="158" spans="1:11">
      <c r="A158" s="227">
        <f t="shared" si="24"/>
        <v>144</v>
      </c>
      <c r="B158" s="233">
        <f t="shared" si="18"/>
        <v>44562</v>
      </c>
      <c r="C158" s="234">
        <f t="shared" si="25"/>
        <v>0</v>
      </c>
      <c r="D158" s="234">
        <f t="shared" si="19"/>
        <v>5156.1041801143792</v>
      </c>
      <c r="E158" s="235">
        <f t="shared" si="20"/>
        <v>0</v>
      </c>
      <c r="F158" s="234">
        <f t="shared" si="21"/>
        <v>0</v>
      </c>
      <c r="G158" s="234">
        <f t="shared" si="22"/>
        <v>0</v>
      </c>
      <c r="H158" s="234">
        <f t="shared" si="26"/>
        <v>0</v>
      </c>
      <c r="I158" s="234">
        <f t="shared" si="23"/>
        <v>0</v>
      </c>
      <c r="J158" s="232"/>
      <c r="K158" s="232"/>
    </row>
    <row r="159" spans="1:11">
      <c r="A159" s="227">
        <f t="shared" si="24"/>
        <v>145</v>
      </c>
      <c r="B159" s="233">
        <f t="shared" si="18"/>
        <v>44593</v>
      </c>
      <c r="C159" s="234">
        <f t="shared" si="25"/>
        <v>0</v>
      </c>
      <c r="D159" s="234">
        <f t="shared" si="19"/>
        <v>5156.1041801143792</v>
      </c>
      <c r="E159" s="235">
        <f t="shared" si="20"/>
        <v>0</v>
      </c>
      <c r="F159" s="234">
        <f t="shared" si="21"/>
        <v>0</v>
      </c>
      <c r="G159" s="234">
        <f t="shared" si="22"/>
        <v>0</v>
      </c>
      <c r="H159" s="234">
        <f t="shared" si="26"/>
        <v>0</v>
      </c>
      <c r="I159" s="234">
        <f t="shared" si="23"/>
        <v>0</v>
      </c>
      <c r="J159" s="232"/>
      <c r="K159" s="232"/>
    </row>
    <row r="160" spans="1:11">
      <c r="A160" s="227">
        <f t="shared" si="24"/>
        <v>146</v>
      </c>
      <c r="B160" s="233">
        <f t="shared" si="18"/>
        <v>44621</v>
      </c>
      <c r="C160" s="234">
        <f t="shared" si="25"/>
        <v>0</v>
      </c>
      <c r="D160" s="234">
        <f t="shared" si="19"/>
        <v>5156.1041801143792</v>
      </c>
      <c r="E160" s="235">
        <f t="shared" si="20"/>
        <v>0</v>
      </c>
      <c r="F160" s="234">
        <f t="shared" si="21"/>
        <v>0</v>
      </c>
      <c r="G160" s="234">
        <f t="shared" si="22"/>
        <v>0</v>
      </c>
      <c r="H160" s="234">
        <f t="shared" si="26"/>
        <v>0</v>
      </c>
      <c r="I160" s="234">
        <f t="shared" si="23"/>
        <v>0</v>
      </c>
      <c r="J160" s="232"/>
      <c r="K160" s="232"/>
    </row>
    <row r="161" spans="1:11">
      <c r="A161" s="227">
        <f t="shared" si="24"/>
        <v>147</v>
      </c>
      <c r="B161" s="233">
        <f t="shared" si="18"/>
        <v>44652</v>
      </c>
      <c r="C161" s="234">
        <f t="shared" si="25"/>
        <v>0</v>
      </c>
      <c r="D161" s="234">
        <f t="shared" si="19"/>
        <v>5156.1041801143792</v>
      </c>
      <c r="E161" s="235">
        <f t="shared" si="20"/>
        <v>0</v>
      </c>
      <c r="F161" s="234">
        <f t="shared" si="21"/>
        <v>0</v>
      </c>
      <c r="G161" s="234">
        <f t="shared" si="22"/>
        <v>0</v>
      </c>
      <c r="H161" s="234">
        <f t="shared" si="26"/>
        <v>0</v>
      </c>
      <c r="I161" s="234">
        <f t="shared" si="23"/>
        <v>0</v>
      </c>
      <c r="J161" s="232"/>
      <c r="K161" s="232"/>
    </row>
    <row r="162" spans="1:11">
      <c r="A162" s="227">
        <f t="shared" si="24"/>
        <v>148</v>
      </c>
      <c r="B162" s="233">
        <f t="shared" si="18"/>
        <v>44682</v>
      </c>
      <c r="C162" s="234">
        <f t="shared" si="25"/>
        <v>0</v>
      </c>
      <c r="D162" s="234">
        <f t="shared" si="19"/>
        <v>5156.1041801143792</v>
      </c>
      <c r="E162" s="235">
        <f t="shared" si="20"/>
        <v>0</v>
      </c>
      <c r="F162" s="234">
        <f t="shared" si="21"/>
        <v>0</v>
      </c>
      <c r="G162" s="234">
        <f t="shared" si="22"/>
        <v>0</v>
      </c>
      <c r="H162" s="234">
        <f t="shared" si="26"/>
        <v>0</v>
      </c>
      <c r="I162" s="234">
        <f t="shared" si="23"/>
        <v>0</v>
      </c>
      <c r="J162" s="232"/>
      <c r="K162" s="232"/>
    </row>
    <row r="163" spans="1:11">
      <c r="A163" s="227">
        <f t="shared" si="24"/>
        <v>149</v>
      </c>
      <c r="B163" s="233">
        <f t="shared" si="18"/>
        <v>44713</v>
      </c>
      <c r="C163" s="234">
        <f t="shared" si="25"/>
        <v>0</v>
      </c>
      <c r="D163" s="234">
        <f t="shared" si="19"/>
        <v>5156.1041801143792</v>
      </c>
      <c r="E163" s="235">
        <f t="shared" si="20"/>
        <v>0</v>
      </c>
      <c r="F163" s="234">
        <f t="shared" si="21"/>
        <v>0</v>
      </c>
      <c r="G163" s="234">
        <f t="shared" si="22"/>
        <v>0</v>
      </c>
      <c r="H163" s="234">
        <f t="shared" si="26"/>
        <v>0</v>
      </c>
      <c r="I163" s="234">
        <f t="shared" si="23"/>
        <v>0</v>
      </c>
      <c r="J163" s="232"/>
      <c r="K163" s="232"/>
    </row>
    <row r="164" spans="1:11">
      <c r="A164" s="227">
        <f t="shared" si="24"/>
        <v>150</v>
      </c>
      <c r="B164" s="233">
        <f t="shared" si="18"/>
        <v>44743</v>
      </c>
      <c r="C164" s="234">
        <f t="shared" si="25"/>
        <v>0</v>
      </c>
      <c r="D164" s="234">
        <f t="shared" si="19"/>
        <v>5156.1041801143792</v>
      </c>
      <c r="E164" s="235">
        <f t="shared" si="20"/>
        <v>0</v>
      </c>
      <c r="F164" s="234">
        <f t="shared" si="21"/>
        <v>0</v>
      </c>
      <c r="G164" s="234">
        <f t="shared" si="22"/>
        <v>0</v>
      </c>
      <c r="H164" s="234">
        <f t="shared" si="26"/>
        <v>0</v>
      </c>
      <c r="I164" s="234">
        <f t="shared" si="23"/>
        <v>0</v>
      </c>
      <c r="J164" s="232"/>
      <c r="K164" s="232"/>
    </row>
    <row r="165" spans="1:11">
      <c r="A165" s="227">
        <f t="shared" si="24"/>
        <v>151</v>
      </c>
      <c r="B165" s="233">
        <f t="shared" si="18"/>
        <v>44774</v>
      </c>
      <c r="C165" s="234">
        <f t="shared" si="25"/>
        <v>0</v>
      </c>
      <c r="D165" s="234">
        <f t="shared" si="19"/>
        <v>5156.1041801143792</v>
      </c>
      <c r="E165" s="235">
        <f t="shared" si="20"/>
        <v>0</v>
      </c>
      <c r="F165" s="234">
        <f t="shared" si="21"/>
        <v>0</v>
      </c>
      <c r="G165" s="234">
        <f t="shared" si="22"/>
        <v>0</v>
      </c>
      <c r="H165" s="234">
        <f t="shared" si="26"/>
        <v>0</v>
      </c>
      <c r="I165" s="234">
        <f t="shared" si="23"/>
        <v>0</v>
      </c>
      <c r="J165" s="232"/>
      <c r="K165" s="232"/>
    </row>
    <row r="166" spans="1:11">
      <c r="A166" s="227">
        <f t="shared" si="24"/>
        <v>152</v>
      </c>
      <c r="B166" s="233">
        <f t="shared" si="18"/>
        <v>44805</v>
      </c>
      <c r="C166" s="234">
        <f t="shared" si="25"/>
        <v>0</v>
      </c>
      <c r="D166" s="234">
        <f t="shared" si="19"/>
        <v>5156.1041801143792</v>
      </c>
      <c r="E166" s="235">
        <f t="shared" si="20"/>
        <v>0</v>
      </c>
      <c r="F166" s="234">
        <f t="shared" si="21"/>
        <v>0</v>
      </c>
      <c r="G166" s="234">
        <f t="shared" si="22"/>
        <v>0</v>
      </c>
      <c r="H166" s="234">
        <f t="shared" si="26"/>
        <v>0</v>
      </c>
      <c r="I166" s="234">
        <f t="shared" si="23"/>
        <v>0</v>
      </c>
      <c r="J166" s="232"/>
      <c r="K166" s="232"/>
    </row>
    <row r="167" spans="1:11">
      <c r="A167" s="227">
        <f t="shared" si="24"/>
        <v>153</v>
      </c>
      <c r="B167" s="233">
        <f t="shared" si="18"/>
        <v>44835</v>
      </c>
      <c r="C167" s="234">
        <f t="shared" si="25"/>
        <v>0</v>
      </c>
      <c r="D167" s="234">
        <f t="shared" si="19"/>
        <v>5156.1041801143792</v>
      </c>
      <c r="E167" s="235">
        <f t="shared" si="20"/>
        <v>0</v>
      </c>
      <c r="F167" s="234">
        <f t="shared" si="21"/>
        <v>0</v>
      </c>
      <c r="G167" s="234">
        <f t="shared" si="22"/>
        <v>0</v>
      </c>
      <c r="H167" s="234">
        <f t="shared" si="26"/>
        <v>0</v>
      </c>
      <c r="I167" s="234">
        <f t="shared" si="23"/>
        <v>0</v>
      </c>
      <c r="J167" s="232"/>
      <c r="K167" s="232"/>
    </row>
    <row r="168" spans="1:11">
      <c r="A168" s="227">
        <f t="shared" si="24"/>
        <v>154</v>
      </c>
      <c r="B168" s="233">
        <f t="shared" si="18"/>
        <v>44866</v>
      </c>
      <c r="C168" s="234">
        <f t="shared" si="25"/>
        <v>0</v>
      </c>
      <c r="D168" s="234">
        <f t="shared" si="19"/>
        <v>5156.1041801143792</v>
      </c>
      <c r="E168" s="235">
        <f t="shared" si="20"/>
        <v>0</v>
      </c>
      <c r="F168" s="234">
        <f t="shared" si="21"/>
        <v>0</v>
      </c>
      <c r="G168" s="234">
        <f t="shared" si="22"/>
        <v>0</v>
      </c>
      <c r="H168" s="234">
        <f t="shared" si="26"/>
        <v>0</v>
      </c>
      <c r="I168" s="234">
        <f t="shared" si="23"/>
        <v>0</v>
      </c>
      <c r="J168" s="232"/>
      <c r="K168" s="232"/>
    </row>
    <row r="169" spans="1:11">
      <c r="A169" s="227">
        <f t="shared" si="24"/>
        <v>155</v>
      </c>
      <c r="B169" s="233">
        <f t="shared" si="18"/>
        <v>44896</v>
      </c>
      <c r="C169" s="234">
        <f t="shared" si="25"/>
        <v>0</v>
      </c>
      <c r="D169" s="234">
        <f t="shared" si="19"/>
        <v>5156.1041801143792</v>
      </c>
      <c r="E169" s="235">
        <f t="shared" si="20"/>
        <v>0</v>
      </c>
      <c r="F169" s="234">
        <f t="shared" si="21"/>
        <v>0</v>
      </c>
      <c r="G169" s="234">
        <f t="shared" si="22"/>
        <v>0</v>
      </c>
      <c r="H169" s="234">
        <f t="shared" si="26"/>
        <v>0</v>
      </c>
      <c r="I169" s="234">
        <f t="shared" si="23"/>
        <v>0</v>
      </c>
      <c r="J169" s="232"/>
      <c r="K169" s="232"/>
    </row>
    <row r="170" spans="1:11">
      <c r="A170" s="227">
        <f t="shared" si="24"/>
        <v>156</v>
      </c>
      <c r="B170" s="233">
        <f t="shared" si="18"/>
        <v>44927</v>
      </c>
      <c r="C170" s="234">
        <f t="shared" si="25"/>
        <v>0</v>
      </c>
      <c r="D170" s="234">
        <f t="shared" si="19"/>
        <v>5156.1041801143792</v>
      </c>
      <c r="E170" s="235">
        <f t="shared" si="20"/>
        <v>0</v>
      </c>
      <c r="F170" s="234">
        <f t="shared" si="21"/>
        <v>0</v>
      </c>
      <c r="G170" s="234">
        <f t="shared" si="22"/>
        <v>0</v>
      </c>
      <c r="H170" s="234">
        <f t="shared" si="26"/>
        <v>0</v>
      </c>
      <c r="I170" s="234">
        <f t="shared" si="23"/>
        <v>0</v>
      </c>
      <c r="J170" s="232"/>
      <c r="K170" s="232"/>
    </row>
    <row r="171" spans="1:11">
      <c r="A171" s="227">
        <f t="shared" si="24"/>
        <v>157</v>
      </c>
      <c r="B171" s="233">
        <f t="shared" si="18"/>
        <v>44958</v>
      </c>
      <c r="C171" s="234">
        <f t="shared" si="25"/>
        <v>0</v>
      </c>
      <c r="D171" s="234">
        <f t="shared" si="19"/>
        <v>5156.1041801143792</v>
      </c>
      <c r="E171" s="235">
        <f t="shared" si="20"/>
        <v>0</v>
      </c>
      <c r="F171" s="234">
        <f t="shared" si="21"/>
        <v>0</v>
      </c>
      <c r="G171" s="234">
        <f t="shared" si="22"/>
        <v>0</v>
      </c>
      <c r="H171" s="234">
        <f t="shared" si="26"/>
        <v>0</v>
      </c>
      <c r="I171" s="234">
        <f t="shared" si="23"/>
        <v>0</v>
      </c>
      <c r="J171" s="232"/>
      <c r="K171" s="232"/>
    </row>
    <row r="172" spans="1:11">
      <c r="A172" s="227">
        <f t="shared" si="24"/>
        <v>158</v>
      </c>
      <c r="B172" s="233">
        <f t="shared" si="18"/>
        <v>44986</v>
      </c>
      <c r="C172" s="234">
        <f t="shared" si="25"/>
        <v>0</v>
      </c>
      <c r="D172" s="234">
        <f t="shared" si="19"/>
        <v>5156.1041801143792</v>
      </c>
      <c r="E172" s="235">
        <f t="shared" si="20"/>
        <v>0</v>
      </c>
      <c r="F172" s="234">
        <f t="shared" si="21"/>
        <v>0</v>
      </c>
      <c r="G172" s="234">
        <f t="shared" si="22"/>
        <v>0</v>
      </c>
      <c r="H172" s="234">
        <f t="shared" si="26"/>
        <v>0</v>
      </c>
      <c r="I172" s="234">
        <f t="shared" si="23"/>
        <v>0</v>
      </c>
      <c r="J172" s="232"/>
      <c r="K172" s="232"/>
    </row>
    <row r="173" spans="1:11">
      <c r="A173" s="227">
        <f t="shared" si="24"/>
        <v>159</v>
      </c>
      <c r="B173" s="233">
        <f t="shared" si="18"/>
        <v>45017</v>
      </c>
      <c r="C173" s="234">
        <f t="shared" si="25"/>
        <v>0</v>
      </c>
      <c r="D173" s="234">
        <f t="shared" si="19"/>
        <v>5156.1041801143792</v>
      </c>
      <c r="E173" s="235">
        <f t="shared" si="20"/>
        <v>0</v>
      </c>
      <c r="F173" s="234">
        <f t="shared" si="21"/>
        <v>0</v>
      </c>
      <c r="G173" s="234">
        <f t="shared" si="22"/>
        <v>0</v>
      </c>
      <c r="H173" s="234">
        <f t="shared" si="26"/>
        <v>0</v>
      </c>
      <c r="I173" s="234">
        <f t="shared" si="23"/>
        <v>0</v>
      </c>
      <c r="J173" s="232"/>
      <c r="K173" s="232"/>
    </row>
    <row r="174" spans="1:11">
      <c r="A174" s="227">
        <f t="shared" si="24"/>
        <v>160</v>
      </c>
      <c r="B174" s="233">
        <f t="shared" si="18"/>
        <v>45047</v>
      </c>
      <c r="C174" s="234">
        <f t="shared" si="25"/>
        <v>0</v>
      </c>
      <c r="D174" s="234">
        <f t="shared" si="19"/>
        <v>5156.1041801143792</v>
      </c>
      <c r="E174" s="235">
        <f t="shared" si="20"/>
        <v>0</v>
      </c>
      <c r="F174" s="234">
        <f t="shared" si="21"/>
        <v>0</v>
      </c>
      <c r="G174" s="234">
        <f t="shared" si="22"/>
        <v>0</v>
      </c>
      <c r="H174" s="234">
        <f t="shared" si="26"/>
        <v>0</v>
      </c>
      <c r="I174" s="234">
        <f t="shared" si="23"/>
        <v>0</v>
      </c>
      <c r="J174" s="232"/>
      <c r="K174" s="232"/>
    </row>
    <row r="175" spans="1:11">
      <c r="A175" s="227">
        <f t="shared" si="24"/>
        <v>161</v>
      </c>
      <c r="B175" s="233">
        <f t="shared" si="18"/>
        <v>45078</v>
      </c>
      <c r="C175" s="234">
        <f t="shared" si="25"/>
        <v>0</v>
      </c>
      <c r="D175" s="234">
        <f t="shared" si="19"/>
        <v>5156.1041801143792</v>
      </c>
      <c r="E175" s="235">
        <f t="shared" si="20"/>
        <v>0</v>
      </c>
      <c r="F175" s="234">
        <f t="shared" si="21"/>
        <v>0</v>
      </c>
      <c r="G175" s="234">
        <f t="shared" si="22"/>
        <v>0</v>
      </c>
      <c r="H175" s="234">
        <f t="shared" si="26"/>
        <v>0</v>
      </c>
      <c r="I175" s="234">
        <f t="shared" si="23"/>
        <v>0</v>
      </c>
      <c r="J175" s="232"/>
      <c r="K175" s="232"/>
    </row>
    <row r="176" spans="1:11">
      <c r="A176" s="227">
        <f t="shared" si="24"/>
        <v>162</v>
      </c>
      <c r="B176" s="233">
        <f t="shared" si="18"/>
        <v>45108</v>
      </c>
      <c r="C176" s="234">
        <f t="shared" si="25"/>
        <v>0</v>
      </c>
      <c r="D176" s="234">
        <f t="shared" si="19"/>
        <v>5156.1041801143792</v>
      </c>
      <c r="E176" s="235">
        <f t="shared" si="20"/>
        <v>0</v>
      </c>
      <c r="F176" s="234">
        <f t="shared" si="21"/>
        <v>0</v>
      </c>
      <c r="G176" s="234">
        <f t="shared" si="22"/>
        <v>0</v>
      </c>
      <c r="H176" s="234">
        <f t="shared" si="26"/>
        <v>0</v>
      </c>
      <c r="I176" s="234">
        <f t="shared" si="23"/>
        <v>0</v>
      </c>
      <c r="J176" s="232"/>
      <c r="K176" s="232"/>
    </row>
    <row r="177" spans="1:11">
      <c r="A177" s="227">
        <f t="shared" si="24"/>
        <v>163</v>
      </c>
      <c r="B177" s="233">
        <f t="shared" si="18"/>
        <v>45139</v>
      </c>
      <c r="C177" s="234">
        <f t="shared" si="25"/>
        <v>0</v>
      </c>
      <c r="D177" s="234">
        <f t="shared" si="19"/>
        <v>5156.1041801143792</v>
      </c>
      <c r="E177" s="235">
        <f t="shared" si="20"/>
        <v>0</v>
      </c>
      <c r="F177" s="234">
        <f t="shared" si="21"/>
        <v>0</v>
      </c>
      <c r="G177" s="234">
        <f t="shared" si="22"/>
        <v>0</v>
      </c>
      <c r="H177" s="234">
        <f t="shared" si="26"/>
        <v>0</v>
      </c>
      <c r="I177" s="234">
        <f t="shared" si="23"/>
        <v>0</v>
      </c>
      <c r="J177" s="232"/>
      <c r="K177" s="232"/>
    </row>
    <row r="178" spans="1:11">
      <c r="A178" s="227">
        <f t="shared" si="24"/>
        <v>164</v>
      </c>
      <c r="B178" s="233">
        <f t="shared" si="18"/>
        <v>45170</v>
      </c>
      <c r="C178" s="234">
        <f t="shared" si="25"/>
        <v>0</v>
      </c>
      <c r="D178" s="234">
        <f t="shared" si="19"/>
        <v>5156.1041801143792</v>
      </c>
      <c r="E178" s="235">
        <f t="shared" si="20"/>
        <v>0</v>
      </c>
      <c r="F178" s="234">
        <f t="shared" si="21"/>
        <v>0</v>
      </c>
      <c r="G178" s="234">
        <f t="shared" si="22"/>
        <v>0</v>
      </c>
      <c r="H178" s="234">
        <f t="shared" si="26"/>
        <v>0</v>
      </c>
      <c r="I178" s="234">
        <f t="shared" si="23"/>
        <v>0</v>
      </c>
      <c r="J178" s="232"/>
      <c r="K178" s="232"/>
    </row>
    <row r="179" spans="1:11">
      <c r="A179" s="227">
        <f t="shared" si="24"/>
        <v>165</v>
      </c>
      <c r="B179" s="233">
        <f t="shared" si="18"/>
        <v>45200</v>
      </c>
      <c r="C179" s="234">
        <f t="shared" si="25"/>
        <v>0</v>
      </c>
      <c r="D179" s="234">
        <f t="shared" si="19"/>
        <v>5156.1041801143792</v>
      </c>
      <c r="E179" s="235">
        <f t="shared" si="20"/>
        <v>0</v>
      </c>
      <c r="F179" s="234">
        <f t="shared" si="21"/>
        <v>0</v>
      </c>
      <c r="G179" s="234">
        <f t="shared" si="22"/>
        <v>0</v>
      </c>
      <c r="H179" s="234">
        <f t="shared" si="26"/>
        <v>0</v>
      </c>
      <c r="I179" s="234">
        <f t="shared" si="23"/>
        <v>0</v>
      </c>
      <c r="J179" s="232"/>
      <c r="K179" s="232"/>
    </row>
    <row r="180" spans="1:11">
      <c r="A180" s="227">
        <f t="shared" si="24"/>
        <v>166</v>
      </c>
      <c r="B180" s="233">
        <f t="shared" si="18"/>
        <v>45231</v>
      </c>
      <c r="C180" s="234">
        <f t="shared" si="25"/>
        <v>0</v>
      </c>
      <c r="D180" s="234">
        <f t="shared" si="19"/>
        <v>5156.1041801143792</v>
      </c>
      <c r="E180" s="235">
        <f t="shared" si="20"/>
        <v>0</v>
      </c>
      <c r="F180" s="234">
        <f t="shared" si="21"/>
        <v>0</v>
      </c>
      <c r="G180" s="234">
        <f t="shared" si="22"/>
        <v>0</v>
      </c>
      <c r="H180" s="234">
        <f t="shared" si="26"/>
        <v>0</v>
      </c>
      <c r="I180" s="234">
        <f t="shared" si="23"/>
        <v>0</v>
      </c>
      <c r="J180" s="232"/>
      <c r="K180" s="232"/>
    </row>
    <row r="181" spans="1:11">
      <c r="A181" s="227">
        <f t="shared" si="24"/>
        <v>167</v>
      </c>
      <c r="B181" s="233">
        <f t="shared" si="18"/>
        <v>45261</v>
      </c>
      <c r="C181" s="234">
        <f t="shared" si="25"/>
        <v>0</v>
      </c>
      <c r="D181" s="234">
        <f t="shared" si="19"/>
        <v>5156.1041801143792</v>
      </c>
      <c r="E181" s="235">
        <f t="shared" si="20"/>
        <v>0</v>
      </c>
      <c r="F181" s="234">
        <f t="shared" si="21"/>
        <v>0</v>
      </c>
      <c r="G181" s="234">
        <f t="shared" si="22"/>
        <v>0</v>
      </c>
      <c r="H181" s="234">
        <f t="shared" si="26"/>
        <v>0</v>
      </c>
      <c r="I181" s="234">
        <f t="shared" si="23"/>
        <v>0</v>
      </c>
      <c r="J181" s="232"/>
      <c r="K181" s="232"/>
    </row>
    <row r="182" spans="1:11">
      <c r="A182" s="227">
        <f t="shared" si="24"/>
        <v>168</v>
      </c>
      <c r="B182" s="233">
        <f t="shared" si="18"/>
        <v>45292</v>
      </c>
      <c r="C182" s="234">
        <f t="shared" si="25"/>
        <v>0</v>
      </c>
      <c r="D182" s="234">
        <f t="shared" si="19"/>
        <v>5156.1041801143792</v>
      </c>
      <c r="E182" s="235">
        <f t="shared" si="20"/>
        <v>0</v>
      </c>
      <c r="F182" s="234">
        <f t="shared" si="21"/>
        <v>0</v>
      </c>
      <c r="G182" s="234">
        <f t="shared" si="22"/>
        <v>0</v>
      </c>
      <c r="H182" s="234">
        <f t="shared" si="26"/>
        <v>0</v>
      </c>
      <c r="I182" s="234">
        <f t="shared" si="23"/>
        <v>0</v>
      </c>
      <c r="J182" s="232"/>
      <c r="K182" s="232"/>
    </row>
    <row r="183" spans="1:11">
      <c r="A183" s="227">
        <f t="shared" si="24"/>
        <v>169</v>
      </c>
      <c r="B183" s="233">
        <f t="shared" si="18"/>
        <v>45323</v>
      </c>
      <c r="C183" s="234">
        <f t="shared" si="25"/>
        <v>0</v>
      </c>
      <c r="D183" s="234">
        <f t="shared" si="19"/>
        <v>5156.1041801143792</v>
      </c>
      <c r="E183" s="235">
        <f t="shared" si="20"/>
        <v>0</v>
      </c>
      <c r="F183" s="234">
        <f t="shared" si="21"/>
        <v>0</v>
      </c>
      <c r="G183" s="234">
        <f t="shared" si="22"/>
        <v>0</v>
      </c>
      <c r="H183" s="234">
        <f t="shared" si="26"/>
        <v>0</v>
      </c>
      <c r="I183" s="234">
        <f t="shared" si="23"/>
        <v>0</v>
      </c>
      <c r="J183" s="232"/>
      <c r="K183" s="232"/>
    </row>
    <row r="184" spans="1:11">
      <c r="A184" s="227">
        <f t="shared" si="24"/>
        <v>170</v>
      </c>
      <c r="B184" s="233">
        <f t="shared" si="18"/>
        <v>45352</v>
      </c>
      <c r="C184" s="234">
        <f t="shared" si="25"/>
        <v>0</v>
      </c>
      <c r="D184" s="234">
        <f t="shared" si="19"/>
        <v>5156.1041801143792</v>
      </c>
      <c r="E184" s="235">
        <f t="shared" si="20"/>
        <v>0</v>
      </c>
      <c r="F184" s="234">
        <f t="shared" si="21"/>
        <v>0</v>
      </c>
      <c r="G184" s="234">
        <f t="shared" si="22"/>
        <v>0</v>
      </c>
      <c r="H184" s="234">
        <f t="shared" si="26"/>
        <v>0</v>
      </c>
      <c r="I184" s="234">
        <f t="shared" si="23"/>
        <v>0</v>
      </c>
      <c r="J184" s="232"/>
      <c r="K184" s="232"/>
    </row>
    <row r="185" spans="1:11">
      <c r="A185" s="227">
        <f t="shared" si="24"/>
        <v>171</v>
      </c>
      <c r="B185" s="233">
        <f t="shared" si="18"/>
        <v>45383</v>
      </c>
      <c r="C185" s="234">
        <f t="shared" si="25"/>
        <v>0</v>
      </c>
      <c r="D185" s="234">
        <f t="shared" si="19"/>
        <v>5156.1041801143792</v>
      </c>
      <c r="E185" s="235">
        <f t="shared" si="20"/>
        <v>0</v>
      </c>
      <c r="F185" s="234">
        <f t="shared" si="21"/>
        <v>0</v>
      </c>
      <c r="G185" s="234">
        <f t="shared" si="22"/>
        <v>0</v>
      </c>
      <c r="H185" s="234">
        <f t="shared" si="26"/>
        <v>0</v>
      </c>
      <c r="I185" s="234">
        <f t="shared" si="23"/>
        <v>0</v>
      </c>
      <c r="J185" s="232"/>
      <c r="K185" s="232"/>
    </row>
    <row r="186" spans="1:11">
      <c r="A186" s="227">
        <f t="shared" si="24"/>
        <v>172</v>
      </c>
      <c r="B186" s="233">
        <f t="shared" si="18"/>
        <v>45413</v>
      </c>
      <c r="C186" s="234">
        <f t="shared" si="25"/>
        <v>0</v>
      </c>
      <c r="D186" s="234">
        <f t="shared" si="19"/>
        <v>5156.1041801143792</v>
      </c>
      <c r="E186" s="235">
        <f t="shared" si="20"/>
        <v>0</v>
      </c>
      <c r="F186" s="234">
        <f t="shared" si="21"/>
        <v>0</v>
      </c>
      <c r="G186" s="234">
        <f t="shared" si="22"/>
        <v>0</v>
      </c>
      <c r="H186" s="234">
        <f t="shared" si="26"/>
        <v>0</v>
      </c>
      <c r="I186" s="234">
        <f t="shared" si="23"/>
        <v>0</v>
      </c>
      <c r="J186" s="232"/>
      <c r="K186" s="232"/>
    </row>
    <row r="187" spans="1:11">
      <c r="A187" s="227">
        <f t="shared" si="24"/>
        <v>173</v>
      </c>
      <c r="B187" s="233">
        <f t="shared" si="18"/>
        <v>45444</v>
      </c>
      <c r="C187" s="234">
        <f t="shared" si="25"/>
        <v>0</v>
      </c>
      <c r="D187" s="234">
        <f t="shared" si="19"/>
        <v>5156.1041801143792</v>
      </c>
      <c r="E187" s="235">
        <f t="shared" si="20"/>
        <v>0</v>
      </c>
      <c r="F187" s="234">
        <f t="shared" si="21"/>
        <v>0</v>
      </c>
      <c r="G187" s="234">
        <f t="shared" si="22"/>
        <v>0</v>
      </c>
      <c r="H187" s="234">
        <f t="shared" si="26"/>
        <v>0</v>
      </c>
      <c r="I187" s="234">
        <f t="shared" si="23"/>
        <v>0</v>
      </c>
      <c r="J187" s="232"/>
      <c r="K187" s="232"/>
    </row>
    <row r="188" spans="1:11">
      <c r="A188" s="227">
        <f t="shared" si="24"/>
        <v>174</v>
      </c>
      <c r="B188" s="233">
        <f t="shared" si="18"/>
        <v>45474</v>
      </c>
      <c r="C188" s="234">
        <f t="shared" si="25"/>
        <v>0</v>
      </c>
      <c r="D188" s="234">
        <f t="shared" si="19"/>
        <v>5156.1041801143792</v>
      </c>
      <c r="E188" s="235">
        <f t="shared" si="20"/>
        <v>0</v>
      </c>
      <c r="F188" s="234">
        <f t="shared" si="21"/>
        <v>0</v>
      </c>
      <c r="G188" s="234">
        <f t="shared" si="22"/>
        <v>0</v>
      </c>
      <c r="H188" s="234">
        <f t="shared" si="26"/>
        <v>0</v>
      </c>
      <c r="I188" s="234">
        <f t="shared" si="23"/>
        <v>0</v>
      </c>
      <c r="J188" s="232"/>
      <c r="K188" s="232"/>
    </row>
    <row r="189" spans="1:11">
      <c r="A189" s="227">
        <f t="shared" si="24"/>
        <v>175</v>
      </c>
      <c r="B189" s="233">
        <f t="shared" si="18"/>
        <v>45505</v>
      </c>
      <c r="C189" s="234">
        <f t="shared" si="25"/>
        <v>0</v>
      </c>
      <c r="D189" s="234">
        <f t="shared" si="19"/>
        <v>5156.1041801143792</v>
      </c>
      <c r="E189" s="235">
        <f t="shared" si="20"/>
        <v>0</v>
      </c>
      <c r="F189" s="234">
        <f t="shared" si="21"/>
        <v>0</v>
      </c>
      <c r="G189" s="234">
        <f t="shared" si="22"/>
        <v>0</v>
      </c>
      <c r="H189" s="234">
        <f t="shared" si="26"/>
        <v>0</v>
      </c>
      <c r="I189" s="234">
        <f t="shared" si="23"/>
        <v>0</v>
      </c>
      <c r="J189" s="232"/>
      <c r="K189" s="232"/>
    </row>
    <row r="190" spans="1:11">
      <c r="A190" s="227">
        <f t="shared" si="24"/>
        <v>176</v>
      </c>
      <c r="B190" s="233">
        <f t="shared" si="18"/>
        <v>45536</v>
      </c>
      <c r="C190" s="234">
        <f t="shared" si="25"/>
        <v>0</v>
      </c>
      <c r="D190" s="234">
        <f t="shared" si="19"/>
        <v>5156.1041801143792</v>
      </c>
      <c r="E190" s="235">
        <f t="shared" si="20"/>
        <v>0</v>
      </c>
      <c r="F190" s="234">
        <f t="shared" si="21"/>
        <v>0</v>
      </c>
      <c r="G190" s="234">
        <f t="shared" si="22"/>
        <v>0</v>
      </c>
      <c r="H190" s="234">
        <f t="shared" si="26"/>
        <v>0</v>
      </c>
      <c r="I190" s="234">
        <f t="shared" si="23"/>
        <v>0</v>
      </c>
      <c r="J190" s="232"/>
      <c r="K190" s="232"/>
    </row>
    <row r="191" spans="1:11">
      <c r="A191" s="227">
        <f t="shared" si="24"/>
        <v>177</v>
      </c>
      <c r="B191" s="233">
        <f t="shared" si="18"/>
        <v>45566</v>
      </c>
      <c r="C191" s="234">
        <f t="shared" si="25"/>
        <v>0</v>
      </c>
      <c r="D191" s="234">
        <f t="shared" si="19"/>
        <v>5156.1041801143792</v>
      </c>
      <c r="E191" s="235">
        <f t="shared" si="20"/>
        <v>0</v>
      </c>
      <c r="F191" s="234">
        <f t="shared" si="21"/>
        <v>0</v>
      </c>
      <c r="G191" s="234">
        <f t="shared" si="22"/>
        <v>0</v>
      </c>
      <c r="H191" s="234">
        <f t="shared" si="26"/>
        <v>0</v>
      </c>
      <c r="I191" s="234">
        <f t="shared" si="23"/>
        <v>0</v>
      </c>
      <c r="J191" s="232"/>
      <c r="K191" s="232"/>
    </row>
    <row r="192" spans="1:11">
      <c r="A192" s="227">
        <f t="shared" si="24"/>
        <v>178</v>
      </c>
      <c r="B192" s="233">
        <f t="shared" si="18"/>
        <v>45597</v>
      </c>
      <c r="C192" s="234">
        <f t="shared" si="25"/>
        <v>0</v>
      </c>
      <c r="D192" s="234">
        <f t="shared" si="19"/>
        <v>5156.1041801143792</v>
      </c>
      <c r="E192" s="235">
        <f t="shared" si="20"/>
        <v>0</v>
      </c>
      <c r="F192" s="234">
        <f t="shared" si="21"/>
        <v>0</v>
      </c>
      <c r="G192" s="234">
        <f t="shared" si="22"/>
        <v>0</v>
      </c>
      <c r="H192" s="234">
        <f t="shared" si="26"/>
        <v>0</v>
      </c>
      <c r="I192" s="234">
        <f t="shared" si="23"/>
        <v>0</v>
      </c>
      <c r="J192" s="232"/>
      <c r="K192" s="232"/>
    </row>
    <row r="193" spans="1:11">
      <c r="A193" s="227">
        <f t="shared" si="24"/>
        <v>179</v>
      </c>
      <c r="B193" s="233">
        <f t="shared" si="18"/>
        <v>45627</v>
      </c>
      <c r="C193" s="234">
        <f t="shared" si="25"/>
        <v>0</v>
      </c>
      <c r="D193" s="234">
        <f t="shared" si="19"/>
        <v>5156.1041801143792</v>
      </c>
      <c r="E193" s="235">
        <f t="shared" si="20"/>
        <v>0</v>
      </c>
      <c r="F193" s="234">
        <f t="shared" si="21"/>
        <v>0</v>
      </c>
      <c r="G193" s="234">
        <f t="shared" si="22"/>
        <v>0</v>
      </c>
      <c r="H193" s="234">
        <f t="shared" si="26"/>
        <v>0</v>
      </c>
      <c r="I193" s="234">
        <f t="shared" si="23"/>
        <v>0</v>
      </c>
      <c r="J193" s="232"/>
      <c r="K193" s="232"/>
    </row>
    <row r="194" spans="1:11">
      <c r="A194" s="227">
        <f t="shared" si="24"/>
        <v>180</v>
      </c>
      <c r="B194" s="233">
        <f t="shared" si="18"/>
        <v>45658</v>
      </c>
      <c r="C194" s="234">
        <f t="shared" si="25"/>
        <v>0</v>
      </c>
      <c r="D194" s="234">
        <f t="shared" si="19"/>
        <v>5156.1041801143792</v>
      </c>
      <c r="E194" s="235">
        <f t="shared" si="20"/>
        <v>0</v>
      </c>
      <c r="F194" s="234">
        <f t="shared" si="21"/>
        <v>0</v>
      </c>
      <c r="G194" s="234">
        <f t="shared" si="22"/>
        <v>0</v>
      </c>
      <c r="H194" s="234">
        <f t="shared" si="26"/>
        <v>0</v>
      </c>
      <c r="I194" s="234">
        <f t="shared" si="23"/>
        <v>0</v>
      </c>
      <c r="J194" s="232"/>
      <c r="K194" s="232"/>
    </row>
    <row r="195" spans="1:11">
      <c r="A195" s="227">
        <f t="shared" si="24"/>
        <v>181</v>
      </c>
      <c r="B195" s="233">
        <f t="shared" si="18"/>
        <v>45689</v>
      </c>
      <c r="C195" s="234">
        <f t="shared" si="25"/>
        <v>0</v>
      </c>
      <c r="D195" s="234">
        <f t="shared" si="19"/>
        <v>5156.1041801143792</v>
      </c>
      <c r="E195" s="235">
        <f t="shared" si="20"/>
        <v>0</v>
      </c>
      <c r="F195" s="234">
        <f t="shared" si="21"/>
        <v>0</v>
      </c>
      <c r="G195" s="234">
        <f t="shared" si="22"/>
        <v>0</v>
      </c>
      <c r="H195" s="234">
        <f t="shared" si="26"/>
        <v>0</v>
      </c>
      <c r="I195" s="234">
        <f t="shared" si="23"/>
        <v>0</v>
      </c>
      <c r="J195" s="232"/>
      <c r="K195" s="232"/>
    </row>
    <row r="196" spans="1:11">
      <c r="A196" s="227">
        <f t="shared" si="24"/>
        <v>182</v>
      </c>
      <c r="B196" s="233">
        <f t="shared" si="18"/>
        <v>45717</v>
      </c>
      <c r="C196" s="234">
        <f t="shared" si="25"/>
        <v>0</v>
      </c>
      <c r="D196" s="234">
        <f t="shared" si="19"/>
        <v>5156.1041801143792</v>
      </c>
      <c r="E196" s="235">
        <f t="shared" si="20"/>
        <v>0</v>
      </c>
      <c r="F196" s="234">
        <f t="shared" si="21"/>
        <v>0</v>
      </c>
      <c r="G196" s="234">
        <f t="shared" si="22"/>
        <v>0</v>
      </c>
      <c r="H196" s="234">
        <f t="shared" si="26"/>
        <v>0</v>
      </c>
      <c r="I196" s="234">
        <f t="shared" si="23"/>
        <v>0</v>
      </c>
      <c r="J196" s="232"/>
      <c r="K196" s="232"/>
    </row>
    <row r="197" spans="1:11">
      <c r="A197" s="227">
        <f t="shared" si="24"/>
        <v>183</v>
      </c>
      <c r="B197" s="233">
        <f t="shared" si="18"/>
        <v>45748</v>
      </c>
      <c r="C197" s="234">
        <f t="shared" si="25"/>
        <v>0</v>
      </c>
      <c r="D197" s="234">
        <f t="shared" si="19"/>
        <v>5156.1041801143792</v>
      </c>
      <c r="E197" s="235">
        <f t="shared" si="20"/>
        <v>0</v>
      </c>
      <c r="F197" s="234">
        <f t="shared" si="21"/>
        <v>0</v>
      </c>
      <c r="G197" s="234">
        <f t="shared" si="22"/>
        <v>0</v>
      </c>
      <c r="H197" s="234">
        <f t="shared" si="26"/>
        <v>0</v>
      </c>
      <c r="I197" s="234">
        <f t="shared" si="23"/>
        <v>0</v>
      </c>
      <c r="J197" s="232"/>
      <c r="K197" s="232"/>
    </row>
    <row r="198" spans="1:11">
      <c r="A198" s="227">
        <f t="shared" si="24"/>
        <v>184</v>
      </c>
      <c r="B198" s="233">
        <f t="shared" si="18"/>
        <v>45778</v>
      </c>
      <c r="C198" s="234">
        <f t="shared" si="25"/>
        <v>0</v>
      </c>
      <c r="D198" s="234">
        <f t="shared" si="19"/>
        <v>5156.1041801143792</v>
      </c>
      <c r="E198" s="235">
        <f t="shared" si="20"/>
        <v>0</v>
      </c>
      <c r="F198" s="234">
        <f t="shared" si="21"/>
        <v>0</v>
      </c>
      <c r="G198" s="234">
        <f t="shared" si="22"/>
        <v>0</v>
      </c>
      <c r="H198" s="234">
        <f t="shared" si="26"/>
        <v>0</v>
      </c>
      <c r="I198" s="234">
        <f t="shared" si="23"/>
        <v>0</v>
      </c>
      <c r="J198" s="232"/>
      <c r="K198" s="232"/>
    </row>
    <row r="199" spans="1:11">
      <c r="A199" s="227">
        <f t="shared" si="24"/>
        <v>185</v>
      </c>
      <c r="B199" s="233">
        <f t="shared" si="18"/>
        <v>45809</v>
      </c>
      <c r="C199" s="234">
        <f t="shared" si="25"/>
        <v>0</v>
      </c>
      <c r="D199" s="234">
        <f t="shared" si="19"/>
        <v>5156.1041801143792</v>
      </c>
      <c r="E199" s="235">
        <f t="shared" si="20"/>
        <v>0</v>
      </c>
      <c r="F199" s="234">
        <f t="shared" si="21"/>
        <v>0</v>
      </c>
      <c r="G199" s="234">
        <f t="shared" si="22"/>
        <v>0</v>
      </c>
      <c r="H199" s="234">
        <f t="shared" si="26"/>
        <v>0</v>
      </c>
      <c r="I199" s="234">
        <f t="shared" si="23"/>
        <v>0</v>
      </c>
      <c r="J199" s="232"/>
      <c r="K199" s="232"/>
    </row>
    <row r="200" spans="1:11">
      <c r="A200" s="227">
        <f t="shared" si="24"/>
        <v>186</v>
      </c>
      <c r="B200" s="233">
        <f t="shared" si="18"/>
        <v>45839</v>
      </c>
      <c r="C200" s="234">
        <f t="shared" si="25"/>
        <v>0</v>
      </c>
      <c r="D200" s="234">
        <f t="shared" si="19"/>
        <v>5156.1041801143792</v>
      </c>
      <c r="E200" s="235">
        <f t="shared" si="20"/>
        <v>0</v>
      </c>
      <c r="F200" s="234">
        <f t="shared" si="21"/>
        <v>0</v>
      </c>
      <c r="G200" s="234">
        <f t="shared" si="22"/>
        <v>0</v>
      </c>
      <c r="H200" s="234">
        <f t="shared" si="26"/>
        <v>0</v>
      </c>
      <c r="I200" s="234">
        <f t="shared" si="23"/>
        <v>0</v>
      </c>
      <c r="J200" s="232"/>
      <c r="K200" s="232"/>
    </row>
    <row r="201" spans="1:11">
      <c r="A201" s="227">
        <f t="shared" si="24"/>
        <v>187</v>
      </c>
      <c r="B201" s="233">
        <f t="shared" si="18"/>
        <v>45870</v>
      </c>
      <c r="C201" s="234">
        <f t="shared" si="25"/>
        <v>0</v>
      </c>
      <c r="D201" s="234">
        <f t="shared" si="19"/>
        <v>5156.1041801143792</v>
      </c>
      <c r="E201" s="235">
        <f t="shared" si="20"/>
        <v>0</v>
      </c>
      <c r="F201" s="234">
        <f t="shared" si="21"/>
        <v>0</v>
      </c>
      <c r="G201" s="234">
        <f t="shared" si="22"/>
        <v>0</v>
      </c>
      <c r="H201" s="234">
        <f t="shared" si="26"/>
        <v>0</v>
      </c>
      <c r="I201" s="234">
        <f t="shared" si="23"/>
        <v>0</v>
      </c>
      <c r="J201" s="232"/>
      <c r="K201" s="232"/>
    </row>
    <row r="202" spans="1:11">
      <c r="A202" s="227">
        <f t="shared" si="24"/>
        <v>188</v>
      </c>
      <c r="B202" s="233">
        <f t="shared" si="18"/>
        <v>45901</v>
      </c>
      <c r="C202" s="234">
        <f t="shared" si="25"/>
        <v>0</v>
      </c>
      <c r="D202" s="234">
        <f t="shared" si="19"/>
        <v>5156.1041801143792</v>
      </c>
      <c r="E202" s="235">
        <f t="shared" si="20"/>
        <v>0</v>
      </c>
      <c r="F202" s="234">
        <f t="shared" si="21"/>
        <v>0</v>
      </c>
      <c r="G202" s="234">
        <f t="shared" si="22"/>
        <v>0</v>
      </c>
      <c r="H202" s="234">
        <f t="shared" si="26"/>
        <v>0</v>
      </c>
      <c r="I202" s="234">
        <f t="shared" si="23"/>
        <v>0</v>
      </c>
      <c r="J202" s="232"/>
      <c r="K202" s="232"/>
    </row>
    <row r="203" spans="1:11">
      <c r="A203" s="227">
        <f t="shared" si="24"/>
        <v>189</v>
      </c>
      <c r="B203" s="233">
        <f t="shared" si="18"/>
        <v>45931</v>
      </c>
      <c r="C203" s="234">
        <f t="shared" si="25"/>
        <v>0</v>
      </c>
      <c r="D203" s="234">
        <f t="shared" si="19"/>
        <v>5156.1041801143792</v>
      </c>
      <c r="E203" s="235">
        <f t="shared" si="20"/>
        <v>0</v>
      </c>
      <c r="F203" s="234">
        <f t="shared" si="21"/>
        <v>0</v>
      </c>
      <c r="G203" s="234">
        <f t="shared" si="22"/>
        <v>0</v>
      </c>
      <c r="H203" s="234">
        <f t="shared" si="26"/>
        <v>0</v>
      </c>
      <c r="I203" s="234">
        <f t="shared" si="23"/>
        <v>0</v>
      </c>
      <c r="J203" s="232"/>
      <c r="K203" s="232"/>
    </row>
    <row r="204" spans="1:11">
      <c r="A204" s="227">
        <f t="shared" si="24"/>
        <v>190</v>
      </c>
      <c r="B204" s="233">
        <f t="shared" si="18"/>
        <v>45962</v>
      </c>
      <c r="C204" s="234">
        <f t="shared" si="25"/>
        <v>0</v>
      </c>
      <c r="D204" s="234">
        <f t="shared" si="19"/>
        <v>5156.1041801143792</v>
      </c>
      <c r="E204" s="235">
        <f t="shared" si="20"/>
        <v>0</v>
      </c>
      <c r="F204" s="234">
        <f t="shared" si="21"/>
        <v>0</v>
      </c>
      <c r="G204" s="234">
        <f t="shared" si="22"/>
        <v>0</v>
      </c>
      <c r="H204" s="234">
        <f t="shared" si="26"/>
        <v>0</v>
      </c>
      <c r="I204" s="234">
        <f t="shared" si="23"/>
        <v>0</v>
      </c>
      <c r="J204" s="232"/>
      <c r="K204" s="232"/>
    </row>
    <row r="205" spans="1:11">
      <c r="A205" s="227">
        <f t="shared" si="24"/>
        <v>191</v>
      </c>
      <c r="B205" s="233">
        <f t="shared" si="18"/>
        <v>45992</v>
      </c>
      <c r="C205" s="234">
        <f t="shared" si="25"/>
        <v>0</v>
      </c>
      <c r="D205" s="234">
        <f t="shared" si="19"/>
        <v>5156.1041801143792</v>
      </c>
      <c r="E205" s="235">
        <f t="shared" si="20"/>
        <v>0</v>
      </c>
      <c r="F205" s="234">
        <f t="shared" si="21"/>
        <v>0</v>
      </c>
      <c r="G205" s="234">
        <f t="shared" si="22"/>
        <v>0</v>
      </c>
      <c r="H205" s="234">
        <f t="shared" si="26"/>
        <v>0</v>
      </c>
      <c r="I205" s="234">
        <f t="shared" si="23"/>
        <v>0</v>
      </c>
      <c r="J205" s="232"/>
      <c r="K205" s="232"/>
    </row>
    <row r="206" spans="1:11">
      <c r="A206" s="227">
        <f t="shared" si="24"/>
        <v>192</v>
      </c>
      <c r="B206" s="233">
        <f t="shared" si="18"/>
        <v>46023</v>
      </c>
      <c r="C206" s="234">
        <f t="shared" si="25"/>
        <v>0</v>
      </c>
      <c r="D206" s="234">
        <f t="shared" si="19"/>
        <v>5156.1041801143792</v>
      </c>
      <c r="E206" s="235">
        <f t="shared" si="20"/>
        <v>0</v>
      </c>
      <c r="F206" s="234">
        <f t="shared" si="21"/>
        <v>0</v>
      </c>
      <c r="G206" s="234">
        <f t="shared" si="22"/>
        <v>0</v>
      </c>
      <c r="H206" s="234">
        <f t="shared" si="26"/>
        <v>0</v>
      </c>
      <c r="I206" s="234">
        <f t="shared" si="23"/>
        <v>0</v>
      </c>
      <c r="J206" s="232"/>
      <c r="K206" s="232"/>
    </row>
    <row r="207" spans="1:11">
      <c r="A207" s="227">
        <f t="shared" si="24"/>
        <v>193</v>
      </c>
      <c r="B207" s="233">
        <f t="shared" ref="B207:B270" si="27">IF(Pay_Num&lt;&gt;"",DATE(YEAR(Loan_Start),MONTH(Loan_Start)+(Pay_Num)*12/Num_Pmt_Per_Year,DAY(Loan_Start)),"")</f>
        <v>46054</v>
      </c>
      <c r="C207" s="234">
        <f t="shared" si="25"/>
        <v>0</v>
      </c>
      <c r="D207" s="234">
        <f t="shared" ref="D207:D270" si="28">IF(Pay_Num&lt;&gt;"",Scheduled_Monthly_Payment,"")</f>
        <v>5156.1041801143792</v>
      </c>
      <c r="E207" s="235">
        <f t="shared" ref="E207:E270" si="29">IF(AND(Pay_Num&lt;&gt;"",Sched_Pay+Scheduled_Extra_Payments&lt;Beg_Bal),Scheduled_Extra_Payments,IF(AND(Pay_Num&lt;&gt;"",Beg_Bal-Sched_Pay&gt;0),Beg_Bal-Sched_Pay,IF(Pay_Num&lt;&gt;"",0,"")))</f>
        <v>0</v>
      </c>
      <c r="F207" s="234">
        <f t="shared" ref="F207:F270" si="30">IF(AND(Pay_Num&lt;&gt;"",Sched_Pay+Extra_Pay&lt;Beg_Bal),Sched_Pay+Extra_Pay,IF(Pay_Num&lt;&gt;"",Beg_Bal,""))</f>
        <v>0</v>
      </c>
      <c r="G207" s="234">
        <f t="shared" ref="G207:G270" si="31">IF(Pay_Num&lt;&gt;"",Total_Pay-Int,"")</f>
        <v>0</v>
      </c>
      <c r="H207" s="234">
        <f t="shared" si="26"/>
        <v>0</v>
      </c>
      <c r="I207" s="234">
        <f t="shared" ref="I207:I270" si="32">IF(AND(Pay_Num&lt;&gt;"",Sched_Pay+Extra_Pay&lt;Beg_Bal),Beg_Bal-Princ,IF(Pay_Num&lt;&gt;"",0,""))</f>
        <v>0</v>
      </c>
      <c r="J207" s="232"/>
      <c r="K207" s="232"/>
    </row>
    <row r="208" spans="1:11">
      <c r="A208" s="227">
        <f t="shared" ref="A208:A271" si="33">IF(Values_Entered,A207+1,"")</f>
        <v>194</v>
      </c>
      <c r="B208" s="233">
        <f t="shared" si="27"/>
        <v>46082</v>
      </c>
      <c r="C208" s="234">
        <f t="shared" ref="C208:C271" si="34">IF(Pay_Num&lt;&gt;"",I207,"")</f>
        <v>0</v>
      </c>
      <c r="D208" s="234">
        <f t="shared" si="28"/>
        <v>5156.1041801143792</v>
      </c>
      <c r="E208" s="235">
        <f t="shared" si="29"/>
        <v>0</v>
      </c>
      <c r="F208" s="234">
        <f t="shared" si="30"/>
        <v>0</v>
      </c>
      <c r="G208" s="234">
        <f t="shared" si="31"/>
        <v>0</v>
      </c>
      <c r="H208" s="234">
        <f t="shared" ref="H208:H271" si="35">IF(Pay_Num&lt;&gt;"",Beg_Bal*Interest_Rate/Num_Pmt_Per_Year,"")</f>
        <v>0</v>
      </c>
      <c r="I208" s="234">
        <f t="shared" si="32"/>
        <v>0</v>
      </c>
      <c r="J208" s="232"/>
      <c r="K208" s="232"/>
    </row>
    <row r="209" spans="1:11">
      <c r="A209" s="227">
        <f t="shared" si="33"/>
        <v>195</v>
      </c>
      <c r="B209" s="233">
        <f t="shared" si="27"/>
        <v>46113</v>
      </c>
      <c r="C209" s="234">
        <f t="shared" si="34"/>
        <v>0</v>
      </c>
      <c r="D209" s="234">
        <f t="shared" si="28"/>
        <v>5156.1041801143792</v>
      </c>
      <c r="E209" s="235">
        <f t="shared" si="29"/>
        <v>0</v>
      </c>
      <c r="F209" s="234">
        <f t="shared" si="30"/>
        <v>0</v>
      </c>
      <c r="G209" s="234">
        <f t="shared" si="31"/>
        <v>0</v>
      </c>
      <c r="H209" s="234">
        <f t="shared" si="35"/>
        <v>0</v>
      </c>
      <c r="I209" s="234">
        <f t="shared" si="32"/>
        <v>0</v>
      </c>
      <c r="J209" s="232"/>
      <c r="K209" s="232"/>
    </row>
    <row r="210" spans="1:11">
      <c r="A210" s="227">
        <f t="shared" si="33"/>
        <v>196</v>
      </c>
      <c r="B210" s="233">
        <f t="shared" si="27"/>
        <v>46143</v>
      </c>
      <c r="C210" s="234">
        <f t="shared" si="34"/>
        <v>0</v>
      </c>
      <c r="D210" s="234">
        <f t="shared" si="28"/>
        <v>5156.1041801143792</v>
      </c>
      <c r="E210" s="235">
        <f t="shared" si="29"/>
        <v>0</v>
      </c>
      <c r="F210" s="234">
        <f t="shared" si="30"/>
        <v>0</v>
      </c>
      <c r="G210" s="234">
        <f t="shared" si="31"/>
        <v>0</v>
      </c>
      <c r="H210" s="234">
        <f t="shared" si="35"/>
        <v>0</v>
      </c>
      <c r="I210" s="234">
        <f t="shared" si="32"/>
        <v>0</v>
      </c>
      <c r="J210" s="232"/>
      <c r="K210" s="232"/>
    </row>
    <row r="211" spans="1:11">
      <c r="A211" s="227">
        <f t="shared" si="33"/>
        <v>197</v>
      </c>
      <c r="B211" s="233">
        <f t="shared" si="27"/>
        <v>46174</v>
      </c>
      <c r="C211" s="234">
        <f t="shared" si="34"/>
        <v>0</v>
      </c>
      <c r="D211" s="234">
        <f t="shared" si="28"/>
        <v>5156.1041801143792</v>
      </c>
      <c r="E211" s="235">
        <f t="shared" si="29"/>
        <v>0</v>
      </c>
      <c r="F211" s="234">
        <f t="shared" si="30"/>
        <v>0</v>
      </c>
      <c r="G211" s="234">
        <f t="shared" si="31"/>
        <v>0</v>
      </c>
      <c r="H211" s="234">
        <f t="shared" si="35"/>
        <v>0</v>
      </c>
      <c r="I211" s="234">
        <f t="shared" si="32"/>
        <v>0</v>
      </c>
      <c r="J211" s="232"/>
      <c r="K211" s="232"/>
    </row>
    <row r="212" spans="1:11">
      <c r="A212" s="227">
        <f t="shared" si="33"/>
        <v>198</v>
      </c>
      <c r="B212" s="233">
        <f t="shared" si="27"/>
        <v>46204</v>
      </c>
      <c r="C212" s="234">
        <f t="shared" si="34"/>
        <v>0</v>
      </c>
      <c r="D212" s="234">
        <f t="shared" si="28"/>
        <v>5156.1041801143792</v>
      </c>
      <c r="E212" s="235">
        <f t="shared" si="29"/>
        <v>0</v>
      </c>
      <c r="F212" s="234">
        <f t="shared" si="30"/>
        <v>0</v>
      </c>
      <c r="G212" s="234">
        <f t="shared" si="31"/>
        <v>0</v>
      </c>
      <c r="H212" s="234">
        <f t="shared" si="35"/>
        <v>0</v>
      </c>
      <c r="I212" s="234">
        <f t="shared" si="32"/>
        <v>0</v>
      </c>
      <c r="J212" s="232"/>
      <c r="K212" s="232"/>
    </row>
    <row r="213" spans="1:11">
      <c r="A213" s="227">
        <f t="shared" si="33"/>
        <v>199</v>
      </c>
      <c r="B213" s="233">
        <f t="shared" si="27"/>
        <v>46235</v>
      </c>
      <c r="C213" s="234">
        <f t="shared" si="34"/>
        <v>0</v>
      </c>
      <c r="D213" s="234">
        <f t="shared" si="28"/>
        <v>5156.1041801143792</v>
      </c>
      <c r="E213" s="235">
        <f t="shared" si="29"/>
        <v>0</v>
      </c>
      <c r="F213" s="234">
        <f t="shared" si="30"/>
        <v>0</v>
      </c>
      <c r="G213" s="234">
        <f t="shared" si="31"/>
        <v>0</v>
      </c>
      <c r="H213" s="234">
        <f t="shared" si="35"/>
        <v>0</v>
      </c>
      <c r="I213" s="234">
        <f t="shared" si="32"/>
        <v>0</v>
      </c>
      <c r="J213" s="232"/>
      <c r="K213" s="232"/>
    </row>
    <row r="214" spans="1:11">
      <c r="A214" s="227">
        <f t="shared" si="33"/>
        <v>200</v>
      </c>
      <c r="B214" s="233">
        <f t="shared" si="27"/>
        <v>46266</v>
      </c>
      <c r="C214" s="234">
        <f t="shared" si="34"/>
        <v>0</v>
      </c>
      <c r="D214" s="234">
        <f t="shared" si="28"/>
        <v>5156.1041801143792</v>
      </c>
      <c r="E214" s="235">
        <f t="shared" si="29"/>
        <v>0</v>
      </c>
      <c r="F214" s="234">
        <f t="shared" si="30"/>
        <v>0</v>
      </c>
      <c r="G214" s="234">
        <f t="shared" si="31"/>
        <v>0</v>
      </c>
      <c r="H214" s="234">
        <f t="shared" si="35"/>
        <v>0</v>
      </c>
      <c r="I214" s="234">
        <f t="shared" si="32"/>
        <v>0</v>
      </c>
      <c r="J214" s="232"/>
      <c r="K214" s="232"/>
    </row>
    <row r="215" spans="1:11">
      <c r="A215" s="227">
        <f t="shared" si="33"/>
        <v>201</v>
      </c>
      <c r="B215" s="233">
        <f t="shared" si="27"/>
        <v>46296</v>
      </c>
      <c r="C215" s="234">
        <f t="shared" si="34"/>
        <v>0</v>
      </c>
      <c r="D215" s="234">
        <f t="shared" si="28"/>
        <v>5156.1041801143792</v>
      </c>
      <c r="E215" s="235">
        <f t="shared" si="29"/>
        <v>0</v>
      </c>
      <c r="F215" s="234">
        <f t="shared" si="30"/>
        <v>0</v>
      </c>
      <c r="G215" s="234">
        <f t="shared" si="31"/>
        <v>0</v>
      </c>
      <c r="H215" s="234">
        <f t="shared" si="35"/>
        <v>0</v>
      </c>
      <c r="I215" s="234">
        <f t="shared" si="32"/>
        <v>0</v>
      </c>
      <c r="J215" s="232"/>
      <c r="K215" s="232"/>
    </row>
    <row r="216" spans="1:11">
      <c r="A216" s="227">
        <f t="shared" si="33"/>
        <v>202</v>
      </c>
      <c r="B216" s="233">
        <f t="shared" si="27"/>
        <v>46327</v>
      </c>
      <c r="C216" s="234">
        <f t="shared" si="34"/>
        <v>0</v>
      </c>
      <c r="D216" s="234">
        <f t="shared" si="28"/>
        <v>5156.1041801143792</v>
      </c>
      <c r="E216" s="235">
        <f t="shared" si="29"/>
        <v>0</v>
      </c>
      <c r="F216" s="234">
        <f t="shared" si="30"/>
        <v>0</v>
      </c>
      <c r="G216" s="234">
        <f t="shared" si="31"/>
        <v>0</v>
      </c>
      <c r="H216" s="234">
        <f t="shared" si="35"/>
        <v>0</v>
      </c>
      <c r="I216" s="234">
        <f t="shared" si="32"/>
        <v>0</v>
      </c>
      <c r="J216" s="232"/>
      <c r="K216" s="232"/>
    </row>
    <row r="217" spans="1:11">
      <c r="A217" s="227">
        <f t="shared" si="33"/>
        <v>203</v>
      </c>
      <c r="B217" s="233">
        <f t="shared" si="27"/>
        <v>46357</v>
      </c>
      <c r="C217" s="234">
        <f t="shared" si="34"/>
        <v>0</v>
      </c>
      <c r="D217" s="234">
        <f t="shared" si="28"/>
        <v>5156.1041801143792</v>
      </c>
      <c r="E217" s="235">
        <f t="shared" si="29"/>
        <v>0</v>
      </c>
      <c r="F217" s="234">
        <f t="shared" si="30"/>
        <v>0</v>
      </c>
      <c r="G217" s="234">
        <f t="shared" si="31"/>
        <v>0</v>
      </c>
      <c r="H217" s="234">
        <f t="shared" si="35"/>
        <v>0</v>
      </c>
      <c r="I217" s="234">
        <f t="shared" si="32"/>
        <v>0</v>
      </c>
      <c r="J217" s="232"/>
      <c r="K217" s="232"/>
    </row>
    <row r="218" spans="1:11">
      <c r="A218" s="227">
        <f t="shared" si="33"/>
        <v>204</v>
      </c>
      <c r="B218" s="233">
        <f t="shared" si="27"/>
        <v>46388</v>
      </c>
      <c r="C218" s="234">
        <f t="shared" si="34"/>
        <v>0</v>
      </c>
      <c r="D218" s="234">
        <f t="shared" si="28"/>
        <v>5156.1041801143792</v>
      </c>
      <c r="E218" s="235">
        <f t="shared" si="29"/>
        <v>0</v>
      </c>
      <c r="F218" s="234">
        <f t="shared" si="30"/>
        <v>0</v>
      </c>
      <c r="G218" s="234">
        <f t="shared" si="31"/>
        <v>0</v>
      </c>
      <c r="H218" s="234">
        <f t="shared" si="35"/>
        <v>0</v>
      </c>
      <c r="I218" s="234">
        <f t="shared" si="32"/>
        <v>0</v>
      </c>
      <c r="J218" s="232"/>
      <c r="K218" s="232"/>
    </row>
    <row r="219" spans="1:11">
      <c r="A219" s="227">
        <f t="shared" si="33"/>
        <v>205</v>
      </c>
      <c r="B219" s="233">
        <f t="shared" si="27"/>
        <v>46419</v>
      </c>
      <c r="C219" s="234">
        <f t="shared" si="34"/>
        <v>0</v>
      </c>
      <c r="D219" s="234">
        <f t="shared" si="28"/>
        <v>5156.1041801143792</v>
      </c>
      <c r="E219" s="235">
        <f t="shared" si="29"/>
        <v>0</v>
      </c>
      <c r="F219" s="234">
        <f t="shared" si="30"/>
        <v>0</v>
      </c>
      <c r="G219" s="234">
        <f t="shared" si="31"/>
        <v>0</v>
      </c>
      <c r="H219" s="234">
        <f t="shared" si="35"/>
        <v>0</v>
      </c>
      <c r="I219" s="234">
        <f t="shared" si="32"/>
        <v>0</v>
      </c>
      <c r="J219" s="232"/>
      <c r="K219" s="232"/>
    </row>
    <row r="220" spans="1:11">
      <c r="A220" s="227">
        <f t="shared" si="33"/>
        <v>206</v>
      </c>
      <c r="B220" s="233">
        <f t="shared" si="27"/>
        <v>46447</v>
      </c>
      <c r="C220" s="234">
        <f t="shared" si="34"/>
        <v>0</v>
      </c>
      <c r="D220" s="234">
        <f t="shared" si="28"/>
        <v>5156.1041801143792</v>
      </c>
      <c r="E220" s="235">
        <f t="shared" si="29"/>
        <v>0</v>
      </c>
      <c r="F220" s="234">
        <f t="shared" si="30"/>
        <v>0</v>
      </c>
      <c r="G220" s="234">
        <f t="shared" si="31"/>
        <v>0</v>
      </c>
      <c r="H220" s="234">
        <f t="shared" si="35"/>
        <v>0</v>
      </c>
      <c r="I220" s="234">
        <f t="shared" si="32"/>
        <v>0</v>
      </c>
      <c r="J220" s="232"/>
      <c r="K220" s="232"/>
    </row>
    <row r="221" spans="1:11">
      <c r="A221" s="227">
        <f t="shared" si="33"/>
        <v>207</v>
      </c>
      <c r="B221" s="233">
        <f t="shared" si="27"/>
        <v>46478</v>
      </c>
      <c r="C221" s="234">
        <f t="shared" si="34"/>
        <v>0</v>
      </c>
      <c r="D221" s="234">
        <f t="shared" si="28"/>
        <v>5156.1041801143792</v>
      </c>
      <c r="E221" s="235">
        <f t="shared" si="29"/>
        <v>0</v>
      </c>
      <c r="F221" s="234">
        <f t="shared" si="30"/>
        <v>0</v>
      </c>
      <c r="G221" s="234">
        <f t="shared" si="31"/>
        <v>0</v>
      </c>
      <c r="H221" s="234">
        <f t="shared" si="35"/>
        <v>0</v>
      </c>
      <c r="I221" s="234">
        <f t="shared" si="32"/>
        <v>0</v>
      </c>
      <c r="J221" s="232"/>
      <c r="K221" s="232"/>
    </row>
    <row r="222" spans="1:11">
      <c r="A222" s="227">
        <f t="shared" si="33"/>
        <v>208</v>
      </c>
      <c r="B222" s="233">
        <f t="shared" si="27"/>
        <v>46508</v>
      </c>
      <c r="C222" s="234">
        <f t="shared" si="34"/>
        <v>0</v>
      </c>
      <c r="D222" s="234">
        <f t="shared" si="28"/>
        <v>5156.1041801143792</v>
      </c>
      <c r="E222" s="235">
        <f t="shared" si="29"/>
        <v>0</v>
      </c>
      <c r="F222" s="234">
        <f t="shared" si="30"/>
        <v>0</v>
      </c>
      <c r="G222" s="234">
        <f t="shared" si="31"/>
        <v>0</v>
      </c>
      <c r="H222" s="234">
        <f t="shared" si="35"/>
        <v>0</v>
      </c>
      <c r="I222" s="234">
        <f t="shared" si="32"/>
        <v>0</v>
      </c>
      <c r="J222" s="232"/>
      <c r="K222" s="232"/>
    </row>
    <row r="223" spans="1:11">
      <c r="A223" s="227">
        <f t="shared" si="33"/>
        <v>209</v>
      </c>
      <c r="B223" s="233">
        <f t="shared" si="27"/>
        <v>46539</v>
      </c>
      <c r="C223" s="234">
        <f t="shared" si="34"/>
        <v>0</v>
      </c>
      <c r="D223" s="234">
        <f t="shared" si="28"/>
        <v>5156.1041801143792</v>
      </c>
      <c r="E223" s="235">
        <f t="shared" si="29"/>
        <v>0</v>
      </c>
      <c r="F223" s="234">
        <f t="shared" si="30"/>
        <v>0</v>
      </c>
      <c r="G223" s="234">
        <f t="shared" si="31"/>
        <v>0</v>
      </c>
      <c r="H223" s="234">
        <f t="shared" si="35"/>
        <v>0</v>
      </c>
      <c r="I223" s="234">
        <f t="shared" si="32"/>
        <v>0</v>
      </c>
      <c r="J223" s="232"/>
      <c r="K223" s="232"/>
    </row>
    <row r="224" spans="1:11">
      <c r="A224" s="227">
        <f t="shared" si="33"/>
        <v>210</v>
      </c>
      <c r="B224" s="233">
        <f t="shared" si="27"/>
        <v>46569</v>
      </c>
      <c r="C224" s="234">
        <f t="shared" si="34"/>
        <v>0</v>
      </c>
      <c r="D224" s="234">
        <f t="shared" si="28"/>
        <v>5156.1041801143792</v>
      </c>
      <c r="E224" s="235">
        <f t="shared" si="29"/>
        <v>0</v>
      </c>
      <c r="F224" s="234">
        <f t="shared" si="30"/>
        <v>0</v>
      </c>
      <c r="G224" s="234">
        <f t="shared" si="31"/>
        <v>0</v>
      </c>
      <c r="H224" s="234">
        <f t="shared" si="35"/>
        <v>0</v>
      </c>
      <c r="I224" s="234">
        <f t="shared" si="32"/>
        <v>0</v>
      </c>
      <c r="J224" s="232"/>
      <c r="K224" s="232"/>
    </row>
    <row r="225" spans="1:11">
      <c r="A225" s="227">
        <f t="shared" si="33"/>
        <v>211</v>
      </c>
      <c r="B225" s="233">
        <f t="shared" si="27"/>
        <v>46600</v>
      </c>
      <c r="C225" s="234">
        <f t="shared" si="34"/>
        <v>0</v>
      </c>
      <c r="D225" s="234">
        <f t="shared" si="28"/>
        <v>5156.1041801143792</v>
      </c>
      <c r="E225" s="235">
        <f t="shared" si="29"/>
        <v>0</v>
      </c>
      <c r="F225" s="234">
        <f t="shared" si="30"/>
        <v>0</v>
      </c>
      <c r="G225" s="234">
        <f t="shared" si="31"/>
        <v>0</v>
      </c>
      <c r="H225" s="234">
        <f t="shared" si="35"/>
        <v>0</v>
      </c>
      <c r="I225" s="234">
        <f t="shared" si="32"/>
        <v>0</v>
      </c>
      <c r="J225" s="232"/>
      <c r="K225" s="232"/>
    </row>
    <row r="226" spans="1:11">
      <c r="A226" s="227">
        <f t="shared" si="33"/>
        <v>212</v>
      </c>
      <c r="B226" s="233">
        <f t="shared" si="27"/>
        <v>46631</v>
      </c>
      <c r="C226" s="234">
        <f t="shared" si="34"/>
        <v>0</v>
      </c>
      <c r="D226" s="234">
        <f t="shared" si="28"/>
        <v>5156.1041801143792</v>
      </c>
      <c r="E226" s="235">
        <f t="shared" si="29"/>
        <v>0</v>
      </c>
      <c r="F226" s="234">
        <f t="shared" si="30"/>
        <v>0</v>
      </c>
      <c r="G226" s="234">
        <f t="shared" si="31"/>
        <v>0</v>
      </c>
      <c r="H226" s="234">
        <f t="shared" si="35"/>
        <v>0</v>
      </c>
      <c r="I226" s="234">
        <f t="shared" si="32"/>
        <v>0</v>
      </c>
      <c r="J226" s="232"/>
      <c r="K226" s="232"/>
    </row>
    <row r="227" spans="1:11">
      <c r="A227" s="227">
        <f t="shared" si="33"/>
        <v>213</v>
      </c>
      <c r="B227" s="233">
        <f t="shared" si="27"/>
        <v>46661</v>
      </c>
      <c r="C227" s="234">
        <f t="shared" si="34"/>
        <v>0</v>
      </c>
      <c r="D227" s="234">
        <f t="shared" si="28"/>
        <v>5156.1041801143792</v>
      </c>
      <c r="E227" s="235">
        <f t="shared" si="29"/>
        <v>0</v>
      </c>
      <c r="F227" s="234">
        <f t="shared" si="30"/>
        <v>0</v>
      </c>
      <c r="G227" s="234">
        <f t="shared" si="31"/>
        <v>0</v>
      </c>
      <c r="H227" s="234">
        <f t="shared" si="35"/>
        <v>0</v>
      </c>
      <c r="I227" s="234">
        <f t="shared" si="32"/>
        <v>0</v>
      </c>
      <c r="J227" s="232"/>
      <c r="K227" s="232"/>
    </row>
    <row r="228" spans="1:11">
      <c r="A228" s="227">
        <f t="shared" si="33"/>
        <v>214</v>
      </c>
      <c r="B228" s="233">
        <f t="shared" si="27"/>
        <v>46692</v>
      </c>
      <c r="C228" s="234">
        <f t="shared" si="34"/>
        <v>0</v>
      </c>
      <c r="D228" s="234">
        <f t="shared" si="28"/>
        <v>5156.1041801143792</v>
      </c>
      <c r="E228" s="235">
        <f t="shared" si="29"/>
        <v>0</v>
      </c>
      <c r="F228" s="234">
        <f t="shared" si="30"/>
        <v>0</v>
      </c>
      <c r="G228" s="234">
        <f t="shared" si="31"/>
        <v>0</v>
      </c>
      <c r="H228" s="234">
        <f t="shared" si="35"/>
        <v>0</v>
      </c>
      <c r="I228" s="234">
        <f t="shared" si="32"/>
        <v>0</v>
      </c>
      <c r="J228" s="232"/>
      <c r="K228" s="232"/>
    </row>
    <row r="229" spans="1:11">
      <c r="A229" s="227">
        <f t="shared" si="33"/>
        <v>215</v>
      </c>
      <c r="B229" s="233">
        <f t="shared" si="27"/>
        <v>46722</v>
      </c>
      <c r="C229" s="234">
        <f t="shared" si="34"/>
        <v>0</v>
      </c>
      <c r="D229" s="234">
        <f t="shared" si="28"/>
        <v>5156.1041801143792</v>
      </c>
      <c r="E229" s="235">
        <f t="shared" si="29"/>
        <v>0</v>
      </c>
      <c r="F229" s="234">
        <f t="shared" si="30"/>
        <v>0</v>
      </c>
      <c r="G229" s="234">
        <f t="shared" si="31"/>
        <v>0</v>
      </c>
      <c r="H229" s="234">
        <f t="shared" si="35"/>
        <v>0</v>
      </c>
      <c r="I229" s="234">
        <f t="shared" si="32"/>
        <v>0</v>
      </c>
      <c r="J229" s="232"/>
      <c r="K229" s="232"/>
    </row>
    <row r="230" spans="1:11">
      <c r="A230" s="227">
        <f t="shared" si="33"/>
        <v>216</v>
      </c>
      <c r="B230" s="233">
        <f t="shared" si="27"/>
        <v>46753</v>
      </c>
      <c r="C230" s="234">
        <f t="shared" si="34"/>
        <v>0</v>
      </c>
      <c r="D230" s="234">
        <f t="shared" si="28"/>
        <v>5156.1041801143792</v>
      </c>
      <c r="E230" s="235">
        <f t="shared" si="29"/>
        <v>0</v>
      </c>
      <c r="F230" s="234">
        <f t="shared" si="30"/>
        <v>0</v>
      </c>
      <c r="G230" s="234">
        <f t="shared" si="31"/>
        <v>0</v>
      </c>
      <c r="H230" s="234">
        <f t="shared" si="35"/>
        <v>0</v>
      </c>
      <c r="I230" s="234">
        <f t="shared" si="32"/>
        <v>0</v>
      </c>
      <c r="J230" s="232"/>
      <c r="K230" s="232"/>
    </row>
    <row r="231" spans="1:11">
      <c r="A231" s="227">
        <f t="shared" si="33"/>
        <v>217</v>
      </c>
      <c r="B231" s="233">
        <f t="shared" si="27"/>
        <v>46784</v>
      </c>
      <c r="C231" s="234">
        <f t="shared" si="34"/>
        <v>0</v>
      </c>
      <c r="D231" s="234">
        <f t="shared" si="28"/>
        <v>5156.1041801143792</v>
      </c>
      <c r="E231" s="235">
        <f t="shared" si="29"/>
        <v>0</v>
      </c>
      <c r="F231" s="234">
        <f t="shared" si="30"/>
        <v>0</v>
      </c>
      <c r="G231" s="234">
        <f t="shared" si="31"/>
        <v>0</v>
      </c>
      <c r="H231" s="234">
        <f t="shared" si="35"/>
        <v>0</v>
      </c>
      <c r="I231" s="234">
        <f t="shared" si="32"/>
        <v>0</v>
      </c>
      <c r="J231" s="232"/>
      <c r="K231" s="232"/>
    </row>
    <row r="232" spans="1:11">
      <c r="A232" s="227">
        <f t="shared" si="33"/>
        <v>218</v>
      </c>
      <c r="B232" s="233">
        <f t="shared" si="27"/>
        <v>46813</v>
      </c>
      <c r="C232" s="234">
        <f t="shared" si="34"/>
        <v>0</v>
      </c>
      <c r="D232" s="234">
        <f t="shared" si="28"/>
        <v>5156.1041801143792</v>
      </c>
      <c r="E232" s="235">
        <f t="shared" si="29"/>
        <v>0</v>
      </c>
      <c r="F232" s="234">
        <f t="shared" si="30"/>
        <v>0</v>
      </c>
      <c r="G232" s="234">
        <f t="shared" si="31"/>
        <v>0</v>
      </c>
      <c r="H232" s="234">
        <f t="shared" si="35"/>
        <v>0</v>
      </c>
      <c r="I232" s="234">
        <f t="shared" si="32"/>
        <v>0</v>
      </c>
      <c r="J232" s="232"/>
      <c r="K232" s="232"/>
    </row>
    <row r="233" spans="1:11">
      <c r="A233" s="227">
        <f t="shared" si="33"/>
        <v>219</v>
      </c>
      <c r="B233" s="233">
        <f t="shared" si="27"/>
        <v>46844</v>
      </c>
      <c r="C233" s="234">
        <f t="shared" si="34"/>
        <v>0</v>
      </c>
      <c r="D233" s="234">
        <f t="shared" si="28"/>
        <v>5156.1041801143792</v>
      </c>
      <c r="E233" s="235">
        <f t="shared" si="29"/>
        <v>0</v>
      </c>
      <c r="F233" s="234">
        <f t="shared" si="30"/>
        <v>0</v>
      </c>
      <c r="G233" s="234">
        <f t="shared" si="31"/>
        <v>0</v>
      </c>
      <c r="H233" s="234">
        <f t="shared" si="35"/>
        <v>0</v>
      </c>
      <c r="I233" s="234">
        <f t="shared" si="32"/>
        <v>0</v>
      </c>
      <c r="J233" s="232"/>
      <c r="K233" s="232"/>
    </row>
    <row r="234" spans="1:11">
      <c r="A234" s="227">
        <f t="shared" si="33"/>
        <v>220</v>
      </c>
      <c r="B234" s="233">
        <f t="shared" si="27"/>
        <v>46874</v>
      </c>
      <c r="C234" s="234">
        <f t="shared" si="34"/>
        <v>0</v>
      </c>
      <c r="D234" s="234">
        <f t="shared" si="28"/>
        <v>5156.1041801143792</v>
      </c>
      <c r="E234" s="235">
        <f t="shared" si="29"/>
        <v>0</v>
      </c>
      <c r="F234" s="234">
        <f t="shared" si="30"/>
        <v>0</v>
      </c>
      <c r="G234" s="234">
        <f t="shared" si="31"/>
        <v>0</v>
      </c>
      <c r="H234" s="234">
        <f t="shared" si="35"/>
        <v>0</v>
      </c>
      <c r="I234" s="234">
        <f t="shared" si="32"/>
        <v>0</v>
      </c>
      <c r="J234" s="232"/>
      <c r="K234" s="232"/>
    </row>
    <row r="235" spans="1:11">
      <c r="A235" s="227">
        <f t="shared" si="33"/>
        <v>221</v>
      </c>
      <c r="B235" s="233">
        <f t="shared" si="27"/>
        <v>46905</v>
      </c>
      <c r="C235" s="234">
        <f t="shared" si="34"/>
        <v>0</v>
      </c>
      <c r="D235" s="234">
        <f t="shared" si="28"/>
        <v>5156.1041801143792</v>
      </c>
      <c r="E235" s="235">
        <f t="shared" si="29"/>
        <v>0</v>
      </c>
      <c r="F235" s="234">
        <f t="shared" si="30"/>
        <v>0</v>
      </c>
      <c r="G235" s="234">
        <f t="shared" si="31"/>
        <v>0</v>
      </c>
      <c r="H235" s="234">
        <f t="shared" si="35"/>
        <v>0</v>
      </c>
      <c r="I235" s="234">
        <f t="shared" si="32"/>
        <v>0</v>
      </c>
      <c r="J235" s="232"/>
      <c r="K235" s="232"/>
    </row>
    <row r="236" spans="1:11">
      <c r="A236" s="227">
        <f t="shared" si="33"/>
        <v>222</v>
      </c>
      <c r="B236" s="233">
        <f t="shared" si="27"/>
        <v>46935</v>
      </c>
      <c r="C236" s="234">
        <f t="shared" si="34"/>
        <v>0</v>
      </c>
      <c r="D236" s="234">
        <f t="shared" si="28"/>
        <v>5156.1041801143792</v>
      </c>
      <c r="E236" s="235">
        <f t="shared" si="29"/>
        <v>0</v>
      </c>
      <c r="F236" s="234">
        <f t="shared" si="30"/>
        <v>0</v>
      </c>
      <c r="G236" s="234">
        <f t="shared" si="31"/>
        <v>0</v>
      </c>
      <c r="H236" s="234">
        <f t="shared" si="35"/>
        <v>0</v>
      </c>
      <c r="I236" s="234">
        <f t="shared" si="32"/>
        <v>0</v>
      </c>
      <c r="J236" s="232"/>
      <c r="K236" s="232"/>
    </row>
    <row r="237" spans="1:11">
      <c r="A237" s="227">
        <f t="shared" si="33"/>
        <v>223</v>
      </c>
      <c r="B237" s="233">
        <f t="shared" si="27"/>
        <v>46966</v>
      </c>
      <c r="C237" s="234">
        <f t="shared" si="34"/>
        <v>0</v>
      </c>
      <c r="D237" s="234">
        <f t="shared" si="28"/>
        <v>5156.1041801143792</v>
      </c>
      <c r="E237" s="235">
        <f t="shared" si="29"/>
        <v>0</v>
      </c>
      <c r="F237" s="234">
        <f t="shared" si="30"/>
        <v>0</v>
      </c>
      <c r="G237" s="234">
        <f t="shared" si="31"/>
        <v>0</v>
      </c>
      <c r="H237" s="234">
        <f t="shared" si="35"/>
        <v>0</v>
      </c>
      <c r="I237" s="234">
        <f t="shared" si="32"/>
        <v>0</v>
      </c>
      <c r="J237" s="232"/>
      <c r="K237" s="232"/>
    </row>
    <row r="238" spans="1:11">
      <c r="A238" s="227">
        <f t="shared" si="33"/>
        <v>224</v>
      </c>
      <c r="B238" s="233">
        <f t="shared" si="27"/>
        <v>46997</v>
      </c>
      <c r="C238" s="234">
        <f t="shared" si="34"/>
        <v>0</v>
      </c>
      <c r="D238" s="234">
        <f t="shared" si="28"/>
        <v>5156.1041801143792</v>
      </c>
      <c r="E238" s="235">
        <f t="shared" si="29"/>
        <v>0</v>
      </c>
      <c r="F238" s="234">
        <f t="shared" si="30"/>
        <v>0</v>
      </c>
      <c r="G238" s="234">
        <f t="shared" si="31"/>
        <v>0</v>
      </c>
      <c r="H238" s="234">
        <f t="shared" si="35"/>
        <v>0</v>
      </c>
      <c r="I238" s="234">
        <f t="shared" si="32"/>
        <v>0</v>
      </c>
      <c r="J238" s="232"/>
      <c r="K238" s="232"/>
    </row>
    <row r="239" spans="1:11">
      <c r="A239" s="227">
        <f t="shared" si="33"/>
        <v>225</v>
      </c>
      <c r="B239" s="233">
        <f t="shared" si="27"/>
        <v>47027</v>
      </c>
      <c r="C239" s="234">
        <f t="shared" si="34"/>
        <v>0</v>
      </c>
      <c r="D239" s="234">
        <f t="shared" si="28"/>
        <v>5156.1041801143792</v>
      </c>
      <c r="E239" s="235">
        <f t="shared" si="29"/>
        <v>0</v>
      </c>
      <c r="F239" s="234">
        <f t="shared" si="30"/>
        <v>0</v>
      </c>
      <c r="G239" s="234">
        <f t="shared" si="31"/>
        <v>0</v>
      </c>
      <c r="H239" s="234">
        <f t="shared" si="35"/>
        <v>0</v>
      </c>
      <c r="I239" s="234">
        <f t="shared" si="32"/>
        <v>0</v>
      </c>
      <c r="J239" s="232"/>
      <c r="K239" s="232"/>
    </row>
    <row r="240" spans="1:11">
      <c r="A240" s="227">
        <f t="shared" si="33"/>
        <v>226</v>
      </c>
      <c r="B240" s="233">
        <f t="shared" si="27"/>
        <v>47058</v>
      </c>
      <c r="C240" s="234">
        <f t="shared" si="34"/>
        <v>0</v>
      </c>
      <c r="D240" s="234">
        <f t="shared" si="28"/>
        <v>5156.1041801143792</v>
      </c>
      <c r="E240" s="235">
        <f t="shared" si="29"/>
        <v>0</v>
      </c>
      <c r="F240" s="234">
        <f t="shared" si="30"/>
        <v>0</v>
      </c>
      <c r="G240" s="234">
        <f t="shared" si="31"/>
        <v>0</v>
      </c>
      <c r="H240" s="234">
        <f t="shared" si="35"/>
        <v>0</v>
      </c>
      <c r="I240" s="234">
        <f t="shared" si="32"/>
        <v>0</v>
      </c>
      <c r="J240" s="232"/>
      <c r="K240" s="232"/>
    </row>
    <row r="241" spans="1:11">
      <c r="A241" s="227">
        <f t="shared" si="33"/>
        <v>227</v>
      </c>
      <c r="B241" s="233">
        <f t="shared" si="27"/>
        <v>47088</v>
      </c>
      <c r="C241" s="234">
        <f t="shared" si="34"/>
        <v>0</v>
      </c>
      <c r="D241" s="234">
        <f t="shared" si="28"/>
        <v>5156.1041801143792</v>
      </c>
      <c r="E241" s="235">
        <f t="shared" si="29"/>
        <v>0</v>
      </c>
      <c r="F241" s="234">
        <f t="shared" si="30"/>
        <v>0</v>
      </c>
      <c r="G241" s="234">
        <f t="shared" si="31"/>
        <v>0</v>
      </c>
      <c r="H241" s="234">
        <f t="shared" si="35"/>
        <v>0</v>
      </c>
      <c r="I241" s="234">
        <f t="shared" si="32"/>
        <v>0</v>
      </c>
      <c r="J241" s="232"/>
      <c r="K241" s="232"/>
    </row>
    <row r="242" spans="1:11">
      <c r="A242" s="227">
        <f t="shared" si="33"/>
        <v>228</v>
      </c>
      <c r="B242" s="233">
        <f t="shared" si="27"/>
        <v>47119</v>
      </c>
      <c r="C242" s="234">
        <f t="shared" si="34"/>
        <v>0</v>
      </c>
      <c r="D242" s="234">
        <f t="shared" si="28"/>
        <v>5156.1041801143792</v>
      </c>
      <c r="E242" s="235">
        <f t="shared" si="29"/>
        <v>0</v>
      </c>
      <c r="F242" s="234">
        <f t="shared" si="30"/>
        <v>0</v>
      </c>
      <c r="G242" s="234">
        <f t="shared" si="31"/>
        <v>0</v>
      </c>
      <c r="H242" s="234">
        <f t="shared" si="35"/>
        <v>0</v>
      </c>
      <c r="I242" s="234">
        <f t="shared" si="32"/>
        <v>0</v>
      </c>
      <c r="J242" s="232"/>
      <c r="K242" s="232"/>
    </row>
    <row r="243" spans="1:11">
      <c r="A243" s="227">
        <f t="shared" si="33"/>
        <v>229</v>
      </c>
      <c r="B243" s="233">
        <f t="shared" si="27"/>
        <v>47150</v>
      </c>
      <c r="C243" s="234">
        <f t="shared" si="34"/>
        <v>0</v>
      </c>
      <c r="D243" s="234">
        <f t="shared" si="28"/>
        <v>5156.1041801143792</v>
      </c>
      <c r="E243" s="235">
        <f t="shared" si="29"/>
        <v>0</v>
      </c>
      <c r="F243" s="234">
        <f t="shared" si="30"/>
        <v>0</v>
      </c>
      <c r="G243" s="234">
        <f t="shared" si="31"/>
        <v>0</v>
      </c>
      <c r="H243" s="234">
        <f t="shared" si="35"/>
        <v>0</v>
      </c>
      <c r="I243" s="234">
        <f t="shared" si="32"/>
        <v>0</v>
      </c>
      <c r="J243" s="232"/>
      <c r="K243" s="232"/>
    </row>
    <row r="244" spans="1:11">
      <c r="A244" s="227">
        <f t="shared" si="33"/>
        <v>230</v>
      </c>
      <c r="B244" s="233">
        <f t="shared" si="27"/>
        <v>47178</v>
      </c>
      <c r="C244" s="234">
        <f t="shared" si="34"/>
        <v>0</v>
      </c>
      <c r="D244" s="234">
        <f t="shared" si="28"/>
        <v>5156.1041801143792</v>
      </c>
      <c r="E244" s="235">
        <f t="shared" si="29"/>
        <v>0</v>
      </c>
      <c r="F244" s="234">
        <f t="shared" si="30"/>
        <v>0</v>
      </c>
      <c r="G244" s="234">
        <f t="shared" si="31"/>
        <v>0</v>
      </c>
      <c r="H244" s="234">
        <f t="shared" si="35"/>
        <v>0</v>
      </c>
      <c r="I244" s="234">
        <f t="shared" si="32"/>
        <v>0</v>
      </c>
      <c r="J244" s="232"/>
      <c r="K244" s="232"/>
    </row>
    <row r="245" spans="1:11">
      <c r="A245" s="227">
        <f t="shared" si="33"/>
        <v>231</v>
      </c>
      <c r="B245" s="233">
        <f t="shared" si="27"/>
        <v>47209</v>
      </c>
      <c r="C245" s="234">
        <f t="shared" si="34"/>
        <v>0</v>
      </c>
      <c r="D245" s="234">
        <f t="shared" si="28"/>
        <v>5156.1041801143792</v>
      </c>
      <c r="E245" s="235">
        <f t="shared" si="29"/>
        <v>0</v>
      </c>
      <c r="F245" s="234">
        <f t="shared" si="30"/>
        <v>0</v>
      </c>
      <c r="G245" s="234">
        <f t="shared" si="31"/>
        <v>0</v>
      </c>
      <c r="H245" s="234">
        <f t="shared" si="35"/>
        <v>0</v>
      </c>
      <c r="I245" s="234">
        <f t="shared" si="32"/>
        <v>0</v>
      </c>
      <c r="J245" s="232"/>
      <c r="K245" s="232"/>
    </row>
    <row r="246" spans="1:11">
      <c r="A246" s="227">
        <f t="shared" si="33"/>
        <v>232</v>
      </c>
      <c r="B246" s="233">
        <f t="shared" si="27"/>
        <v>47239</v>
      </c>
      <c r="C246" s="234">
        <f t="shared" si="34"/>
        <v>0</v>
      </c>
      <c r="D246" s="234">
        <f t="shared" si="28"/>
        <v>5156.1041801143792</v>
      </c>
      <c r="E246" s="235">
        <f t="shared" si="29"/>
        <v>0</v>
      </c>
      <c r="F246" s="234">
        <f t="shared" si="30"/>
        <v>0</v>
      </c>
      <c r="G246" s="234">
        <f t="shared" si="31"/>
        <v>0</v>
      </c>
      <c r="H246" s="234">
        <f t="shared" si="35"/>
        <v>0</v>
      </c>
      <c r="I246" s="234">
        <f t="shared" si="32"/>
        <v>0</v>
      </c>
      <c r="J246" s="232"/>
      <c r="K246" s="232"/>
    </row>
    <row r="247" spans="1:11">
      <c r="A247" s="227">
        <f t="shared" si="33"/>
        <v>233</v>
      </c>
      <c r="B247" s="233">
        <f t="shared" si="27"/>
        <v>47270</v>
      </c>
      <c r="C247" s="234">
        <f t="shared" si="34"/>
        <v>0</v>
      </c>
      <c r="D247" s="234">
        <f t="shared" si="28"/>
        <v>5156.1041801143792</v>
      </c>
      <c r="E247" s="235">
        <f t="shared" si="29"/>
        <v>0</v>
      </c>
      <c r="F247" s="234">
        <f t="shared" si="30"/>
        <v>0</v>
      </c>
      <c r="G247" s="234">
        <f t="shared" si="31"/>
        <v>0</v>
      </c>
      <c r="H247" s="234">
        <f t="shared" si="35"/>
        <v>0</v>
      </c>
      <c r="I247" s="234">
        <f t="shared" si="32"/>
        <v>0</v>
      </c>
      <c r="J247" s="232"/>
      <c r="K247" s="232"/>
    </row>
    <row r="248" spans="1:11">
      <c r="A248" s="227">
        <f t="shared" si="33"/>
        <v>234</v>
      </c>
      <c r="B248" s="233">
        <f t="shared" si="27"/>
        <v>47300</v>
      </c>
      <c r="C248" s="234">
        <f t="shared" si="34"/>
        <v>0</v>
      </c>
      <c r="D248" s="234">
        <f t="shared" si="28"/>
        <v>5156.1041801143792</v>
      </c>
      <c r="E248" s="235">
        <f t="shared" si="29"/>
        <v>0</v>
      </c>
      <c r="F248" s="234">
        <f t="shared" si="30"/>
        <v>0</v>
      </c>
      <c r="G248" s="234">
        <f t="shared" si="31"/>
        <v>0</v>
      </c>
      <c r="H248" s="234">
        <f t="shared" si="35"/>
        <v>0</v>
      </c>
      <c r="I248" s="234">
        <f t="shared" si="32"/>
        <v>0</v>
      </c>
      <c r="J248" s="232"/>
      <c r="K248" s="232"/>
    </row>
    <row r="249" spans="1:11">
      <c r="A249" s="227">
        <f t="shared" si="33"/>
        <v>235</v>
      </c>
      <c r="B249" s="233">
        <f t="shared" si="27"/>
        <v>47331</v>
      </c>
      <c r="C249" s="234">
        <f t="shared" si="34"/>
        <v>0</v>
      </c>
      <c r="D249" s="234">
        <f t="shared" si="28"/>
        <v>5156.1041801143792</v>
      </c>
      <c r="E249" s="235">
        <f t="shared" si="29"/>
        <v>0</v>
      </c>
      <c r="F249" s="234">
        <f t="shared" si="30"/>
        <v>0</v>
      </c>
      <c r="G249" s="234">
        <f t="shared" si="31"/>
        <v>0</v>
      </c>
      <c r="H249" s="234">
        <f t="shared" si="35"/>
        <v>0</v>
      </c>
      <c r="I249" s="234">
        <f t="shared" si="32"/>
        <v>0</v>
      </c>
      <c r="J249" s="232"/>
      <c r="K249" s="232"/>
    </row>
    <row r="250" spans="1:11">
      <c r="A250" s="227">
        <f t="shared" si="33"/>
        <v>236</v>
      </c>
      <c r="B250" s="233">
        <f t="shared" si="27"/>
        <v>47362</v>
      </c>
      <c r="C250" s="234">
        <f t="shared" si="34"/>
        <v>0</v>
      </c>
      <c r="D250" s="234">
        <f t="shared" si="28"/>
        <v>5156.1041801143792</v>
      </c>
      <c r="E250" s="235">
        <f t="shared" si="29"/>
        <v>0</v>
      </c>
      <c r="F250" s="234">
        <f t="shared" si="30"/>
        <v>0</v>
      </c>
      <c r="G250" s="234">
        <f t="shared" si="31"/>
        <v>0</v>
      </c>
      <c r="H250" s="234">
        <f t="shared" si="35"/>
        <v>0</v>
      </c>
      <c r="I250" s="234">
        <f t="shared" si="32"/>
        <v>0</v>
      </c>
      <c r="J250" s="232"/>
      <c r="K250" s="232"/>
    </row>
    <row r="251" spans="1:11">
      <c r="A251" s="227">
        <f t="shared" si="33"/>
        <v>237</v>
      </c>
      <c r="B251" s="233">
        <f t="shared" si="27"/>
        <v>47392</v>
      </c>
      <c r="C251" s="234">
        <f t="shared" si="34"/>
        <v>0</v>
      </c>
      <c r="D251" s="234">
        <f t="shared" si="28"/>
        <v>5156.1041801143792</v>
      </c>
      <c r="E251" s="235">
        <f t="shared" si="29"/>
        <v>0</v>
      </c>
      <c r="F251" s="234">
        <f t="shared" si="30"/>
        <v>0</v>
      </c>
      <c r="G251" s="234">
        <f t="shared" si="31"/>
        <v>0</v>
      </c>
      <c r="H251" s="234">
        <f t="shared" si="35"/>
        <v>0</v>
      </c>
      <c r="I251" s="234">
        <f t="shared" si="32"/>
        <v>0</v>
      </c>
      <c r="J251" s="232"/>
      <c r="K251" s="232"/>
    </row>
    <row r="252" spans="1:11">
      <c r="A252" s="227">
        <f t="shared" si="33"/>
        <v>238</v>
      </c>
      <c r="B252" s="233">
        <f t="shared" si="27"/>
        <v>47423</v>
      </c>
      <c r="C252" s="234">
        <f t="shared" si="34"/>
        <v>0</v>
      </c>
      <c r="D252" s="234">
        <f t="shared" si="28"/>
        <v>5156.1041801143792</v>
      </c>
      <c r="E252" s="235">
        <f t="shared" si="29"/>
        <v>0</v>
      </c>
      <c r="F252" s="234">
        <f t="shared" si="30"/>
        <v>0</v>
      </c>
      <c r="G252" s="234">
        <f t="shared" si="31"/>
        <v>0</v>
      </c>
      <c r="H252" s="234">
        <f t="shared" si="35"/>
        <v>0</v>
      </c>
      <c r="I252" s="234">
        <f t="shared" si="32"/>
        <v>0</v>
      </c>
      <c r="J252" s="232"/>
      <c r="K252" s="232"/>
    </row>
    <row r="253" spans="1:11">
      <c r="A253" s="227">
        <f t="shared" si="33"/>
        <v>239</v>
      </c>
      <c r="B253" s="233">
        <f t="shared" si="27"/>
        <v>47453</v>
      </c>
      <c r="C253" s="234">
        <f t="shared" si="34"/>
        <v>0</v>
      </c>
      <c r="D253" s="234">
        <f t="shared" si="28"/>
        <v>5156.1041801143792</v>
      </c>
      <c r="E253" s="235">
        <f t="shared" si="29"/>
        <v>0</v>
      </c>
      <c r="F253" s="234">
        <f t="shared" si="30"/>
        <v>0</v>
      </c>
      <c r="G253" s="234">
        <f t="shared" si="31"/>
        <v>0</v>
      </c>
      <c r="H253" s="234">
        <f t="shared" si="35"/>
        <v>0</v>
      </c>
      <c r="I253" s="234">
        <f t="shared" si="32"/>
        <v>0</v>
      </c>
      <c r="J253" s="232"/>
      <c r="K253" s="232"/>
    </row>
    <row r="254" spans="1:11">
      <c r="A254" s="227">
        <f t="shared" si="33"/>
        <v>240</v>
      </c>
      <c r="B254" s="233">
        <f t="shared" si="27"/>
        <v>47484</v>
      </c>
      <c r="C254" s="234">
        <f t="shared" si="34"/>
        <v>0</v>
      </c>
      <c r="D254" s="234">
        <f t="shared" si="28"/>
        <v>5156.1041801143792</v>
      </c>
      <c r="E254" s="235">
        <f t="shared" si="29"/>
        <v>0</v>
      </c>
      <c r="F254" s="234">
        <f t="shared" si="30"/>
        <v>0</v>
      </c>
      <c r="G254" s="234">
        <f t="shared" si="31"/>
        <v>0</v>
      </c>
      <c r="H254" s="234">
        <f t="shared" si="35"/>
        <v>0</v>
      </c>
      <c r="I254" s="234">
        <f t="shared" si="32"/>
        <v>0</v>
      </c>
      <c r="J254" s="232"/>
      <c r="K254" s="232"/>
    </row>
    <row r="255" spans="1:11">
      <c r="A255" s="227">
        <f t="shared" si="33"/>
        <v>241</v>
      </c>
      <c r="B255" s="233">
        <f t="shared" si="27"/>
        <v>47515</v>
      </c>
      <c r="C255" s="234">
        <f t="shared" si="34"/>
        <v>0</v>
      </c>
      <c r="D255" s="234">
        <f t="shared" si="28"/>
        <v>5156.1041801143792</v>
      </c>
      <c r="E255" s="235">
        <f t="shared" si="29"/>
        <v>0</v>
      </c>
      <c r="F255" s="234">
        <f t="shared" si="30"/>
        <v>0</v>
      </c>
      <c r="G255" s="234">
        <f t="shared" si="31"/>
        <v>0</v>
      </c>
      <c r="H255" s="234">
        <f t="shared" si="35"/>
        <v>0</v>
      </c>
      <c r="I255" s="234">
        <f t="shared" si="32"/>
        <v>0</v>
      </c>
      <c r="J255" s="232"/>
      <c r="K255" s="232"/>
    </row>
    <row r="256" spans="1:11">
      <c r="A256" s="227">
        <f t="shared" si="33"/>
        <v>242</v>
      </c>
      <c r="B256" s="233">
        <f t="shared" si="27"/>
        <v>47543</v>
      </c>
      <c r="C256" s="234">
        <f t="shared" si="34"/>
        <v>0</v>
      </c>
      <c r="D256" s="234">
        <f t="shared" si="28"/>
        <v>5156.1041801143792</v>
      </c>
      <c r="E256" s="235">
        <f t="shared" si="29"/>
        <v>0</v>
      </c>
      <c r="F256" s="234">
        <f t="shared" si="30"/>
        <v>0</v>
      </c>
      <c r="G256" s="234">
        <f t="shared" si="31"/>
        <v>0</v>
      </c>
      <c r="H256" s="234">
        <f t="shared" si="35"/>
        <v>0</v>
      </c>
      <c r="I256" s="234">
        <f t="shared" si="32"/>
        <v>0</v>
      </c>
      <c r="J256" s="232"/>
      <c r="K256" s="232"/>
    </row>
    <row r="257" spans="1:11">
      <c r="A257" s="227">
        <f t="shared" si="33"/>
        <v>243</v>
      </c>
      <c r="B257" s="233">
        <f t="shared" si="27"/>
        <v>47574</v>
      </c>
      <c r="C257" s="234">
        <f t="shared" si="34"/>
        <v>0</v>
      </c>
      <c r="D257" s="234">
        <f t="shared" si="28"/>
        <v>5156.1041801143792</v>
      </c>
      <c r="E257" s="235">
        <f t="shared" si="29"/>
        <v>0</v>
      </c>
      <c r="F257" s="234">
        <f t="shared" si="30"/>
        <v>0</v>
      </c>
      <c r="G257" s="234">
        <f t="shared" si="31"/>
        <v>0</v>
      </c>
      <c r="H257" s="234">
        <f t="shared" si="35"/>
        <v>0</v>
      </c>
      <c r="I257" s="234">
        <f t="shared" si="32"/>
        <v>0</v>
      </c>
      <c r="J257" s="232"/>
      <c r="K257" s="232"/>
    </row>
    <row r="258" spans="1:11">
      <c r="A258" s="227">
        <f t="shared" si="33"/>
        <v>244</v>
      </c>
      <c r="B258" s="233">
        <f t="shared" si="27"/>
        <v>47604</v>
      </c>
      <c r="C258" s="234">
        <f t="shared" si="34"/>
        <v>0</v>
      </c>
      <c r="D258" s="234">
        <f t="shared" si="28"/>
        <v>5156.1041801143792</v>
      </c>
      <c r="E258" s="235">
        <f t="shared" si="29"/>
        <v>0</v>
      </c>
      <c r="F258" s="234">
        <f t="shared" si="30"/>
        <v>0</v>
      </c>
      <c r="G258" s="234">
        <f t="shared" si="31"/>
        <v>0</v>
      </c>
      <c r="H258" s="234">
        <f t="shared" si="35"/>
        <v>0</v>
      </c>
      <c r="I258" s="234">
        <f t="shared" si="32"/>
        <v>0</v>
      </c>
      <c r="J258" s="232"/>
      <c r="K258" s="232"/>
    </row>
    <row r="259" spans="1:11">
      <c r="A259" s="227">
        <f t="shared" si="33"/>
        <v>245</v>
      </c>
      <c r="B259" s="233">
        <f t="shared" si="27"/>
        <v>47635</v>
      </c>
      <c r="C259" s="234">
        <f t="shared" si="34"/>
        <v>0</v>
      </c>
      <c r="D259" s="234">
        <f t="shared" si="28"/>
        <v>5156.1041801143792</v>
      </c>
      <c r="E259" s="235">
        <f t="shared" si="29"/>
        <v>0</v>
      </c>
      <c r="F259" s="234">
        <f t="shared" si="30"/>
        <v>0</v>
      </c>
      <c r="G259" s="234">
        <f t="shared" si="31"/>
        <v>0</v>
      </c>
      <c r="H259" s="234">
        <f t="shared" si="35"/>
        <v>0</v>
      </c>
      <c r="I259" s="234">
        <f t="shared" si="32"/>
        <v>0</v>
      </c>
      <c r="J259" s="232"/>
      <c r="K259" s="232"/>
    </row>
    <row r="260" spans="1:11">
      <c r="A260" s="227">
        <f t="shared" si="33"/>
        <v>246</v>
      </c>
      <c r="B260" s="233">
        <f t="shared" si="27"/>
        <v>47665</v>
      </c>
      <c r="C260" s="234">
        <f t="shared" si="34"/>
        <v>0</v>
      </c>
      <c r="D260" s="234">
        <f t="shared" si="28"/>
        <v>5156.1041801143792</v>
      </c>
      <c r="E260" s="235">
        <f t="shared" si="29"/>
        <v>0</v>
      </c>
      <c r="F260" s="234">
        <f t="shared" si="30"/>
        <v>0</v>
      </c>
      <c r="G260" s="234">
        <f t="shared" si="31"/>
        <v>0</v>
      </c>
      <c r="H260" s="234">
        <f t="shared" si="35"/>
        <v>0</v>
      </c>
      <c r="I260" s="234">
        <f t="shared" si="32"/>
        <v>0</v>
      </c>
      <c r="J260" s="232"/>
      <c r="K260" s="232"/>
    </row>
    <row r="261" spans="1:11">
      <c r="A261" s="227">
        <f t="shared" si="33"/>
        <v>247</v>
      </c>
      <c r="B261" s="233">
        <f t="shared" si="27"/>
        <v>47696</v>
      </c>
      <c r="C261" s="234">
        <f t="shared" si="34"/>
        <v>0</v>
      </c>
      <c r="D261" s="234">
        <f t="shared" si="28"/>
        <v>5156.1041801143792</v>
      </c>
      <c r="E261" s="235">
        <f t="shared" si="29"/>
        <v>0</v>
      </c>
      <c r="F261" s="234">
        <f t="shared" si="30"/>
        <v>0</v>
      </c>
      <c r="G261" s="234">
        <f t="shared" si="31"/>
        <v>0</v>
      </c>
      <c r="H261" s="234">
        <f t="shared" si="35"/>
        <v>0</v>
      </c>
      <c r="I261" s="234">
        <f t="shared" si="32"/>
        <v>0</v>
      </c>
      <c r="J261" s="232"/>
      <c r="K261" s="232"/>
    </row>
    <row r="262" spans="1:11">
      <c r="A262" s="227">
        <f t="shared" si="33"/>
        <v>248</v>
      </c>
      <c r="B262" s="233">
        <f t="shared" si="27"/>
        <v>47727</v>
      </c>
      <c r="C262" s="234">
        <f t="shared" si="34"/>
        <v>0</v>
      </c>
      <c r="D262" s="234">
        <f t="shared" si="28"/>
        <v>5156.1041801143792</v>
      </c>
      <c r="E262" s="235">
        <f t="shared" si="29"/>
        <v>0</v>
      </c>
      <c r="F262" s="234">
        <f t="shared" si="30"/>
        <v>0</v>
      </c>
      <c r="G262" s="234">
        <f t="shared" si="31"/>
        <v>0</v>
      </c>
      <c r="H262" s="234">
        <f t="shared" si="35"/>
        <v>0</v>
      </c>
      <c r="I262" s="234">
        <f t="shared" si="32"/>
        <v>0</v>
      </c>
      <c r="J262" s="232"/>
      <c r="K262" s="232"/>
    </row>
    <row r="263" spans="1:11">
      <c r="A263" s="227">
        <f t="shared" si="33"/>
        <v>249</v>
      </c>
      <c r="B263" s="233">
        <f t="shared" si="27"/>
        <v>47757</v>
      </c>
      <c r="C263" s="234">
        <f t="shared" si="34"/>
        <v>0</v>
      </c>
      <c r="D263" s="234">
        <f t="shared" si="28"/>
        <v>5156.1041801143792</v>
      </c>
      <c r="E263" s="235">
        <f t="shared" si="29"/>
        <v>0</v>
      </c>
      <c r="F263" s="234">
        <f t="shared" si="30"/>
        <v>0</v>
      </c>
      <c r="G263" s="234">
        <f t="shared" si="31"/>
        <v>0</v>
      </c>
      <c r="H263" s="234">
        <f t="shared" si="35"/>
        <v>0</v>
      </c>
      <c r="I263" s="234">
        <f t="shared" si="32"/>
        <v>0</v>
      </c>
      <c r="J263" s="232"/>
      <c r="K263" s="232"/>
    </row>
    <row r="264" spans="1:11">
      <c r="A264" s="227">
        <f t="shared" si="33"/>
        <v>250</v>
      </c>
      <c r="B264" s="233">
        <f t="shared" si="27"/>
        <v>47788</v>
      </c>
      <c r="C264" s="234">
        <f t="shared" si="34"/>
        <v>0</v>
      </c>
      <c r="D264" s="234">
        <f t="shared" si="28"/>
        <v>5156.1041801143792</v>
      </c>
      <c r="E264" s="235">
        <f t="shared" si="29"/>
        <v>0</v>
      </c>
      <c r="F264" s="234">
        <f t="shared" si="30"/>
        <v>0</v>
      </c>
      <c r="G264" s="234">
        <f t="shared" si="31"/>
        <v>0</v>
      </c>
      <c r="H264" s="234">
        <f t="shared" si="35"/>
        <v>0</v>
      </c>
      <c r="I264" s="234">
        <f t="shared" si="32"/>
        <v>0</v>
      </c>
      <c r="J264" s="232"/>
      <c r="K264" s="232"/>
    </row>
    <row r="265" spans="1:11">
      <c r="A265" s="227">
        <f t="shared" si="33"/>
        <v>251</v>
      </c>
      <c r="B265" s="233">
        <f t="shared" si="27"/>
        <v>47818</v>
      </c>
      <c r="C265" s="234">
        <f t="shared" si="34"/>
        <v>0</v>
      </c>
      <c r="D265" s="234">
        <f t="shared" si="28"/>
        <v>5156.1041801143792</v>
      </c>
      <c r="E265" s="235">
        <f t="shared" si="29"/>
        <v>0</v>
      </c>
      <c r="F265" s="234">
        <f t="shared" si="30"/>
        <v>0</v>
      </c>
      <c r="G265" s="234">
        <f t="shared" si="31"/>
        <v>0</v>
      </c>
      <c r="H265" s="234">
        <f t="shared" si="35"/>
        <v>0</v>
      </c>
      <c r="I265" s="234">
        <f t="shared" si="32"/>
        <v>0</v>
      </c>
      <c r="J265" s="232"/>
      <c r="K265" s="232"/>
    </row>
    <row r="266" spans="1:11">
      <c r="A266" s="227">
        <f t="shared" si="33"/>
        <v>252</v>
      </c>
      <c r="B266" s="233">
        <f t="shared" si="27"/>
        <v>47849</v>
      </c>
      <c r="C266" s="234">
        <f t="shared" si="34"/>
        <v>0</v>
      </c>
      <c r="D266" s="234">
        <f t="shared" si="28"/>
        <v>5156.1041801143792</v>
      </c>
      <c r="E266" s="235">
        <f t="shared" si="29"/>
        <v>0</v>
      </c>
      <c r="F266" s="234">
        <f t="shared" si="30"/>
        <v>0</v>
      </c>
      <c r="G266" s="234">
        <f t="shared" si="31"/>
        <v>0</v>
      </c>
      <c r="H266" s="234">
        <f t="shared" si="35"/>
        <v>0</v>
      </c>
      <c r="I266" s="234">
        <f t="shared" si="32"/>
        <v>0</v>
      </c>
      <c r="J266" s="232"/>
      <c r="K266" s="232"/>
    </row>
    <row r="267" spans="1:11">
      <c r="A267" s="227">
        <f t="shared" si="33"/>
        <v>253</v>
      </c>
      <c r="B267" s="233">
        <f t="shared" si="27"/>
        <v>47880</v>
      </c>
      <c r="C267" s="234">
        <f t="shared" si="34"/>
        <v>0</v>
      </c>
      <c r="D267" s="234">
        <f t="shared" si="28"/>
        <v>5156.1041801143792</v>
      </c>
      <c r="E267" s="235">
        <f t="shared" si="29"/>
        <v>0</v>
      </c>
      <c r="F267" s="234">
        <f t="shared" si="30"/>
        <v>0</v>
      </c>
      <c r="G267" s="234">
        <f t="shared" si="31"/>
        <v>0</v>
      </c>
      <c r="H267" s="234">
        <f t="shared" si="35"/>
        <v>0</v>
      </c>
      <c r="I267" s="234">
        <f t="shared" si="32"/>
        <v>0</v>
      </c>
      <c r="J267" s="232"/>
      <c r="K267" s="232"/>
    </row>
    <row r="268" spans="1:11">
      <c r="A268" s="227">
        <f t="shared" si="33"/>
        <v>254</v>
      </c>
      <c r="B268" s="233">
        <f t="shared" si="27"/>
        <v>47908</v>
      </c>
      <c r="C268" s="234">
        <f t="shared" si="34"/>
        <v>0</v>
      </c>
      <c r="D268" s="234">
        <f t="shared" si="28"/>
        <v>5156.1041801143792</v>
      </c>
      <c r="E268" s="235">
        <f t="shared" si="29"/>
        <v>0</v>
      </c>
      <c r="F268" s="234">
        <f t="shared" si="30"/>
        <v>0</v>
      </c>
      <c r="G268" s="234">
        <f t="shared" si="31"/>
        <v>0</v>
      </c>
      <c r="H268" s="234">
        <f t="shared" si="35"/>
        <v>0</v>
      </c>
      <c r="I268" s="234">
        <f t="shared" si="32"/>
        <v>0</v>
      </c>
      <c r="J268" s="232"/>
      <c r="K268" s="232"/>
    </row>
    <row r="269" spans="1:11">
      <c r="A269" s="227">
        <f t="shared" si="33"/>
        <v>255</v>
      </c>
      <c r="B269" s="233">
        <f t="shared" si="27"/>
        <v>47939</v>
      </c>
      <c r="C269" s="234">
        <f t="shared" si="34"/>
        <v>0</v>
      </c>
      <c r="D269" s="234">
        <f t="shared" si="28"/>
        <v>5156.1041801143792</v>
      </c>
      <c r="E269" s="235">
        <f t="shared" si="29"/>
        <v>0</v>
      </c>
      <c r="F269" s="234">
        <f t="shared" si="30"/>
        <v>0</v>
      </c>
      <c r="G269" s="234">
        <f t="shared" si="31"/>
        <v>0</v>
      </c>
      <c r="H269" s="234">
        <f t="shared" si="35"/>
        <v>0</v>
      </c>
      <c r="I269" s="234">
        <f t="shared" si="32"/>
        <v>0</v>
      </c>
      <c r="J269" s="232"/>
      <c r="K269" s="232"/>
    </row>
    <row r="270" spans="1:11">
      <c r="A270" s="227">
        <f t="shared" si="33"/>
        <v>256</v>
      </c>
      <c r="B270" s="233">
        <f t="shared" si="27"/>
        <v>47969</v>
      </c>
      <c r="C270" s="234">
        <f t="shared" si="34"/>
        <v>0</v>
      </c>
      <c r="D270" s="234">
        <f t="shared" si="28"/>
        <v>5156.1041801143792</v>
      </c>
      <c r="E270" s="235">
        <f t="shared" si="29"/>
        <v>0</v>
      </c>
      <c r="F270" s="234">
        <f t="shared" si="30"/>
        <v>0</v>
      </c>
      <c r="G270" s="234">
        <f t="shared" si="31"/>
        <v>0</v>
      </c>
      <c r="H270" s="234">
        <f t="shared" si="35"/>
        <v>0</v>
      </c>
      <c r="I270" s="234">
        <f t="shared" si="32"/>
        <v>0</v>
      </c>
      <c r="J270" s="232"/>
      <c r="K270" s="232"/>
    </row>
    <row r="271" spans="1:11">
      <c r="A271" s="227">
        <f t="shared" si="33"/>
        <v>257</v>
      </c>
      <c r="B271" s="233">
        <f t="shared" ref="B271:B334" si="36">IF(Pay_Num&lt;&gt;"",DATE(YEAR(Loan_Start),MONTH(Loan_Start)+(Pay_Num)*12/Num_Pmt_Per_Year,DAY(Loan_Start)),"")</f>
        <v>48000</v>
      </c>
      <c r="C271" s="234">
        <f t="shared" si="34"/>
        <v>0</v>
      </c>
      <c r="D271" s="234">
        <f t="shared" ref="D271:D334" si="37">IF(Pay_Num&lt;&gt;"",Scheduled_Monthly_Payment,"")</f>
        <v>5156.1041801143792</v>
      </c>
      <c r="E271" s="235">
        <f t="shared" ref="E271:E334" si="38">IF(AND(Pay_Num&lt;&gt;"",Sched_Pay+Scheduled_Extra_Payments&lt;Beg_Bal),Scheduled_Extra_Payments,IF(AND(Pay_Num&lt;&gt;"",Beg_Bal-Sched_Pay&gt;0),Beg_Bal-Sched_Pay,IF(Pay_Num&lt;&gt;"",0,"")))</f>
        <v>0</v>
      </c>
      <c r="F271" s="234">
        <f t="shared" ref="F271:F334" si="39">IF(AND(Pay_Num&lt;&gt;"",Sched_Pay+Extra_Pay&lt;Beg_Bal),Sched_Pay+Extra_Pay,IF(Pay_Num&lt;&gt;"",Beg_Bal,""))</f>
        <v>0</v>
      </c>
      <c r="G271" s="234">
        <f t="shared" ref="G271:G334" si="40">IF(Pay_Num&lt;&gt;"",Total_Pay-Int,"")</f>
        <v>0</v>
      </c>
      <c r="H271" s="234">
        <f t="shared" si="35"/>
        <v>0</v>
      </c>
      <c r="I271" s="234">
        <f t="shared" ref="I271:I334" si="41">IF(AND(Pay_Num&lt;&gt;"",Sched_Pay+Extra_Pay&lt;Beg_Bal),Beg_Bal-Princ,IF(Pay_Num&lt;&gt;"",0,""))</f>
        <v>0</v>
      </c>
      <c r="J271" s="232"/>
      <c r="K271" s="232"/>
    </row>
    <row r="272" spans="1:11">
      <c r="A272" s="227">
        <f t="shared" ref="A272:A335" si="42">IF(Values_Entered,A271+1,"")</f>
        <v>258</v>
      </c>
      <c r="B272" s="233">
        <f t="shared" si="36"/>
        <v>48030</v>
      </c>
      <c r="C272" s="234">
        <f t="shared" ref="C272:C335" si="43">IF(Pay_Num&lt;&gt;"",I271,"")</f>
        <v>0</v>
      </c>
      <c r="D272" s="234">
        <f t="shared" si="37"/>
        <v>5156.1041801143792</v>
      </c>
      <c r="E272" s="235">
        <f t="shared" si="38"/>
        <v>0</v>
      </c>
      <c r="F272" s="234">
        <f t="shared" si="39"/>
        <v>0</v>
      </c>
      <c r="G272" s="234">
        <f t="shared" si="40"/>
        <v>0</v>
      </c>
      <c r="H272" s="234">
        <f t="shared" ref="H272:H335" si="44">IF(Pay_Num&lt;&gt;"",Beg_Bal*Interest_Rate/Num_Pmt_Per_Year,"")</f>
        <v>0</v>
      </c>
      <c r="I272" s="234">
        <f t="shared" si="41"/>
        <v>0</v>
      </c>
      <c r="J272" s="232"/>
      <c r="K272" s="232"/>
    </row>
    <row r="273" spans="1:11">
      <c r="A273" s="227">
        <f t="shared" si="42"/>
        <v>259</v>
      </c>
      <c r="B273" s="233">
        <f t="shared" si="36"/>
        <v>48061</v>
      </c>
      <c r="C273" s="234">
        <f t="shared" si="43"/>
        <v>0</v>
      </c>
      <c r="D273" s="234">
        <f t="shared" si="37"/>
        <v>5156.1041801143792</v>
      </c>
      <c r="E273" s="235">
        <f t="shared" si="38"/>
        <v>0</v>
      </c>
      <c r="F273" s="234">
        <f t="shared" si="39"/>
        <v>0</v>
      </c>
      <c r="G273" s="234">
        <f t="shared" si="40"/>
        <v>0</v>
      </c>
      <c r="H273" s="234">
        <f t="shared" si="44"/>
        <v>0</v>
      </c>
      <c r="I273" s="234">
        <f t="shared" si="41"/>
        <v>0</v>
      </c>
      <c r="J273" s="232"/>
      <c r="K273" s="232"/>
    </row>
    <row r="274" spans="1:11">
      <c r="A274" s="227">
        <f t="shared" si="42"/>
        <v>260</v>
      </c>
      <c r="B274" s="233">
        <f t="shared" si="36"/>
        <v>48092</v>
      </c>
      <c r="C274" s="234">
        <f t="shared" si="43"/>
        <v>0</v>
      </c>
      <c r="D274" s="234">
        <f t="shared" si="37"/>
        <v>5156.1041801143792</v>
      </c>
      <c r="E274" s="235">
        <f t="shared" si="38"/>
        <v>0</v>
      </c>
      <c r="F274" s="234">
        <f t="shared" si="39"/>
        <v>0</v>
      </c>
      <c r="G274" s="234">
        <f t="shared" si="40"/>
        <v>0</v>
      </c>
      <c r="H274" s="234">
        <f t="shared" si="44"/>
        <v>0</v>
      </c>
      <c r="I274" s="234">
        <f t="shared" si="41"/>
        <v>0</v>
      </c>
      <c r="J274" s="232"/>
      <c r="K274" s="232"/>
    </row>
    <row r="275" spans="1:11">
      <c r="A275" s="227">
        <f t="shared" si="42"/>
        <v>261</v>
      </c>
      <c r="B275" s="233">
        <f t="shared" si="36"/>
        <v>48122</v>
      </c>
      <c r="C275" s="234">
        <f t="shared" si="43"/>
        <v>0</v>
      </c>
      <c r="D275" s="234">
        <f t="shared" si="37"/>
        <v>5156.1041801143792</v>
      </c>
      <c r="E275" s="235">
        <f t="shared" si="38"/>
        <v>0</v>
      </c>
      <c r="F275" s="234">
        <f t="shared" si="39"/>
        <v>0</v>
      </c>
      <c r="G275" s="234">
        <f t="shared" si="40"/>
        <v>0</v>
      </c>
      <c r="H275" s="234">
        <f t="shared" si="44"/>
        <v>0</v>
      </c>
      <c r="I275" s="234">
        <f t="shared" si="41"/>
        <v>0</v>
      </c>
      <c r="J275" s="232"/>
      <c r="K275" s="232"/>
    </row>
    <row r="276" spans="1:11">
      <c r="A276" s="227">
        <f t="shared" si="42"/>
        <v>262</v>
      </c>
      <c r="B276" s="233">
        <f t="shared" si="36"/>
        <v>48153</v>
      </c>
      <c r="C276" s="234">
        <f t="shared" si="43"/>
        <v>0</v>
      </c>
      <c r="D276" s="234">
        <f t="shared" si="37"/>
        <v>5156.1041801143792</v>
      </c>
      <c r="E276" s="235">
        <f t="shared" si="38"/>
        <v>0</v>
      </c>
      <c r="F276" s="234">
        <f t="shared" si="39"/>
        <v>0</v>
      </c>
      <c r="G276" s="234">
        <f t="shared" si="40"/>
        <v>0</v>
      </c>
      <c r="H276" s="234">
        <f t="shared" si="44"/>
        <v>0</v>
      </c>
      <c r="I276" s="234">
        <f t="shared" si="41"/>
        <v>0</v>
      </c>
      <c r="J276" s="232"/>
      <c r="K276" s="232"/>
    </row>
    <row r="277" spans="1:11">
      <c r="A277" s="227">
        <f t="shared" si="42"/>
        <v>263</v>
      </c>
      <c r="B277" s="233">
        <f t="shared" si="36"/>
        <v>48183</v>
      </c>
      <c r="C277" s="234">
        <f t="shared" si="43"/>
        <v>0</v>
      </c>
      <c r="D277" s="234">
        <f t="shared" si="37"/>
        <v>5156.1041801143792</v>
      </c>
      <c r="E277" s="235">
        <f t="shared" si="38"/>
        <v>0</v>
      </c>
      <c r="F277" s="234">
        <f t="shared" si="39"/>
        <v>0</v>
      </c>
      <c r="G277" s="234">
        <f t="shared" si="40"/>
        <v>0</v>
      </c>
      <c r="H277" s="234">
        <f t="shared" si="44"/>
        <v>0</v>
      </c>
      <c r="I277" s="234">
        <f t="shared" si="41"/>
        <v>0</v>
      </c>
      <c r="J277" s="232"/>
      <c r="K277" s="232"/>
    </row>
    <row r="278" spans="1:11">
      <c r="A278" s="227">
        <f t="shared" si="42"/>
        <v>264</v>
      </c>
      <c r="B278" s="233">
        <f t="shared" si="36"/>
        <v>48214</v>
      </c>
      <c r="C278" s="234">
        <f t="shared" si="43"/>
        <v>0</v>
      </c>
      <c r="D278" s="234">
        <f t="shared" si="37"/>
        <v>5156.1041801143792</v>
      </c>
      <c r="E278" s="235">
        <f t="shared" si="38"/>
        <v>0</v>
      </c>
      <c r="F278" s="234">
        <f t="shared" si="39"/>
        <v>0</v>
      </c>
      <c r="G278" s="234">
        <f t="shared" si="40"/>
        <v>0</v>
      </c>
      <c r="H278" s="234">
        <f t="shared" si="44"/>
        <v>0</v>
      </c>
      <c r="I278" s="234">
        <f t="shared" si="41"/>
        <v>0</v>
      </c>
      <c r="J278" s="232"/>
      <c r="K278" s="232"/>
    </row>
    <row r="279" spans="1:11">
      <c r="A279" s="227">
        <f t="shared" si="42"/>
        <v>265</v>
      </c>
      <c r="B279" s="233">
        <f t="shared" si="36"/>
        <v>48245</v>
      </c>
      <c r="C279" s="234">
        <f t="shared" si="43"/>
        <v>0</v>
      </c>
      <c r="D279" s="234">
        <f t="shared" si="37"/>
        <v>5156.1041801143792</v>
      </c>
      <c r="E279" s="235">
        <f t="shared" si="38"/>
        <v>0</v>
      </c>
      <c r="F279" s="234">
        <f t="shared" si="39"/>
        <v>0</v>
      </c>
      <c r="G279" s="234">
        <f t="shared" si="40"/>
        <v>0</v>
      </c>
      <c r="H279" s="234">
        <f t="shared" si="44"/>
        <v>0</v>
      </c>
      <c r="I279" s="234">
        <f t="shared" si="41"/>
        <v>0</v>
      </c>
      <c r="J279" s="232"/>
      <c r="K279" s="232"/>
    </row>
    <row r="280" spans="1:11">
      <c r="A280" s="227">
        <f t="shared" si="42"/>
        <v>266</v>
      </c>
      <c r="B280" s="233">
        <f t="shared" si="36"/>
        <v>48274</v>
      </c>
      <c r="C280" s="234">
        <f t="shared" si="43"/>
        <v>0</v>
      </c>
      <c r="D280" s="234">
        <f t="shared" si="37"/>
        <v>5156.1041801143792</v>
      </c>
      <c r="E280" s="235">
        <f t="shared" si="38"/>
        <v>0</v>
      </c>
      <c r="F280" s="234">
        <f t="shared" si="39"/>
        <v>0</v>
      </c>
      <c r="G280" s="234">
        <f t="shared" si="40"/>
        <v>0</v>
      </c>
      <c r="H280" s="234">
        <f t="shared" si="44"/>
        <v>0</v>
      </c>
      <c r="I280" s="234">
        <f t="shared" si="41"/>
        <v>0</v>
      </c>
      <c r="J280" s="232"/>
      <c r="K280" s="232"/>
    </row>
    <row r="281" spans="1:11">
      <c r="A281" s="227">
        <f t="shared" si="42"/>
        <v>267</v>
      </c>
      <c r="B281" s="233">
        <f t="shared" si="36"/>
        <v>48305</v>
      </c>
      <c r="C281" s="234">
        <f t="shared" si="43"/>
        <v>0</v>
      </c>
      <c r="D281" s="234">
        <f t="shared" si="37"/>
        <v>5156.1041801143792</v>
      </c>
      <c r="E281" s="235">
        <f t="shared" si="38"/>
        <v>0</v>
      </c>
      <c r="F281" s="234">
        <f t="shared" si="39"/>
        <v>0</v>
      </c>
      <c r="G281" s="234">
        <f t="shared" si="40"/>
        <v>0</v>
      </c>
      <c r="H281" s="234">
        <f t="shared" si="44"/>
        <v>0</v>
      </c>
      <c r="I281" s="234">
        <f t="shared" si="41"/>
        <v>0</v>
      </c>
      <c r="J281" s="232"/>
      <c r="K281" s="232"/>
    </row>
    <row r="282" spans="1:11">
      <c r="A282" s="227">
        <f t="shared" si="42"/>
        <v>268</v>
      </c>
      <c r="B282" s="233">
        <f t="shared" si="36"/>
        <v>48335</v>
      </c>
      <c r="C282" s="234">
        <f t="shared" si="43"/>
        <v>0</v>
      </c>
      <c r="D282" s="234">
        <f t="shared" si="37"/>
        <v>5156.1041801143792</v>
      </c>
      <c r="E282" s="235">
        <f t="shared" si="38"/>
        <v>0</v>
      </c>
      <c r="F282" s="234">
        <f t="shared" si="39"/>
        <v>0</v>
      </c>
      <c r="G282" s="234">
        <f t="shared" si="40"/>
        <v>0</v>
      </c>
      <c r="H282" s="234">
        <f t="shared" si="44"/>
        <v>0</v>
      </c>
      <c r="I282" s="234">
        <f t="shared" si="41"/>
        <v>0</v>
      </c>
      <c r="J282" s="232"/>
      <c r="K282" s="232"/>
    </row>
    <row r="283" spans="1:11">
      <c r="A283" s="227">
        <f t="shared" si="42"/>
        <v>269</v>
      </c>
      <c r="B283" s="233">
        <f t="shared" si="36"/>
        <v>48366</v>
      </c>
      <c r="C283" s="234">
        <f t="shared" si="43"/>
        <v>0</v>
      </c>
      <c r="D283" s="234">
        <f t="shared" si="37"/>
        <v>5156.1041801143792</v>
      </c>
      <c r="E283" s="235">
        <f t="shared" si="38"/>
        <v>0</v>
      </c>
      <c r="F283" s="234">
        <f t="shared" si="39"/>
        <v>0</v>
      </c>
      <c r="G283" s="234">
        <f t="shared" si="40"/>
        <v>0</v>
      </c>
      <c r="H283" s="234">
        <f t="shared" si="44"/>
        <v>0</v>
      </c>
      <c r="I283" s="234">
        <f t="shared" si="41"/>
        <v>0</v>
      </c>
      <c r="J283" s="232"/>
      <c r="K283" s="232"/>
    </row>
    <row r="284" spans="1:11">
      <c r="A284" s="227">
        <f t="shared" si="42"/>
        <v>270</v>
      </c>
      <c r="B284" s="233">
        <f t="shared" si="36"/>
        <v>48396</v>
      </c>
      <c r="C284" s="234">
        <f t="shared" si="43"/>
        <v>0</v>
      </c>
      <c r="D284" s="234">
        <f t="shared" si="37"/>
        <v>5156.1041801143792</v>
      </c>
      <c r="E284" s="235">
        <f t="shared" si="38"/>
        <v>0</v>
      </c>
      <c r="F284" s="234">
        <f t="shared" si="39"/>
        <v>0</v>
      </c>
      <c r="G284" s="234">
        <f t="shared" si="40"/>
        <v>0</v>
      </c>
      <c r="H284" s="234">
        <f t="shared" si="44"/>
        <v>0</v>
      </c>
      <c r="I284" s="234">
        <f t="shared" si="41"/>
        <v>0</v>
      </c>
      <c r="J284" s="232"/>
      <c r="K284" s="232"/>
    </row>
    <row r="285" spans="1:11">
      <c r="A285" s="227">
        <f t="shared" si="42"/>
        <v>271</v>
      </c>
      <c r="B285" s="233">
        <f t="shared" si="36"/>
        <v>48427</v>
      </c>
      <c r="C285" s="234">
        <f t="shared" si="43"/>
        <v>0</v>
      </c>
      <c r="D285" s="234">
        <f t="shared" si="37"/>
        <v>5156.1041801143792</v>
      </c>
      <c r="E285" s="235">
        <f t="shared" si="38"/>
        <v>0</v>
      </c>
      <c r="F285" s="234">
        <f t="shared" si="39"/>
        <v>0</v>
      </c>
      <c r="G285" s="234">
        <f t="shared" si="40"/>
        <v>0</v>
      </c>
      <c r="H285" s="234">
        <f t="shared" si="44"/>
        <v>0</v>
      </c>
      <c r="I285" s="234">
        <f t="shared" si="41"/>
        <v>0</v>
      </c>
      <c r="J285" s="232"/>
      <c r="K285" s="232"/>
    </row>
    <row r="286" spans="1:11">
      <c r="A286" s="227">
        <f t="shared" si="42"/>
        <v>272</v>
      </c>
      <c r="B286" s="233">
        <f t="shared" si="36"/>
        <v>48458</v>
      </c>
      <c r="C286" s="234">
        <f t="shared" si="43"/>
        <v>0</v>
      </c>
      <c r="D286" s="234">
        <f t="shared" si="37"/>
        <v>5156.1041801143792</v>
      </c>
      <c r="E286" s="235">
        <f t="shared" si="38"/>
        <v>0</v>
      </c>
      <c r="F286" s="234">
        <f t="shared" si="39"/>
        <v>0</v>
      </c>
      <c r="G286" s="234">
        <f t="shared" si="40"/>
        <v>0</v>
      </c>
      <c r="H286" s="234">
        <f t="shared" si="44"/>
        <v>0</v>
      </c>
      <c r="I286" s="234">
        <f t="shared" si="41"/>
        <v>0</v>
      </c>
      <c r="J286" s="232"/>
      <c r="K286" s="232"/>
    </row>
    <row r="287" spans="1:11">
      <c r="A287" s="227">
        <f t="shared" si="42"/>
        <v>273</v>
      </c>
      <c r="B287" s="233">
        <f t="shared" si="36"/>
        <v>48488</v>
      </c>
      <c r="C287" s="234">
        <f t="shared" si="43"/>
        <v>0</v>
      </c>
      <c r="D287" s="234">
        <f t="shared" si="37"/>
        <v>5156.1041801143792</v>
      </c>
      <c r="E287" s="235">
        <f t="shared" si="38"/>
        <v>0</v>
      </c>
      <c r="F287" s="234">
        <f t="shared" si="39"/>
        <v>0</v>
      </c>
      <c r="G287" s="234">
        <f t="shared" si="40"/>
        <v>0</v>
      </c>
      <c r="H287" s="234">
        <f t="shared" si="44"/>
        <v>0</v>
      </c>
      <c r="I287" s="234">
        <f t="shared" si="41"/>
        <v>0</v>
      </c>
      <c r="J287" s="232"/>
      <c r="K287" s="232"/>
    </row>
    <row r="288" spans="1:11">
      <c r="A288" s="227">
        <f t="shared" si="42"/>
        <v>274</v>
      </c>
      <c r="B288" s="233">
        <f t="shared" si="36"/>
        <v>48519</v>
      </c>
      <c r="C288" s="234">
        <f t="shared" si="43"/>
        <v>0</v>
      </c>
      <c r="D288" s="234">
        <f t="shared" si="37"/>
        <v>5156.1041801143792</v>
      </c>
      <c r="E288" s="235">
        <f t="shared" si="38"/>
        <v>0</v>
      </c>
      <c r="F288" s="234">
        <f t="shared" si="39"/>
        <v>0</v>
      </c>
      <c r="G288" s="234">
        <f t="shared" si="40"/>
        <v>0</v>
      </c>
      <c r="H288" s="234">
        <f t="shared" si="44"/>
        <v>0</v>
      </c>
      <c r="I288" s="234">
        <f t="shared" si="41"/>
        <v>0</v>
      </c>
      <c r="J288" s="232"/>
      <c r="K288" s="232"/>
    </row>
    <row r="289" spans="1:11">
      <c r="A289" s="227">
        <f t="shared" si="42"/>
        <v>275</v>
      </c>
      <c r="B289" s="233">
        <f t="shared" si="36"/>
        <v>48549</v>
      </c>
      <c r="C289" s="234">
        <f t="shared" si="43"/>
        <v>0</v>
      </c>
      <c r="D289" s="234">
        <f t="shared" si="37"/>
        <v>5156.1041801143792</v>
      </c>
      <c r="E289" s="235">
        <f t="shared" si="38"/>
        <v>0</v>
      </c>
      <c r="F289" s="234">
        <f t="shared" si="39"/>
        <v>0</v>
      </c>
      <c r="G289" s="234">
        <f t="shared" si="40"/>
        <v>0</v>
      </c>
      <c r="H289" s="234">
        <f t="shared" si="44"/>
        <v>0</v>
      </c>
      <c r="I289" s="234">
        <f t="shared" si="41"/>
        <v>0</v>
      </c>
      <c r="J289" s="232"/>
      <c r="K289" s="232"/>
    </row>
    <row r="290" spans="1:11">
      <c r="A290" s="227">
        <f t="shared" si="42"/>
        <v>276</v>
      </c>
      <c r="B290" s="233">
        <f t="shared" si="36"/>
        <v>48580</v>
      </c>
      <c r="C290" s="234">
        <f t="shared" si="43"/>
        <v>0</v>
      </c>
      <c r="D290" s="234">
        <f t="shared" si="37"/>
        <v>5156.1041801143792</v>
      </c>
      <c r="E290" s="235">
        <f t="shared" si="38"/>
        <v>0</v>
      </c>
      <c r="F290" s="234">
        <f t="shared" si="39"/>
        <v>0</v>
      </c>
      <c r="G290" s="234">
        <f t="shared" si="40"/>
        <v>0</v>
      </c>
      <c r="H290" s="234">
        <f t="shared" si="44"/>
        <v>0</v>
      </c>
      <c r="I290" s="234">
        <f t="shared" si="41"/>
        <v>0</v>
      </c>
      <c r="J290" s="232"/>
      <c r="K290" s="232"/>
    </row>
    <row r="291" spans="1:11">
      <c r="A291" s="227">
        <f t="shared" si="42"/>
        <v>277</v>
      </c>
      <c r="B291" s="233">
        <f t="shared" si="36"/>
        <v>48611</v>
      </c>
      <c r="C291" s="234">
        <f t="shared" si="43"/>
        <v>0</v>
      </c>
      <c r="D291" s="234">
        <f t="shared" si="37"/>
        <v>5156.1041801143792</v>
      </c>
      <c r="E291" s="235">
        <f t="shared" si="38"/>
        <v>0</v>
      </c>
      <c r="F291" s="234">
        <f t="shared" si="39"/>
        <v>0</v>
      </c>
      <c r="G291" s="234">
        <f t="shared" si="40"/>
        <v>0</v>
      </c>
      <c r="H291" s="234">
        <f t="shared" si="44"/>
        <v>0</v>
      </c>
      <c r="I291" s="234">
        <f t="shared" si="41"/>
        <v>0</v>
      </c>
      <c r="J291" s="232"/>
      <c r="K291" s="232"/>
    </row>
    <row r="292" spans="1:11">
      <c r="A292" s="227">
        <f t="shared" si="42"/>
        <v>278</v>
      </c>
      <c r="B292" s="233">
        <f t="shared" si="36"/>
        <v>48639</v>
      </c>
      <c r="C292" s="234">
        <f t="shared" si="43"/>
        <v>0</v>
      </c>
      <c r="D292" s="234">
        <f t="shared" si="37"/>
        <v>5156.1041801143792</v>
      </c>
      <c r="E292" s="235">
        <f t="shared" si="38"/>
        <v>0</v>
      </c>
      <c r="F292" s="234">
        <f t="shared" si="39"/>
        <v>0</v>
      </c>
      <c r="G292" s="234">
        <f t="shared" si="40"/>
        <v>0</v>
      </c>
      <c r="H292" s="234">
        <f t="shared" si="44"/>
        <v>0</v>
      </c>
      <c r="I292" s="234">
        <f t="shared" si="41"/>
        <v>0</v>
      </c>
      <c r="J292" s="232"/>
      <c r="K292" s="232"/>
    </row>
    <row r="293" spans="1:11">
      <c r="A293" s="227">
        <f t="shared" si="42"/>
        <v>279</v>
      </c>
      <c r="B293" s="233">
        <f t="shared" si="36"/>
        <v>48670</v>
      </c>
      <c r="C293" s="234">
        <f t="shared" si="43"/>
        <v>0</v>
      </c>
      <c r="D293" s="234">
        <f t="shared" si="37"/>
        <v>5156.1041801143792</v>
      </c>
      <c r="E293" s="235">
        <f t="shared" si="38"/>
        <v>0</v>
      </c>
      <c r="F293" s="234">
        <f t="shared" si="39"/>
        <v>0</v>
      </c>
      <c r="G293" s="234">
        <f t="shared" si="40"/>
        <v>0</v>
      </c>
      <c r="H293" s="234">
        <f t="shared" si="44"/>
        <v>0</v>
      </c>
      <c r="I293" s="234">
        <f t="shared" si="41"/>
        <v>0</v>
      </c>
      <c r="J293" s="232"/>
      <c r="K293" s="232"/>
    </row>
    <row r="294" spans="1:11">
      <c r="A294" s="227">
        <f t="shared" si="42"/>
        <v>280</v>
      </c>
      <c r="B294" s="233">
        <f t="shared" si="36"/>
        <v>48700</v>
      </c>
      <c r="C294" s="234">
        <f t="shared" si="43"/>
        <v>0</v>
      </c>
      <c r="D294" s="234">
        <f t="shared" si="37"/>
        <v>5156.1041801143792</v>
      </c>
      <c r="E294" s="235">
        <f t="shared" si="38"/>
        <v>0</v>
      </c>
      <c r="F294" s="234">
        <f t="shared" si="39"/>
        <v>0</v>
      </c>
      <c r="G294" s="234">
        <f t="shared" si="40"/>
        <v>0</v>
      </c>
      <c r="H294" s="234">
        <f t="shared" si="44"/>
        <v>0</v>
      </c>
      <c r="I294" s="234">
        <f t="shared" si="41"/>
        <v>0</v>
      </c>
      <c r="J294" s="232"/>
      <c r="K294" s="232"/>
    </row>
    <row r="295" spans="1:11">
      <c r="A295" s="227">
        <f t="shared" si="42"/>
        <v>281</v>
      </c>
      <c r="B295" s="233">
        <f t="shared" si="36"/>
        <v>48731</v>
      </c>
      <c r="C295" s="234">
        <f t="shared" si="43"/>
        <v>0</v>
      </c>
      <c r="D295" s="234">
        <f t="shared" si="37"/>
        <v>5156.1041801143792</v>
      </c>
      <c r="E295" s="235">
        <f t="shared" si="38"/>
        <v>0</v>
      </c>
      <c r="F295" s="234">
        <f t="shared" si="39"/>
        <v>0</v>
      </c>
      <c r="G295" s="234">
        <f t="shared" si="40"/>
        <v>0</v>
      </c>
      <c r="H295" s="234">
        <f t="shared" si="44"/>
        <v>0</v>
      </c>
      <c r="I295" s="234">
        <f t="shared" si="41"/>
        <v>0</v>
      </c>
      <c r="J295" s="232"/>
      <c r="K295" s="232"/>
    </row>
    <row r="296" spans="1:11">
      <c r="A296" s="227">
        <f t="shared" si="42"/>
        <v>282</v>
      </c>
      <c r="B296" s="233">
        <f t="shared" si="36"/>
        <v>48761</v>
      </c>
      <c r="C296" s="234">
        <f t="shared" si="43"/>
        <v>0</v>
      </c>
      <c r="D296" s="234">
        <f t="shared" si="37"/>
        <v>5156.1041801143792</v>
      </c>
      <c r="E296" s="235">
        <f t="shared" si="38"/>
        <v>0</v>
      </c>
      <c r="F296" s="234">
        <f t="shared" si="39"/>
        <v>0</v>
      </c>
      <c r="G296" s="234">
        <f t="shared" si="40"/>
        <v>0</v>
      </c>
      <c r="H296" s="234">
        <f t="shared" si="44"/>
        <v>0</v>
      </c>
      <c r="I296" s="234">
        <f t="shared" si="41"/>
        <v>0</v>
      </c>
      <c r="J296" s="232"/>
      <c r="K296" s="232"/>
    </row>
    <row r="297" spans="1:11">
      <c r="A297" s="227">
        <f t="shared" si="42"/>
        <v>283</v>
      </c>
      <c r="B297" s="233">
        <f t="shared" si="36"/>
        <v>48792</v>
      </c>
      <c r="C297" s="234">
        <f t="shared" si="43"/>
        <v>0</v>
      </c>
      <c r="D297" s="234">
        <f t="shared" si="37"/>
        <v>5156.1041801143792</v>
      </c>
      <c r="E297" s="235">
        <f t="shared" si="38"/>
        <v>0</v>
      </c>
      <c r="F297" s="234">
        <f t="shared" si="39"/>
        <v>0</v>
      </c>
      <c r="G297" s="234">
        <f t="shared" si="40"/>
        <v>0</v>
      </c>
      <c r="H297" s="234">
        <f t="shared" si="44"/>
        <v>0</v>
      </c>
      <c r="I297" s="234">
        <f t="shared" si="41"/>
        <v>0</v>
      </c>
      <c r="J297" s="232"/>
      <c r="K297" s="232"/>
    </row>
    <row r="298" spans="1:11">
      <c r="A298" s="227">
        <f t="shared" si="42"/>
        <v>284</v>
      </c>
      <c r="B298" s="233">
        <f t="shared" si="36"/>
        <v>48823</v>
      </c>
      <c r="C298" s="234">
        <f t="shared" si="43"/>
        <v>0</v>
      </c>
      <c r="D298" s="234">
        <f t="shared" si="37"/>
        <v>5156.1041801143792</v>
      </c>
      <c r="E298" s="235">
        <f t="shared" si="38"/>
        <v>0</v>
      </c>
      <c r="F298" s="234">
        <f t="shared" si="39"/>
        <v>0</v>
      </c>
      <c r="G298" s="234">
        <f t="shared" si="40"/>
        <v>0</v>
      </c>
      <c r="H298" s="234">
        <f t="shared" si="44"/>
        <v>0</v>
      </c>
      <c r="I298" s="234">
        <f t="shared" si="41"/>
        <v>0</v>
      </c>
      <c r="J298" s="232"/>
      <c r="K298" s="232"/>
    </row>
    <row r="299" spans="1:11">
      <c r="A299" s="227">
        <f t="shared" si="42"/>
        <v>285</v>
      </c>
      <c r="B299" s="233">
        <f t="shared" si="36"/>
        <v>48853</v>
      </c>
      <c r="C299" s="234">
        <f t="shared" si="43"/>
        <v>0</v>
      </c>
      <c r="D299" s="234">
        <f t="shared" si="37"/>
        <v>5156.1041801143792</v>
      </c>
      <c r="E299" s="235">
        <f t="shared" si="38"/>
        <v>0</v>
      </c>
      <c r="F299" s="234">
        <f t="shared" si="39"/>
        <v>0</v>
      </c>
      <c r="G299" s="234">
        <f t="shared" si="40"/>
        <v>0</v>
      </c>
      <c r="H299" s="234">
        <f t="shared" si="44"/>
        <v>0</v>
      </c>
      <c r="I299" s="234">
        <f t="shared" si="41"/>
        <v>0</v>
      </c>
      <c r="J299" s="232"/>
      <c r="K299" s="232"/>
    </row>
    <row r="300" spans="1:11">
      <c r="A300" s="227">
        <f t="shared" si="42"/>
        <v>286</v>
      </c>
      <c r="B300" s="233">
        <f t="shared" si="36"/>
        <v>48884</v>
      </c>
      <c r="C300" s="234">
        <f t="shared" si="43"/>
        <v>0</v>
      </c>
      <c r="D300" s="234">
        <f t="shared" si="37"/>
        <v>5156.1041801143792</v>
      </c>
      <c r="E300" s="235">
        <f t="shared" si="38"/>
        <v>0</v>
      </c>
      <c r="F300" s="234">
        <f t="shared" si="39"/>
        <v>0</v>
      </c>
      <c r="G300" s="234">
        <f t="shared" si="40"/>
        <v>0</v>
      </c>
      <c r="H300" s="234">
        <f t="shared" si="44"/>
        <v>0</v>
      </c>
      <c r="I300" s="234">
        <f t="shared" si="41"/>
        <v>0</v>
      </c>
      <c r="J300" s="232"/>
      <c r="K300" s="232"/>
    </row>
    <row r="301" spans="1:11">
      <c r="A301" s="227">
        <f t="shared" si="42"/>
        <v>287</v>
      </c>
      <c r="B301" s="233">
        <f t="shared" si="36"/>
        <v>48914</v>
      </c>
      <c r="C301" s="234">
        <f t="shared" si="43"/>
        <v>0</v>
      </c>
      <c r="D301" s="234">
        <f t="shared" si="37"/>
        <v>5156.1041801143792</v>
      </c>
      <c r="E301" s="235">
        <f t="shared" si="38"/>
        <v>0</v>
      </c>
      <c r="F301" s="234">
        <f t="shared" si="39"/>
        <v>0</v>
      </c>
      <c r="G301" s="234">
        <f t="shared" si="40"/>
        <v>0</v>
      </c>
      <c r="H301" s="234">
        <f t="shared" si="44"/>
        <v>0</v>
      </c>
      <c r="I301" s="234">
        <f t="shared" si="41"/>
        <v>0</v>
      </c>
      <c r="J301" s="232"/>
      <c r="K301" s="232"/>
    </row>
    <row r="302" spans="1:11">
      <c r="A302" s="227">
        <f t="shared" si="42"/>
        <v>288</v>
      </c>
      <c r="B302" s="233">
        <f t="shared" si="36"/>
        <v>48945</v>
      </c>
      <c r="C302" s="234">
        <f t="shared" si="43"/>
        <v>0</v>
      </c>
      <c r="D302" s="234">
        <f t="shared" si="37"/>
        <v>5156.1041801143792</v>
      </c>
      <c r="E302" s="235">
        <f t="shared" si="38"/>
        <v>0</v>
      </c>
      <c r="F302" s="234">
        <f t="shared" si="39"/>
        <v>0</v>
      </c>
      <c r="G302" s="234">
        <f t="shared" si="40"/>
        <v>0</v>
      </c>
      <c r="H302" s="234">
        <f t="shared" si="44"/>
        <v>0</v>
      </c>
      <c r="I302" s="234">
        <f t="shared" si="41"/>
        <v>0</v>
      </c>
      <c r="J302" s="232"/>
      <c r="K302" s="232"/>
    </row>
    <row r="303" spans="1:11">
      <c r="A303" s="227">
        <f t="shared" si="42"/>
        <v>289</v>
      </c>
      <c r="B303" s="233">
        <f t="shared" si="36"/>
        <v>48976</v>
      </c>
      <c r="C303" s="234">
        <f t="shared" si="43"/>
        <v>0</v>
      </c>
      <c r="D303" s="234">
        <f t="shared" si="37"/>
        <v>5156.1041801143792</v>
      </c>
      <c r="E303" s="235">
        <f t="shared" si="38"/>
        <v>0</v>
      </c>
      <c r="F303" s="234">
        <f t="shared" si="39"/>
        <v>0</v>
      </c>
      <c r="G303" s="234">
        <f t="shared" si="40"/>
        <v>0</v>
      </c>
      <c r="H303" s="234">
        <f t="shared" si="44"/>
        <v>0</v>
      </c>
      <c r="I303" s="234">
        <f t="shared" si="41"/>
        <v>0</v>
      </c>
      <c r="J303" s="232"/>
      <c r="K303" s="232"/>
    </row>
    <row r="304" spans="1:11">
      <c r="A304" s="227">
        <f t="shared" si="42"/>
        <v>290</v>
      </c>
      <c r="B304" s="233">
        <f t="shared" si="36"/>
        <v>49004</v>
      </c>
      <c r="C304" s="234">
        <f t="shared" si="43"/>
        <v>0</v>
      </c>
      <c r="D304" s="234">
        <f t="shared" si="37"/>
        <v>5156.1041801143792</v>
      </c>
      <c r="E304" s="235">
        <f t="shared" si="38"/>
        <v>0</v>
      </c>
      <c r="F304" s="234">
        <f t="shared" si="39"/>
        <v>0</v>
      </c>
      <c r="G304" s="234">
        <f t="shared" si="40"/>
        <v>0</v>
      </c>
      <c r="H304" s="234">
        <f t="shared" si="44"/>
        <v>0</v>
      </c>
      <c r="I304" s="234">
        <f t="shared" si="41"/>
        <v>0</v>
      </c>
      <c r="J304" s="232"/>
      <c r="K304" s="232"/>
    </row>
    <row r="305" spans="1:11">
      <c r="A305" s="227">
        <f t="shared" si="42"/>
        <v>291</v>
      </c>
      <c r="B305" s="233">
        <f t="shared" si="36"/>
        <v>49035</v>
      </c>
      <c r="C305" s="234">
        <f t="shared" si="43"/>
        <v>0</v>
      </c>
      <c r="D305" s="234">
        <f t="shared" si="37"/>
        <v>5156.1041801143792</v>
      </c>
      <c r="E305" s="235">
        <f t="shared" si="38"/>
        <v>0</v>
      </c>
      <c r="F305" s="234">
        <f t="shared" si="39"/>
        <v>0</v>
      </c>
      <c r="G305" s="234">
        <f t="shared" si="40"/>
        <v>0</v>
      </c>
      <c r="H305" s="234">
        <f t="shared" si="44"/>
        <v>0</v>
      </c>
      <c r="I305" s="234">
        <f t="shared" si="41"/>
        <v>0</v>
      </c>
      <c r="J305" s="232"/>
      <c r="K305" s="232"/>
    </row>
    <row r="306" spans="1:11">
      <c r="A306" s="227">
        <f t="shared" si="42"/>
        <v>292</v>
      </c>
      <c r="B306" s="233">
        <f t="shared" si="36"/>
        <v>49065</v>
      </c>
      <c r="C306" s="234">
        <f t="shared" si="43"/>
        <v>0</v>
      </c>
      <c r="D306" s="234">
        <f t="shared" si="37"/>
        <v>5156.1041801143792</v>
      </c>
      <c r="E306" s="235">
        <f t="shared" si="38"/>
        <v>0</v>
      </c>
      <c r="F306" s="234">
        <f t="shared" si="39"/>
        <v>0</v>
      </c>
      <c r="G306" s="234">
        <f t="shared" si="40"/>
        <v>0</v>
      </c>
      <c r="H306" s="234">
        <f t="shared" si="44"/>
        <v>0</v>
      </c>
      <c r="I306" s="234">
        <f t="shared" si="41"/>
        <v>0</v>
      </c>
      <c r="J306" s="232"/>
      <c r="K306" s="232"/>
    </row>
    <row r="307" spans="1:11">
      <c r="A307" s="227">
        <f t="shared" si="42"/>
        <v>293</v>
      </c>
      <c r="B307" s="233">
        <f t="shared" si="36"/>
        <v>49096</v>
      </c>
      <c r="C307" s="234">
        <f t="shared" si="43"/>
        <v>0</v>
      </c>
      <c r="D307" s="234">
        <f t="shared" si="37"/>
        <v>5156.1041801143792</v>
      </c>
      <c r="E307" s="235">
        <f t="shared" si="38"/>
        <v>0</v>
      </c>
      <c r="F307" s="234">
        <f t="shared" si="39"/>
        <v>0</v>
      </c>
      <c r="G307" s="234">
        <f t="shared" si="40"/>
        <v>0</v>
      </c>
      <c r="H307" s="234">
        <f t="shared" si="44"/>
        <v>0</v>
      </c>
      <c r="I307" s="234">
        <f t="shared" si="41"/>
        <v>0</v>
      </c>
      <c r="J307" s="232"/>
      <c r="K307" s="232"/>
    </row>
    <row r="308" spans="1:11">
      <c r="A308" s="227">
        <f t="shared" si="42"/>
        <v>294</v>
      </c>
      <c r="B308" s="233">
        <f t="shared" si="36"/>
        <v>49126</v>
      </c>
      <c r="C308" s="234">
        <f t="shared" si="43"/>
        <v>0</v>
      </c>
      <c r="D308" s="234">
        <f t="shared" si="37"/>
        <v>5156.1041801143792</v>
      </c>
      <c r="E308" s="235">
        <f t="shared" si="38"/>
        <v>0</v>
      </c>
      <c r="F308" s="234">
        <f t="shared" si="39"/>
        <v>0</v>
      </c>
      <c r="G308" s="234">
        <f t="shared" si="40"/>
        <v>0</v>
      </c>
      <c r="H308" s="234">
        <f t="shared" si="44"/>
        <v>0</v>
      </c>
      <c r="I308" s="234">
        <f t="shared" si="41"/>
        <v>0</v>
      </c>
      <c r="J308" s="232"/>
      <c r="K308" s="232"/>
    </row>
    <row r="309" spans="1:11">
      <c r="A309" s="227">
        <f t="shared" si="42"/>
        <v>295</v>
      </c>
      <c r="B309" s="233">
        <f t="shared" si="36"/>
        <v>49157</v>
      </c>
      <c r="C309" s="234">
        <f t="shared" si="43"/>
        <v>0</v>
      </c>
      <c r="D309" s="234">
        <f t="shared" si="37"/>
        <v>5156.1041801143792</v>
      </c>
      <c r="E309" s="235">
        <f t="shared" si="38"/>
        <v>0</v>
      </c>
      <c r="F309" s="234">
        <f t="shared" si="39"/>
        <v>0</v>
      </c>
      <c r="G309" s="234">
        <f t="shared" si="40"/>
        <v>0</v>
      </c>
      <c r="H309" s="234">
        <f t="shared" si="44"/>
        <v>0</v>
      </c>
      <c r="I309" s="234">
        <f t="shared" si="41"/>
        <v>0</v>
      </c>
      <c r="J309" s="232"/>
      <c r="K309" s="232"/>
    </row>
    <row r="310" spans="1:11">
      <c r="A310" s="227">
        <f t="shared" si="42"/>
        <v>296</v>
      </c>
      <c r="B310" s="233">
        <f t="shared" si="36"/>
        <v>49188</v>
      </c>
      <c r="C310" s="234">
        <f t="shared" si="43"/>
        <v>0</v>
      </c>
      <c r="D310" s="234">
        <f t="shared" si="37"/>
        <v>5156.1041801143792</v>
      </c>
      <c r="E310" s="235">
        <f t="shared" si="38"/>
        <v>0</v>
      </c>
      <c r="F310" s="234">
        <f t="shared" si="39"/>
        <v>0</v>
      </c>
      <c r="G310" s="234">
        <f t="shared" si="40"/>
        <v>0</v>
      </c>
      <c r="H310" s="234">
        <f t="shared" si="44"/>
        <v>0</v>
      </c>
      <c r="I310" s="234">
        <f t="shared" si="41"/>
        <v>0</v>
      </c>
      <c r="J310" s="232"/>
      <c r="K310" s="232"/>
    </row>
    <row r="311" spans="1:11">
      <c r="A311" s="227">
        <f t="shared" si="42"/>
        <v>297</v>
      </c>
      <c r="B311" s="233">
        <f t="shared" si="36"/>
        <v>49218</v>
      </c>
      <c r="C311" s="234">
        <f t="shared" si="43"/>
        <v>0</v>
      </c>
      <c r="D311" s="234">
        <f t="shared" si="37"/>
        <v>5156.1041801143792</v>
      </c>
      <c r="E311" s="235">
        <f t="shared" si="38"/>
        <v>0</v>
      </c>
      <c r="F311" s="234">
        <f t="shared" si="39"/>
        <v>0</v>
      </c>
      <c r="G311" s="234">
        <f t="shared" si="40"/>
        <v>0</v>
      </c>
      <c r="H311" s="234">
        <f t="shared" si="44"/>
        <v>0</v>
      </c>
      <c r="I311" s="234">
        <f t="shared" si="41"/>
        <v>0</v>
      </c>
      <c r="J311" s="232"/>
      <c r="K311" s="232"/>
    </row>
    <row r="312" spans="1:11">
      <c r="A312" s="227">
        <f t="shared" si="42"/>
        <v>298</v>
      </c>
      <c r="B312" s="233">
        <f t="shared" si="36"/>
        <v>49249</v>
      </c>
      <c r="C312" s="234">
        <f t="shared" si="43"/>
        <v>0</v>
      </c>
      <c r="D312" s="234">
        <f t="shared" si="37"/>
        <v>5156.1041801143792</v>
      </c>
      <c r="E312" s="235">
        <f t="shared" si="38"/>
        <v>0</v>
      </c>
      <c r="F312" s="234">
        <f t="shared" si="39"/>
        <v>0</v>
      </c>
      <c r="G312" s="234">
        <f t="shared" si="40"/>
        <v>0</v>
      </c>
      <c r="H312" s="234">
        <f t="shared" si="44"/>
        <v>0</v>
      </c>
      <c r="I312" s="234">
        <f t="shared" si="41"/>
        <v>0</v>
      </c>
      <c r="J312" s="232"/>
      <c r="K312" s="232"/>
    </row>
    <row r="313" spans="1:11">
      <c r="A313" s="227">
        <f t="shared" si="42"/>
        <v>299</v>
      </c>
      <c r="B313" s="233">
        <f t="shared" si="36"/>
        <v>49279</v>
      </c>
      <c r="C313" s="234">
        <f t="shared" si="43"/>
        <v>0</v>
      </c>
      <c r="D313" s="234">
        <f t="shared" si="37"/>
        <v>5156.1041801143792</v>
      </c>
      <c r="E313" s="235">
        <f t="shared" si="38"/>
        <v>0</v>
      </c>
      <c r="F313" s="234">
        <f t="shared" si="39"/>
        <v>0</v>
      </c>
      <c r="G313" s="234">
        <f t="shared" si="40"/>
        <v>0</v>
      </c>
      <c r="H313" s="234">
        <f t="shared" si="44"/>
        <v>0</v>
      </c>
      <c r="I313" s="234">
        <f t="shared" si="41"/>
        <v>0</v>
      </c>
      <c r="J313" s="232"/>
      <c r="K313" s="232"/>
    </row>
    <row r="314" spans="1:11">
      <c r="A314" s="227">
        <f t="shared" si="42"/>
        <v>300</v>
      </c>
      <c r="B314" s="233">
        <f t="shared" si="36"/>
        <v>49310</v>
      </c>
      <c r="C314" s="234">
        <f t="shared" si="43"/>
        <v>0</v>
      </c>
      <c r="D314" s="234">
        <f t="shared" si="37"/>
        <v>5156.1041801143792</v>
      </c>
      <c r="E314" s="235">
        <f t="shared" si="38"/>
        <v>0</v>
      </c>
      <c r="F314" s="234">
        <f t="shared" si="39"/>
        <v>0</v>
      </c>
      <c r="G314" s="234">
        <f t="shared" si="40"/>
        <v>0</v>
      </c>
      <c r="H314" s="234">
        <f t="shared" si="44"/>
        <v>0</v>
      </c>
      <c r="I314" s="234">
        <f t="shared" si="41"/>
        <v>0</v>
      </c>
      <c r="J314" s="232"/>
      <c r="K314" s="232"/>
    </row>
    <row r="315" spans="1:11">
      <c r="A315" s="227">
        <f t="shared" si="42"/>
        <v>301</v>
      </c>
      <c r="B315" s="233">
        <f t="shared" si="36"/>
        <v>49341</v>
      </c>
      <c r="C315" s="234">
        <f t="shared" si="43"/>
        <v>0</v>
      </c>
      <c r="D315" s="234">
        <f t="shared" si="37"/>
        <v>5156.1041801143792</v>
      </c>
      <c r="E315" s="235">
        <f t="shared" si="38"/>
        <v>0</v>
      </c>
      <c r="F315" s="234">
        <f t="shared" si="39"/>
        <v>0</v>
      </c>
      <c r="G315" s="234">
        <f t="shared" si="40"/>
        <v>0</v>
      </c>
      <c r="H315" s="234">
        <f t="shared" si="44"/>
        <v>0</v>
      </c>
      <c r="I315" s="234">
        <f t="shared" si="41"/>
        <v>0</v>
      </c>
      <c r="J315" s="232"/>
      <c r="K315" s="232"/>
    </row>
    <row r="316" spans="1:11">
      <c r="A316" s="227">
        <f t="shared" si="42"/>
        <v>302</v>
      </c>
      <c r="B316" s="233">
        <f t="shared" si="36"/>
        <v>49369</v>
      </c>
      <c r="C316" s="234">
        <f t="shared" si="43"/>
        <v>0</v>
      </c>
      <c r="D316" s="234">
        <f t="shared" si="37"/>
        <v>5156.1041801143792</v>
      </c>
      <c r="E316" s="235">
        <f t="shared" si="38"/>
        <v>0</v>
      </c>
      <c r="F316" s="234">
        <f t="shared" si="39"/>
        <v>0</v>
      </c>
      <c r="G316" s="234">
        <f t="shared" si="40"/>
        <v>0</v>
      </c>
      <c r="H316" s="234">
        <f t="shared" si="44"/>
        <v>0</v>
      </c>
      <c r="I316" s="234">
        <f t="shared" si="41"/>
        <v>0</v>
      </c>
      <c r="J316" s="232"/>
      <c r="K316" s="232"/>
    </row>
    <row r="317" spans="1:11">
      <c r="A317" s="227">
        <f t="shared" si="42"/>
        <v>303</v>
      </c>
      <c r="B317" s="233">
        <f t="shared" si="36"/>
        <v>49400</v>
      </c>
      <c r="C317" s="234">
        <f t="shared" si="43"/>
        <v>0</v>
      </c>
      <c r="D317" s="234">
        <f t="shared" si="37"/>
        <v>5156.1041801143792</v>
      </c>
      <c r="E317" s="235">
        <f t="shared" si="38"/>
        <v>0</v>
      </c>
      <c r="F317" s="234">
        <f t="shared" si="39"/>
        <v>0</v>
      </c>
      <c r="G317" s="234">
        <f t="shared" si="40"/>
        <v>0</v>
      </c>
      <c r="H317" s="234">
        <f t="shared" si="44"/>
        <v>0</v>
      </c>
      <c r="I317" s="234">
        <f t="shared" si="41"/>
        <v>0</v>
      </c>
      <c r="J317" s="232"/>
      <c r="K317" s="232"/>
    </row>
    <row r="318" spans="1:11">
      <c r="A318" s="227">
        <f t="shared" si="42"/>
        <v>304</v>
      </c>
      <c r="B318" s="233">
        <f t="shared" si="36"/>
        <v>49430</v>
      </c>
      <c r="C318" s="234">
        <f t="shared" si="43"/>
        <v>0</v>
      </c>
      <c r="D318" s="234">
        <f t="shared" si="37"/>
        <v>5156.1041801143792</v>
      </c>
      <c r="E318" s="235">
        <f t="shared" si="38"/>
        <v>0</v>
      </c>
      <c r="F318" s="234">
        <f t="shared" si="39"/>
        <v>0</v>
      </c>
      <c r="G318" s="234">
        <f t="shared" si="40"/>
        <v>0</v>
      </c>
      <c r="H318" s="234">
        <f t="shared" si="44"/>
        <v>0</v>
      </c>
      <c r="I318" s="234">
        <f t="shared" si="41"/>
        <v>0</v>
      </c>
      <c r="J318" s="232"/>
      <c r="K318" s="232"/>
    </row>
    <row r="319" spans="1:11">
      <c r="A319" s="227">
        <f t="shared" si="42"/>
        <v>305</v>
      </c>
      <c r="B319" s="233">
        <f t="shared" si="36"/>
        <v>49461</v>
      </c>
      <c r="C319" s="234">
        <f t="shared" si="43"/>
        <v>0</v>
      </c>
      <c r="D319" s="234">
        <f t="shared" si="37"/>
        <v>5156.1041801143792</v>
      </c>
      <c r="E319" s="235">
        <f t="shared" si="38"/>
        <v>0</v>
      </c>
      <c r="F319" s="234">
        <f t="shared" si="39"/>
        <v>0</v>
      </c>
      <c r="G319" s="234">
        <f t="shared" si="40"/>
        <v>0</v>
      </c>
      <c r="H319" s="234">
        <f t="shared" si="44"/>
        <v>0</v>
      </c>
      <c r="I319" s="234">
        <f t="shared" si="41"/>
        <v>0</v>
      </c>
      <c r="J319" s="232"/>
      <c r="K319" s="232"/>
    </row>
    <row r="320" spans="1:11">
      <c r="A320" s="227">
        <f t="shared" si="42"/>
        <v>306</v>
      </c>
      <c r="B320" s="233">
        <f t="shared" si="36"/>
        <v>49491</v>
      </c>
      <c r="C320" s="234">
        <f t="shared" si="43"/>
        <v>0</v>
      </c>
      <c r="D320" s="234">
        <f t="shared" si="37"/>
        <v>5156.1041801143792</v>
      </c>
      <c r="E320" s="235">
        <f t="shared" si="38"/>
        <v>0</v>
      </c>
      <c r="F320" s="234">
        <f t="shared" si="39"/>
        <v>0</v>
      </c>
      <c r="G320" s="234">
        <f t="shared" si="40"/>
        <v>0</v>
      </c>
      <c r="H320" s="234">
        <f t="shared" si="44"/>
        <v>0</v>
      </c>
      <c r="I320" s="234">
        <f t="shared" si="41"/>
        <v>0</v>
      </c>
      <c r="J320" s="232"/>
      <c r="K320" s="232"/>
    </row>
    <row r="321" spans="1:11">
      <c r="A321" s="227">
        <f t="shared" si="42"/>
        <v>307</v>
      </c>
      <c r="B321" s="233">
        <f t="shared" si="36"/>
        <v>49522</v>
      </c>
      <c r="C321" s="234">
        <f t="shared" si="43"/>
        <v>0</v>
      </c>
      <c r="D321" s="234">
        <f t="shared" si="37"/>
        <v>5156.1041801143792</v>
      </c>
      <c r="E321" s="235">
        <f t="shared" si="38"/>
        <v>0</v>
      </c>
      <c r="F321" s="234">
        <f t="shared" si="39"/>
        <v>0</v>
      </c>
      <c r="G321" s="234">
        <f t="shared" si="40"/>
        <v>0</v>
      </c>
      <c r="H321" s="234">
        <f t="shared" si="44"/>
        <v>0</v>
      </c>
      <c r="I321" s="234">
        <f t="shared" si="41"/>
        <v>0</v>
      </c>
      <c r="J321" s="232"/>
      <c r="K321" s="232"/>
    </row>
    <row r="322" spans="1:11">
      <c r="A322" s="227">
        <f t="shared" si="42"/>
        <v>308</v>
      </c>
      <c r="B322" s="233">
        <f t="shared" si="36"/>
        <v>49553</v>
      </c>
      <c r="C322" s="234">
        <f t="shared" si="43"/>
        <v>0</v>
      </c>
      <c r="D322" s="234">
        <f t="shared" si="37"/>
        <v>5156.1041801143792</v>
      </c>
      <c r="E322" s="235">
        <f t="shared" si="38"/>
        <v>0</v>
      </c>
      <c r="F322" s="234">
        <f t="shared" si="39"/>
        <v>0</v>
      </c>
      <c r="G322" s="234">
        <f t="shared" si="40"/>
        <v>0</v>
      </c>
      <c r="H322" s="234">
        <f t="shared" si="44"/>
        <v>0</v>
      </c>
      <c r="I322" s="234">
        <f t="shared" si="41"/>
        <v>0</v>
      </c>
      <c r="J322" s="232"/>
      <c r="K322" s="232"/>
    </row>
    <row r="323" spans="1:11">
      <c r="A323" s="227">
        <f t="shared" si="42"/>
        <v>309</v>
      </c>
      <c r="B323" s="233">
        <f t="shared" si="36"/>
        <v>49583</v>
      </c>
      <c r="C323" s="234">
        <f t="shared" si="43"/>
        <v>0</v>
      </c>
      <c r="D323" s="234">
        <f t="shared" si="37"/>
        <v>5156.1041801143792</v>
      </c>
      <c r="E323" s="235">
        <f t="shared" si="38"/>
        <v>0</v>
      </c>
      <c r="F323" s="234">
        <f t="shared" si="39"/>
        <v>0</v>
      </c>
      <c r="G323" s="234">
        <f t="shared" si="40"/>
        <v>0</v>
      </c>
      <c r="H323" s="234">
        <f t="shared" si="44"/>
        <v>0</v>
      </c>
      <c r="I323" s="234">
        <f t="shared" si="41"/>
        <v>0</v>
      </c>
      <c r="J323" s="232"/>
      <c r="K323" s="232"/>
    </row>
    <row r="324" spans="1:11">
      <c r="A324" s="227">
        <f t="shared" si="42"/>
        <v>310</v>
      </c>
      <c r="B324" s="233">
        <f t="shared" si="36"/>
        <v>49614</v>
      </c>
      <c r="C324" s="234">
        <f t="shared" si="43"/>
        <v>0</v>
      </c>
      <c r="D324" s="234">
        <f t="shared" si="37"/>
        <v>5156.1041801143792</v>
      </c>
      <c r="E324" s="235">
        <f t="shared" si="38"/>
        <v>0</v>
      </c>
      <c r="F324" s="234">
        <f t="shared" si="39"/>
        <v>0</v>
      </c>
      <c r="G324" s="234">
        <f t="shared" si="40"/>
        <v>0</v>
      </c>
      <c r="H324" s="234">
        <f t="shared" si="44"/>
        <v>0</v>
      </c>
      <c r="I324" s="234">
        <f t="shared" si="41"/>
        <v>0</v>
      </c>
      <c r="J324" s="232"/>
      <c r="K324" s="232"/>
    </row>
    <row r="325" spans="1:11">
      <c r="A325" s="227">
        <f t="shared" si="42"/>
        <v>311</v>
      </c>
      <c r="B325" s="233">
        <f t="shared" si="36"/>
        <v>49644</v>
      </c>
      <c r="C325" s="234">
        <f t="shared" si="43"/>
        <v>0</v>
      </c>
      <c r="D325" s="234">
        <f t="shared" si="37"/>
        <v>5156.1041801143792</v>
      </c>
      <c r="E325" s="235">
        <f t="shared" si="38"/>
        <v>0</v>
      </c>
      <c r="F325" s="234">
        <f t="shared" si="39"/>
        <v>0</v>
      </c>
      <c r="G325" s="234">
        <f t="shared" si="40"/>
        <v>0</v>
      </c>
      <c r="H325" s="234">
        <f t="shared" si="44"/>
        <v>0</v>
      </c>
      <c r="I325" s="234">
        <f t="shared" si="41"/>
        <v>0</v>
      </c>
      <c r="J325" s="232"/>
      <c r="K325" s="232"/>
    </row>
    <row r="326" spans="1:11">
      <c r="A326" s="227">
        <f t="shared" si="42"/>
        <v>312</v>
      </c>
      <c r="B326" s="233">
        <f t="shared" si="36"/>
        <v>49675</v>
      </c>
      <c r="C326" s="234">
        <f t="shared" si="43"/>
        <v>0</v>
      </c>
      <c r="D326" s="234">
        <f t="shared" si="37"/>
        <v>5156.1041801143792</v>
      </c>
      <c r="E326" s="235">
        <f t="shared" si="38"/>
        <v>0</v>
      </c>
      <c r="F326" s="234">
        <f t="shared" si="39"/>
        <v>0</v>
      </c>
      <c r="G326" s="234">
        <f t="shared" si="40"/>
        <v>0</v>
      </c>
      <c r="H326" s="234">
        <f t="shared" si="44"/>
        <v>0</v>
      </c>
      <c r="I326" s="234">
        <f t="shared" si="41"/>
        <v>0</v>
      </c>
      <c r="J326" s="232"/>
      <c r="K326" s="232"/>
    </row>
    <row r="327" spans="1:11">
      <c r="A327" s="227">
        <f t="shared" si="42"/>
        <v>313</v>
      </c>
      <c r="B327" s="233">
        <f t="shared" si="36"/>
        <v>49706</v>
      </c>
      <c r="C327" s="234">
        <f t="shared" si="43"/>
        <v>0</v>
      </c>
      <c r="D327" s="234">
        <f t="shared" si="37"/>
        <v>5156.1041801143792</v>
      </c>
      <c r="E327" s="235">
        <f t="shared" si="38"/>
        <v>0</v>
      </c>
      <c r="F327" s="234">
        <f t="shared" si="39"/>
        <v>0</v>
      </c>
      <c r="G327" s="234">
        <f t="shared" si="40"/>
        <v>0</v>
      </c>
      <c r="H327" s="234">
        <f t="shared" si="44"/>
        <v>0</v>
      </c>
      <c r="I327" s="234">
        <f t="shared" si="41"/>
        <v>0</v>
      </c>
      <c r="J327" s="232"/>
      <c r="K327" s="232"/>
    </row>
    <row r="328" spans="1:11">
      <c r="A328" s="227">
        <f t="shared" si="42"/>
        <v>314</v>
      </c>
      <c r="B328" s="233">
        <f t="shared" si="36"/>
        <v>49735</v>
      </c>
      <c r="C328" s="234">
        <f t="shared" si="43"/>
        <v>0</v>
      </c>
      <c r="D328" s="234">
        <f t="shared" si="37"/>
        <v>5156.1041801143792</v>
      </c>
      <c r="E328" s="235">
        <f t="shared" si="38"/>
        <v>0</v>
      </c>
      <c r="F328" s="234">
        <f t="shared" si="39"/>
        <v>0</v>
      </c>
      <c r="G328" s="234">
        <f t="shared" si="40"/>
        <v>0</v>
      </c>
      <c r="H328" s="234">
        <f t="shared" si="44"/>
        <v>0</v>
      </c>
      <c r="I328" s="234">
        <f t="shared" si="41"/>
        <v>0</v>
      </c>
      <c r="J328" s="232"/>
      <c r="K328" s="232"/>
    </row>
    <row r="329" spans="1:11">
      <c r="A329" s="227">
        <f t="shared" si="42"/>
        <v>315</v>
      </c>
      <c r="B329" s="233">
        <f t="shared" si="36"/>
        <v>49766</v>
      </c>
      <c r="C329" s="234">
        <f t="shared" si="43"/>
        <v>0</v>
      </c>
      <c r="D329" s="234">
        <f t="shared" si="37"/>
        <v>5156.1041801143792</v>
      </c>
      <c r="E329" s="235">
        <f t="shared" si="38"/>
        <v>0</v>
      </c>
      <c r="F329" s="234">
        <f t="shared" si="39"/>
        <v>0</v>
      </c>
      <c r="G329" s="234">
        <f t="shared" si="40"/>
        <v>0</v>
      </c>
      <c r="H329" s="234">
        <f t="shared" si="44"/>
        <v>0</v>
      </c>
      <c r="I329" s="234">
        <f t="shared" si="41"/>
        <v>0</v>
      </c>
      <c r="J329" s="232"/>
      <c r="K329" s="232"/>
    </row>
    <row r="330" spans="1:11">
      <c r="A330" s="227">
        <f t="shared" si="42"/>
        <v>316</v>
      </c>
      <c r="B330" s="233">
        <f t="shared" si="36"/>
        <v>49796</v>
      </c>
      <c r="C330" s="234">
        <f t="shared" si="43"/>
        <v>0</v>
      </c>
      <c r="D330" s="234">
        <f t="shared" si="37"/>
        <v>5156.1041801143792</v>
      </c>
      <c r="E330" s="235">
        <f t="shared" si="38"/>
        <v>0</v>
      </c>
      <c r="F330" s="234">
        <f t="shared" si="39"/>
        <v>0</v>
      </c>
      <c r="G330" s="234">
        <f t="shared" si="40"/>
        <v>0</v>
      </c>
      <c r="H330" s="234">
        <f t="shared" si="44"/>
        <v>0</v>
      </c>
      <c r="I330" s="234">
        <f t="shared" si="41"/>
        <v>0</v>
      </c>
      <c r="J330" s="232"/>
      <c r="K330" s="232"/>
    </row>
    <row r="331" spans="1:11">
      <c r="A331" s="227">
        <f t="shared" si="42"/>
        <v>317</v>
      </c>
      <c r="B331" s="233">
        <f t="shared" si="36"/>
        <v>49827</v>
      </c>
      <c r="C331" s="234">
        <f t="shared" si="43"/>
        <v>0</v>
      </c>
      <c r="D331" s="234">
        <f t="shared" si="37"/>
        <v>5156.1041801143792</v>
      </c>
      <c r="E331" s="235">
        <f t="shared" si="38"/>
        <v>0</v>
      </c>
      <c r="F331" s="234">
        <f t="shared" si="39"/>
        <v>0</v>
      </c>
      <c r="G331" s="234">
        <f t="shared" si="40"/>
        <v>0</v>
      </c>
      <c r="H331" s="234">
        <f t="shared" si="44"/>
        <v>0</v>
      </c>
      <c r="I331" s="234">
        <f t="shared" si="41"/>
        <v>0</v>
      </c>
      <c r="J331" s="232"/>
      <c r="K331" s="232"/>
    </row>
    <row r="332" spans="1:11">
      <c r="A332" s="227">
        <f t="shared" si="42"/>
        <v>318</v>
      </c>
      <c r="B332" s="233">
        <f t="shared" si="36"/>
        <v>49857</v>
      </c>
      <c r="C332" s="234">
        <f t="shared" si="43"/>
        <v>0</v>
      </c>
      <c r="D332" s="234">
        <f t="shared" si="37"/>
        <v>5156.1041801143792</v>
      </c>
      <c r="E332" s="235">
        <f t="shared" si="38"/>
        <v>0</v>
      </c>
      <c r="F332" s="234">
        <f t="shared" si="39"/>
        <v>0</v>
      </c>
      <c r="G332" s="234">
        <f t="shared" si="40"/>
        <v>0</v>
      </c>
      <c r="H332" s="234">
        <f t="shared" si="44"/>
        <v>0</v>
      </c>
      <c r="I332" s="234">
        <f t="shared" si="41"/>
        <v>0</v>
      </c>
      <c r="J332" s="232"/>
      <c r="K332" s="232"/>
    </row>
    <row r="333" spans="1:11">
      <c r="A333" s="227">
        <f t="shared" si="42"/>
        <v>319</v>
      </c>
      <c r="B333" s="233">
        <f t="shared" si="36"/>
        <v>49888</v>
      </c>
      <c r="C333" s="234">
        <f t="shared" si="43"/>
        <v>0</v>
      </c>
      <c r="D333" s="234">
        <f t="shared" si="37"/>
        <v>5156.1041801143792</v>
      </c>
      <c r="E333" s="235">
        <f t="shared" si="38"/>
        <v>0</v>
      </c>
      <c r="F333" s="234">
        <f t="shared" si="39"/>
        <v>0</v>
      </c>
      <c r="G333" s="234">
        <f t="shared" si="40"/>
        <v>0</v>
      </c>
      <c r="H333" s="234">
        <f t="shared" si="44"/>
        <v>0</v>
      </c>
      <c r="I333" s="234">
        <f t="shared" si="41"/>
        <v>0</v>
      </c>
      <c r="J333" s="232"/>
      <c r="K333" s="232"/>
    </row>
    <row r="334" spans="1:11">
      <c r="A334" s="227">
        <f t="shared" si="42"/>
        <v>320</v>
      </c>
      <c r="B334" s="233">
        <f t="shared" si="36"/>
        <v>49919</v>
      </c>
      <c r="C334" s="234">
        <f t="shared" si="43"/>
        <v>0</v>
      </c>
      <c r="D334" s="234">
        <f t="shared" si="37"/>
        <v>5156.1041801143792</v>
      </c>
      <c r="E334" s="235">
        <f t="shared" si="38"/>
        <v>0</v>
      </c>
      <c r="F334" s="234">
        <f t="shared" si="39"/>
        <v>0</v>
      </c>
      <c r="G334" s="234">
        <f t="shared" si="40"/>
        <v>0</v>
      </c>
      <c r="H334" s="234">
        <f t="shared" si="44"/>
        <v>0</v>
      </c>
      <c r="I334" s="234">
        <f t="shared" si="41"/>
        <v>0</v>
      </c>
      <c r="J334" s="232"/>
      <c r="K334" s="232"/>
    </row>
    <row r="335" spans="1:11">
      <c r="A335" s="227">
        <f t="shared" si="42"/>
        <v>321</v>
      </c>
      <c r="B335" s="233">
        <f t="shared" ref="B335:B374" si="45">IF(Pay_Num&lt;&gt;"",DATE(YEAR(Loan_Start),MONTH(Loan_Start)+(Pay_Num)*12/Num_Pmt_Per_Year,DAY(Loan_Start)),"")</f>
        <v>49949</v>
      </c>
      <c r="C335" s="234">
        <f t="shared" si="43"/>
        <v>0</v>
      </c>
      <c r="D335" s="234">
        <f t="shared" ref="D335:D374" si="46">IF(Pay_Num&lt;&gt;"",Scheduled_Monthly_Payment,"")</f>
        <v>5156.1041801143792</v>
      </c>
      <c r="E335" s="235">
        <f t="shared" ref="E335:E374" si="47">IF(AND(Pay_Num&lt;&gt;"",Sched_Pay+Scheduled_Extra_Payments&lt;Beg_Bal),Scheduled_Extra_Payments,IF(AND(Pay_Num&lt;&gt;"",Beg_Bal-Sched_Pay&gt;0),Beg_Bal-Sched_Pay,IF(Pay_Num&lt;&gt;"",0,"")))</f>
        <v>0</v>
      </c>
      <c r="F335" s="234">
        <f t="shared" ref="F335:F374" si="48">IF(AND(Pay_Num&lt;&gt;"",Sched_Pay+Extra_Pay&lt;Beg_Bal),Sched_Pay+Extra_Pay,IF(Pay_Num&lt;&gt;"",Beg_Bal,""))</f>
        <v>0</v>
      </c>
      <c r="G335" s="234">
        <f t="shared" ref="G335:G374" si="49">IF(Pay_Num&lt;&gt;"",Total_Pay-Int,"")</f>
        <v>0</v>
      </c>
      <c r="H335" s="234">
        <f t="shared" si="44"/>
        <v>0</v>
      </c>
      <c r="I335" s="234">
        <f t="shared" ref="I335:I374" si="50">IF(AND(Pay_Num&lt;&gt;"",Sched_Pay+Extra_Pay&lt;Beg_Bal),Beg_Bal-Princ,IF(Pay_Num&lt;&gt;"",0,""))</f>
        <v>0</v>
      </c>
      <c r="J335" s="232"/>
      <c r="K335" s="232"/>
    </row>
    <row r="336" spans="1:11">
      <c r="A336" s="227">
        <f t="shared" ref="A336:A374" si="51">IF(Values_Entered,A335+1,"")</f>
        <v>322</v>
      </c>
      <c r="B336" s="233">
        <f t="shared" si="45"/>
        <v>49980</v>
      </c>
      <c r="C336" s="234">
        <f t="shared" ref="C336:C374" si="52">IF(Pay_Num&lt;&gt;"",I335,"")</f>
        <v>0</v>
      </c>
      <c r="D336" s="234">
        <f t="shared" si="46"/>
        <v>5156.1041801143792</v>
      </c>
      <c r="E336" s="235">
        <f t="shared" si="47"/>
        <v>0</v>
      </c>
      <c r="F336" s="234">
        <f t="shared" si="48"/>
        <v>0</v>
      </c>
      <c r="G336" s="234">
        <f t="shared" si="49"/>
        <v>0</v>
      </c>
      <c r="H336" s="234">
        <f t="shared" ref="H336:H374" si="53">IF(Pay_Num&lt;&gt;"",Beg_Bal*Interest_Rate/Num_Pmt_Per_Year,"")</f>
        <v>0</v>
      </c>
      <c r="I336" s="234">
        <f t="shared" si="50"/>
        <v>0</v>
      </c>
      <c r="J336" s="232"/>
      <c r="K336" s="232"/>
    </row>
    <row r="337" spans="1:11">
      <c r="A337" s="227">
        <f t="shared" si="51"/>
        <v>323</v>
      </c>
      <c r="B337" s="233">
        <f t="shared" si="45"/>
        <v>50010</v>
      </c>
      <c r="C337" s="234">
        <f t="shared" si="52"/>
        <v>0</v>
      </c>
      <c r="D337" s="234">
        <f t="shared" si="46"/>
        <v>5156.1041801143792</v>
      </c>
      <c r="E337" s="235">
        <f t="shared" si="47"/>
        <v>0</v>
      </c>
      <c r="F337" s="234">
        <f t="shared" si="48"/>
        <v>0</v>
      </c>
      <c r="G337" s="234">
        <f t="shared" si="49"/>
        <v>0</v>
      </c>
      <c r="H337" s="234">
        <f t="shared" si="53"/>
        <v>0</v>
      </c>
      <c r="I337" s="234">
        <f t="shared" si="50"/>
        <v>0</v>
      </c>
      <c r="J337" s="232"/>
      <c r="K337" s="232"/>
    </row>
    <row r="338" spans="1:11">
      <c r="A338" s="227">
        <f t="shared" si="51"/>
        <v>324</v>
      </c>
      <c r="B338" s="233">
        <f t="shared" si="45"/>
        <v>50041</v>
      </c>
      <c r="C338" s="234">
        <f t="shared" si="52"/>
        <v>0</v>
      </c>
      <c r="D338" s="234">
        <f t="shared" si="46"/>
        <v>5156.1041801143792</v>
      </c>
      <c r="E338" s="235">
        <f t="shared" si="47"/>
        <v>0</v>
      </c>
      <c r="F338" s="234">
        <f t="shared" si="48"/>
        <v>0</v>
      </c>
      <c r="G338" s="234">
        <f t="shared" si="49"/>
        <v>0</v>
      </c>
      <c r="H338" s="234">
        <f t="shared" si="53"/>
        <v>0</v>
      </c>
      <c r="I338" s="234">
        <f t="shared" si="50"/>
        <v>0</v>
      </c>
      <c r="J338" s="232"/>
      <c r="K338" s="232"/>
    </row>
    <row r="339" spans="1:11">
      <c r="A339" s="227">
        <f t="shared" si="51"/>
        <v>325</v>
      </c>
      <c r="B339" s="233">
        <f t="shared" si="45"/>
        <v>50072</v>
      </c>
      <c r="C339" s="234">
        <f t="shared" si="52"/>
        <v>0</v>
      </c>
      <c r="D339" s="234">
        <f t="shared" si="46"/>
        <v>5156.1041801143792</v>
      </c>
      <c r="E339" s="235">
        <f t="shared" si="47"/>
        <v>0</v>
      </c>
      <c r="F339" s="234">
        <f t="shared" si="48"/>
        <v>0</v>
      </c>
      <c r="G339" s="234">
        <f t="shared" si="49"/>
        <v>0</v>
      </c>
      <c r="H339" s="234">
        <f t="shared" si="53"/>
        <v>0</v>
      </c>
      <c r="I339" s="234">
        <f t="shared" si="50"/>
        <v>0</v>
      </c>
      <c r="J339" s="232"/>
      <c r="K339" s="232"/>
    </row>
    <row r="340" spans="1:11">
      <c r="A340" s="227">
        <f t="shared" si="51"/>
        <v>326</v>
      </c>
      <c r="B340" s="233">
        <f t="shared" si="45"/>
        <v>50100</v>
      </c>
      <c r="C340" s="234">
        <f t="shared" si="52"/>
        <v>0</v>
      </c>
      <c r="D340" s="234">
        <f t="shared" si="46"/>
        <v>5156.1041801143792</v>
      </c>
      <c r="E340" s="235">
        <f t="shared" si="47"/>
        <v>0</v>
      </c>
      <c r="F340" s="234">
        <f t="shared" si="48"/>
        <v>0</v>
      </c>
      <c r="G340" s="234">
        <f t="shared" si="49"/>
        <v>0</v>
      </c>
      <c r="H340" s="234">
        <f t="shared" si="53"/>
        <v>0</v>
      </c>
      <c r="I340" s="234">
        <f t="shared" si="50"/>
        <v>0</v>
      </c>
      <c r="J340" s="232"/>
      <c r="K340" s="232"/>
    </row>
    <row r="341" spans="1:11">
      <c r="A341" s="227">
        <f t="shared" si="51"/>
        <v>327</v>
      </c>
      <c r="B341" s="233">
        <f t="shared" si="45"/>
        <v>50131</v>
      </c>
      <c r="C341" s="234">
        <f t="shared" si="52"/>
        <v>0</v>
      </c>
      <c r="D341" s="234">
        <f t="shared" si="46"/>
        <v>5156.1041801143792</v>
      </c>
      <c r="E341" s="235">
        <f t="shared" si="47"/>
        <v>0</v>
      </c>
      <c r="F341" s="234">
        <f t="shared" si="48"/>
        <v>0</v>
      </c>
      <c r="G341" s="234">
        <f t="shared" si="49"/>
        <v>0</v>
      </c>
      <c r="H341" s="234">
        <f t="shared" si="53"/>
        <v>0</v>
      </c>
      <c r="I341" s="234">
        <f t="shared" si="50"/>
        <v>0</v>
      </c>
      <c r="J341" s="232"/>
      <c r="K341" s="232"/>
    </row>
    <row r="342" spans="1:11">
      <c r="A342" s="227">
        <f t="shared" si="51"/>
        <v>328</v>
      </c>
      <c r="B342" s="233">
        <f t="shared" si="45"/>
        <v>50161</v>
      </c>
      <c r="C342" s="234">
        <f t="shared" si="52"/>
        <v>0</v>
      </c>
      <c r="D342" s="234">
        <f t="shared" si="46"/>
        <v>5156.1041801143792</v>
      </c>
      <c r="E342" s="235">
        <f t="shared" si="47"/>
        <v>0</v>
      </c>
      <c r="F342" s="234">
        <f t="shared" si="48"/>
        <v>0</v>
      </c>
      <c r="G342" s="234">
        <f t="shared" si="49"/>
        <v>0</v>
      </c>
      <c r="H342" s="234">
        <f t="shared" si="53"/>
        <v>0</v>
      </c>
      <c r="I342" s="234">
        <f t="shared" si="50"/>
        <v>0</v>
      </c>
      <c r="J342" s="232"/>
      <c r="K342" s="232"/>
    </row>
    <row r="343" spans="1:11">
      <c r="A343" s="227">
        <f t="shared" si="51"/>
        <v>329</v>
      </c>
      <c r="B343" s="233">
        <f t="shared" si="45"/>
        <v>50192</v>
      </c>
      <c r="C343" s="234">
        <f t="shared" si="52"/>
        <v>0</v>
      </c>
      <c r="D343" s="234">
        <f t="shared" si="46"/>
        <v>5156.1041801143792</v>
      </c>
      <c r="E343" s="235">
        <f t="shared" si="47"/>
        <v>0</v>
      </c>
      <c r="F343" s="234">
        <f t="shared" si="48"/>
        <v>0</v>
      </c>
      <c r="G343" s="234">
        <f t="shared" si="49"/>
        <v>0</v>
      </c>
      <c r="H343" s="234">
        <f t="shared" si="53"/>
        <v>0</v>
      </c>
      <c r="I343" s="234">
        <f t="shared" si="50"/>
        <v>0</v>
      </c>
      <c r="J343" s="232"/>
      <c r="K343" s="232"/>
    </row>
    <row r="344" spans="1:11">
      <c r="A344" s="227">
        <f t="shared" si="51"/>
        <v>330</v>
      </c>
      <c r="B344" s="233">
        <f t="shared" si="45"/>
        <v>50222</v>
      </c>
      <c r="C344" s="234">
        <f t="shared" si="52"/>
        <v>0</v>
      </c>
      <c r="D344" s="234">
        <f t="shared" si="46"/>
        <v>5156.1041801143792</v>
      </c>
      <c r="E344" s="235">
        <f t="shared" si="47"/>
        <v>0</v>
      </c>
      <c r="F344" s="234">
        <f t="shared" si="48"/>
        <v>0</v>
      </c>
      <c r="G344" s="234">
        <f t="shared" si="49"/>
        <v>0</v>
      </c>
      <c r="H344" s="234">
        <f t="shared" si="53"/>
        <v>0</v>
      </c>
      <c r="I344" s="234">
        <f t="shared" si="50"/>
        <v>0</v>
      </c>
      <c r="J344" s="232"/>
      <c r="K344" s="232"/>
    </row>
    <row r="345" spans="1:11">
      <c r="A345" s="227">
        <f t="shared" si="51"/>
        <v>331</v>
      </c>
      <c r="B345" s="233">
        <f t="shared" si="45"/>
        <v>50253</v>
      </c>
      <c r="C345" s="234">
        <f t="shared" si="52"/>
        <v>0</v>
      </c>
      <c r="D345" s="234">
        <f t="shared" si="46"/>
        <v>5156.1041801143792</v>
      </c>
      <c r="E345" s="235">
        <f t="shared" si="47"/>
        <v>0</v>
      </c>
      <c r="F345" s="234">
        <f t="shared" si="48"/>
        <v>0</v>
      </c>
      <c r="G345" s="234">
        <f t="shared" si="49"/>
        <v>0</v>
      </c>
      <c r="H345" s="234">
        <f t="shared" si="53"/>
        <v>0</v>
      </c>
      <c r="I345" s="234">
        <f t="shared" si="50"/>
        <v>0</v>
      </c>
      <c r="J345" s="232"/>
      <c r="K345" s="232"/>
    </row>
    <row r="346" spans="1:11">
      <c r="A346" s="227">
        <f t="shared" si="51"/>
        <v>332</v>
      </c>
      <c r="B346" s="233">
        <f t="shared" si="45"/>
        <v>50284</v>
      </c>
      <c r="C346" s="234">
        <f t="shared" si="52"/>
        <v>0</v>
      </c>
      <c r="D346" s="234">
        <f t="shared" si="46"/>
        <v>5156.1041801143792</v>
      </c>
      <c r="E346" s="235">
        <f t="shared" si="47"/>
        <v>0</v>
      </c>
      <c r="F346" s="234">
        <f t="shared" si="48"/>
        <v>0</v>
      </c>
      <c r="G346" s="234">
        <f t="shared" si="49"/>
        <v>0</v>
      </c>
      <c r="H346" s="234">
        <f t="shared" si="53"/>
        <v>0</v>
      </c>
      <c r="I346" s="234">
        <f t="shared" si="50"/>
        <v>0</v>
      </c>
      <c r="J346" s="232"/>
      <c r="K346" s="232"/>
    </row>
    <row r="347" spans="1:11">
      <c r="A347" s="227">
        <f t="shared" si="51"/>
        <v>333</v>
      </c>
      <c r="B347" s="233">
        <f t="shared" si="45"/>
        <v>50314</v>
      </c>
      <c r="C347" s="234">
        <f t="shared" si="52"/>
        <v>0</v>
      </c>
      <c r="D347" s="234">
        <f t="shared" si="46"/>
        <v>5156.1041801143792</v>
      </c>
      <c r="E347" s="235">
        <f t="shared" si="47"/>
        <v>0</v>
      </c>
      <c r="F347" s="234">
        <f t="shared" si="48"/>
        <v>0</v>
      </c>
      <c r="G347" s="234">
        <f t="shared" si="49"/>
        <v>0</v>
      </c>
      <c r="H347" s="234">
        <f t="shared" si="53"/>
        <v>0</v>
      </c>
      <c r="I347" s="234">
        <f t="shared" si="50"/>
        <v>0</v>
      </c>
      <c r="J347" s="232"/>
      <c r="K347" s="232"/>
    </row>
    <row r="348" spans="1:11">
      <c r="A348" s="227">
        <f t="shared" si="51"/>
        <v>334</v>
      </c>
      <c r="B348" s="233">
        <f t="shared" si="45"/>
        <v>50345</v>
      </c>
      <c r="C348" s="234">
        <f t="shared" si="52"/>
        <v>0</v>
      </c>
      <c r="D348" s="234">
        <f t="shared" si="46"/>
        <v>5156.1041801143792</v>
      </c>
      <c r="E348" s="235">
        <f t="shared" si="47"/>
        <v>0</v>
      </c>
      <c r="F348" s="234">
        <f t="shared" si="48"/>
        <v>0</v>
      </c>
      <c r="G348" s="234">
        <f t="shared" si="49"/>
        <v>0</v>
      </c>
      <c r="H348" s="234">
        <f t="shared" si="53"/>
        <v>0</v>
      </c>
      <c r="I348" s="234">
        <f t="shared" si="50"/>
        <v>0</v>
      </c>
      <c r="J348" s="232"/>
      <c r="K348" s="232"/>
    </row>
    <row r="349" spans="1:11">
      <c r="A349" s="227">
        <f t="shared" si="51"/>
        <v>335</v>
      </c>
      <c r="B349" s="233">
        <f t="shared" si="45"/>
        <v>50375</v>
      </c>
      <c r="C349" s="234">
        <f t="shared" si="52"/>
        <v>0</v>
      </c>
      <c r="D349" s="234">
        <f t="shared" si="46"/>
        <v>5156.1041801143792</v>
      </c>
      <c r="E349" s="235">
        <f t="shared" si="47"/>
        <v>0</v>
      </c>
      <c r="F349" s="234">
        <f t="shared" si="48"/>
        <v>0</v>
      </c>
      <c r="G349" s="234">
        <f t="shared" si="49"/>
        <v>0</v>
      </c>
      <c r="H349" s="234">
        <f t="shared" si="53"/>
        <v>0</v>
      </c>
      <c r="I349" s="234">
        <f t="shared" si="50"/>
        <v>0</v>
      </c>
      <c r="J349" s="232"/>
      <c r="K349" s="232"/>
    </row>
    <row r="350" spans="1:11">
      <c r="A350" s="227">
        <f t="shared" si="51"/>
        <v>336</v>
      </c>
      <c r="B350" s="233">
        <f t="shared" si="45"/>
        <v>50406</v>
      </c>
      <c r="C350" s="234">
        <f t="shared" si="52"/>
        <v>0</v>
      </c>
      <c r="D350" s="234">
        <f t="shared" si="46"/>
        <v>5156.1041801143792</v>
      </c>
      <c r="E350" s="235">
        <f t="shared" si="47"/>
        <v>0</v>
      </c>
      <c r="F350" s="234">
        <f t="shared" si="48"/>
        <v>0</v>
      </c>
      <c r="G350" s="234">
        <f t="shared" si="49"/>
        <v>0</v>
      </c>
      <c r="H350" s="234">
        <f t="shared" si="53"/>
        <v>0</v>
      </c>
      <c r="I350" s="234">
        <f t="shared" si="50"/>
        <v>0</v>
      </c>
      <c r="J350" s="232"/>
      <c r="K350" s="232"/>
    </row>
    <row r="351" spans="1:11">
      <c r="A351" s="227">
        <f t="shared" si="51"/>
        <v>337</v>
      </c>
      <c r="B351" s="233">
        <f t="shared" si="45"/>
        <v>50437</v>
      </c>
      <c r="C351" s="234">
        <f t="shared" si="52"/>
        <v>0</v>
      </c>
      <c r="D351" s="234">
        <f t="shared" si="46"/>
        <v>5156.1041801143792</v>
      </c>
      <c r="E351" s="235">
        <f t="shared" si="47"/>
        <v>0</v>
      </c>
      <c r="F351" s="234">
        <f t="shared" si="48"/>
        <v>0</v>
      </c>
      <c r="G351" s="234">
        <f t="shared" si="49"/>
        <v>0</v>
      </c>
      <c r="H351" s="234">
        <f t="shared" si="53"/>
        <v>0</v>
      </c>
      <c r="I351" s="234">
        <f t="shared" si="50"/>
        <v>0</v>
      </c>
      <c r="J351" s="232"/>
      <c r="K351" s="232"/>
    </row>
    <row r="352" spans="1:11">
      <c r="A352" s="227">
        <f t="shared" si="51"/>
        <v>338</v>
      </c>
      <c r="B352" s="233">
        <f t="shared" si="45"/>
        <v>50465</v>
      </c>
      <c r="C352" s="234">
        <f t="shared" si="52"/>
        <v>0</v>
      </c>
      <c r="D352" s="234">
        <f t="shared" si="46"/>
        <v>5156.1041801143792</v>
      </c>
      <c r="E352" s="235">
        <f t="shared" si="47"/>
        <v>0</v>
      </c>
      <c r="F352" s="234">
        <f t="shared" si="48"/>
        <v>0</v>
      </c>
      <c r="G352" s="234">
        <f t="shared" si="49"/>
        <v>0</v>
      </c>
      <c r="H352" s="234">
        <f t="shared" si="53"/>
        <v>0</v>
      </c>
      <c r="I352" s="234">
        <f t="shared" si="50"/>
        <v>0</v>
      </c>
      <c r="J352" s="232"/>
      <c r="K352" s="232"/>
    </row>
    <row r="353" spans="1:11">
      <c r="A353" s="227">
        <f t="shared" si="51"/>
        <v>339</v>
      </c>
      <c r="B353" s="233">
        <f t="shared" si="45"/>
        <v>50496</v>
      </c>
      <c r="C353" s="234">
        <f t="shared" si="52"/>
        <v>0</v>
      </c>
      <c r="D353" s="234">
        <f t="shared" si="46"/>
        <v>5156.1041801143792</v>
      </c>
      <c r="E353" s="235">
        <f t="shared" si="47"/>
        <v>0</v>
      </c>
      <c r="F353" s="234">
        <f t="shared" si="48"/>
        <v>0</v>
      </c>
      <c r="G353" s="234">
        <f t="shared" si="49"/>
        <v>0</v>
      </c>
      <c r="H353" s="234">
        <f t="shared" si="53"/>
        <v>0</v>
      </c>
      <c r="I353" s="234">
        <f t="shared" si="50"/>
        <v>0</v>
      </c>
      <c r="J353" s="232"/>
      <c r="K353" s="232"/>
    </row>
    <row r="354" spans="1:11">
      <c r="A354" s="227">
        <f t="shared" si="51"/>
        <v>340</v>
      </c>
      <c r="B354" s="233">
        <f t="shared" si="45"/>
        <v>50526</v>
      </c>
      <c r="C354" s="234">
        <f t="shared" si="52"/>
        <v>0</v>
      </c>
      <c r="D354" s="234">
        <f t="shared" si="46"/>
        <v>5156.1041801143792</v>
      </c>
      <c r="E354" s="235">
        <f t="shared" si="47"/>
        <v>0</v>
      </c>
      <c r="F354" s="234">
        <f t="shared" si="48"/>
        <v>0</v>
      </c>
      <c r="G354" s="234">
        <f t="shared" si="49"/>
        <v>0</v>
      </c>
      <c r="H354" s="234">
        <f t="shared" si="53"/>
        <v>0</v>
      </c>
      <c r="I354" s="234">
        <f t="shared" si="50"/>
        <v>0</v>
      </c>
      <c r="J354" s="232"/>
      <c r="K354" s="232"/>
    </row>
    <row r="355" spans="1:11">
      <c r="A355" s="227">
        <f t="shared" si="51"/>
        <v>341</v>
      </c>
      <c r="B355" s="233">
        <f t="shared" si="45"/>
        <v>50557</v>
      </c>
      <c r="C355" s="234">
        <f t="shared" si="52"/>
        <v>0</v>
      </c>
      <c r="D355" s="234">
        <f t="shared" si="46"/>
        <v>5156.1041801143792</v>
      </c>
      <c r="E355" s="235">
        <f t="shared" si="47"/>
        <v>0</v>
      </c>
      <c r="F355" s="234">
        <f t="shared" si="48"/>
        <v>0</v>
      </c>
      <c r="G355" s="234">
        <f t="shared" si="49"/>
        <v>0</v>
      </c>
      <c r="H355" s="234">
        <f t="shared" si="53"/>
        <v>0</v>
      </c>
      <c r="I355" s="234">
        <f t="shared" si="50"/>
        <v>0</v>
      </c>
      <c r="J355" s="232"/>
      <c r="K355" s="232"/>
    </row>
    <row r="356" spans="1:11">
      <c r="A356" s="227">
        <f t="shared" si="51"/>
        <v>342</v>
      </c>
      <c r="B356" s="233">
        <f t="shared" si="45"/>
        <v>50587</v>
      </c>
      <c r="C356" s="234">
        <f t="shared" si="52"/>
        <v>0</v>
      </c>
      <c r="D356" s="234">
        <f t="shared" si="46"/>
        <v>5156.1041801143792</v>
      </c>
      <c r="E356" s="235">
        <f t="shared" si="47"/>
        <v>0</v>
      </c>
      <c r="F356" s="234">
        <f t="shared" si="48"/>
        <v>0</v>
      </c>
      <c r="G356" s="234">
        <f t="shared" si="49"/>
        <v>0</v>
      </c>
      <c r="H356" s="234">
        <f t="shared" si="53"/>
        <v>0</v>
      </c>
      <c r="I356" s="234">
        <f t="shared" si="50"/>
        <v>0</v>
      </c>
      <c r="J356" s="232"/>
      <c r="K356" s="232"/>
    </row>
    <row r="357" spans="1:11">
      <c r="A357" s="227">
        <f t="shared" si="51"/>
        <v>343</v>
      </c>
      <c r="B357" s="233">
        <f t="shared" si="45"/>
        <v>50618</v>
      </c>
      <c r="C357" s="234">
        <f t="shared" si="52"/>
        <v>0</v>
      </c>
      <c r="D357" s="234">
        <f t="shared" si="46"/>
        <v>5156.1041801143792</v>
      </c>
      <c r="E357" s="235">
        <f t="shared" si="47"/>
        <v>0</v>
      </c>
      <c r="F357" s="234">
        <f t="shared" si="48"/>
        <v>0</v>
      </c>
      <c r="G357" s="234">
        <f t="shared" si="49"/>
        <v>0</v>
      </c>
      <c r="H357" s="234">
        <f t="shared" si="53"/>
        <v>0</v>
      </c>
      <c r="I357" s="234">
        <f t="shared" si="50"/>
        <v>0</v>
      </c>
      <c r="J357" s="232"/>
      <c r="K357" s="232"/>
    </row>
    <row r="358" spans="1:11">
      <c r="A358" s="227">
        <f t="shared" si="51"/>
        <v>344</v>
      </c>
      <c r="B358" s="233">
        <f t="shared" si="45"/>
        <v>50649</v>
      </c>
      <c r="C358" s="234">
        <f t="shared" si="52"/>
        <v>0</v>
      </c>
      <c r="D358" s="234">
        <f t="shared" si="46"/>
        <v>5156.1041801143792</v>
      </c>
      <c r="E358" s="235">
        <f t="shared" si="47"/>
        <v>0</v>
      </c>
      <c r="F358" s="234">
        <f t="shared" si="48"/>
        <v>0</v>
      </c>
      <c r="G358" s="234">
        <f t="shared" si="49"/>
        <v>0</v>
      </c>
      <c r="H358" s="234">
        <f t="shared" si="53"/>
        <v>0</v>
      </c>
      <c r="I358" s="234">
        <f t="shared" si="50"/>
        <v>0</v>
      </c>
      <c r="J358" s="232"/>
      <c r="K358" s="232"/>
    </row>
    <row r="359" spans="1:11">
      <c r="A359" s="227">
        <f t="shared" si="51"/>
        <v>345</v>
      </c>
      <c r="B359" s="233">
        <f t="shared" si="45"/>
        <v>50679</v>
      </c>
      <c r="C359" s="234">
        <f t="shared" si="52"/>
        <v>0</v>
      </c>
      <c r="D359" s="234">
        <f t="shared" si="46"/>
        <v>5156.1041801143792</v>
      </c>
      <c r="E359" s="235">
        <f t="shared" si="47"/>
        <v>0</v>
      </c>
      <c r="F359" s="234">
        <f t="shared" si="48"/>
        <v>0</v>
      </c>
      <c r="G359" s="234">
        <f t="shared" si="49"/>
        <v>0</v>
      </c>
      <c r="H359" s="234">
        <f t="shared" si="53"/>
        <v>0</v>
      </c>
      <c r="I359" s="234">
        <f t="shared" si="50"/>
        <v>0</v>
      </c>
      <c r="J359" s="232"/>
      <c r="K359" s="232"/>
    </row>
    <row r="360" spans="1:11">
      <c r="A360" s="227">
        <f t="shared" si="51"/>
        <v>346</v>
      </c>
      <c r="B360" s="233">
        <f t="shared" si="45"/>
        <v>50710</v>
      </c>
      <c r="C360" s="234">
        <f t="shared" si="52"/>
        <v>0</v>
      </c>
      <c r="D360" s="234">
        <f t="shared" si="46"/>
        <v>5156.1041801143792</v>
      </c>
      <c r="E360" s="235">
        <f t="shared" si="47"/>
        <v>0</v>
      </c>
      <c r="F360" s="234">
        <f t="shared" si="48"/>
        <v>0</v>
      </c>
      <c r="G360" s="234">
        <f t="shared" si="49"/>
        <v>0</v>
      </c>
      <c r="H360" s="234">
        <f t="shared" si="53"/>
        <v>0</v>
      </c>
      <c r="I360" s="234">
        <f t="shared" si="50"/>
        <v>0</v>
      </c>
      <c r="J360" s="232"/>
      <c r="K360" s="232"/>
    </row>
    <row r="361" spans="1:11">
      <c r="A361" s="227">
        <f t="shared" si="51"/>
        <v>347</v>
      </c>
      <c r="B361" s="233">
        <f t="shared" si="45"/>
        <v>50740</v>
      </c>
      <c r="C361" s="234">
        <f t="shared" si="52"/>
        <v>0</v>
      </c>
      <c r="D361" s="234">
        <f t="shared" si="46"/>
        <v>5156.1041801143792</v>
      </c>
      <c r="E361" s="235">
        <f t="shared" si="47"/>
        <v>0</v>
      </c>
      <c r="F361" s="234">
        <f t="shared" si="48"/>
        <v>0</v>
      </c>
      <c r="G361" s="234">
        <f t="shared" si="49"/>
        <v>0</v>
      </c>
      <c r="H361" s="234">
        <f t="shared" si="53"/>
        <v>0</v>
      </c>
      <c r="I361" s="234">
        <f t="shared" si="50"/>
        <v>0</v>
      </c>
      <c r="J361" s="232"/>
      <c r="K361" s="232"/>
    </row>
    <row r="362" spans="1:11">
      <c r="A362" s="227">
        <f t="shared" si="51"/>
        <v>348</v>
      </c>
      <c r="B362" s="233">
        <f t="shared" si="45"/>
        <v>50771</v>
      </c>
      <c r="C362" s="234">
        <f t="shared" si="52"/>
        <v>0</v>
      </c>
      <c r="D362" s="234">
        <f t="shared" si="46"/>
        <v>5156.1041801143792</v>
      </c>
      <c r="E362" s="235">
        <f t="shared" si="47"/>
        <v>0</v>
      </c>
      <c r="F362" s="234">
        <f t="shared" si="48"/>
        <v>0</v>
      </c>
      <c r="G362" s="234">
        <f t="shared" si="49"/>
        <v>0</v>
      </c>
      <c r="H362" s="234">
        <f t="shared" si="53"/>
        <v>0</v>
      </c>
      <c r="I362" s="234">
        <f t="shared" si="50"/>
        <v>0</v>
      </c>
      <c r="J362" s="232"/>
      <c r="K362" s="232"/>
    </row>
    <row r="363" spans="1:11">
      <c r="A363" s="227">
        <f t="shared" si="51"/>
        <v>349</v>
      </c>
      <c r="B363" s="233">
        <f t="shared" si="45"/>
        <v>50802</v>
      </c>
      <c r="C363" s="234">
        <f t="shared" si="52"/>
        <v>0</v>
      </c>
      <c r="D363" s="234">
        <f t="shared" si="46"/>
        <v>5156.1041801143792</v>
      </c>
      <c r="E363" s="235">
        <f t="shared" si="47"/>
        <v>0</v>
      </c>
      <c r="F363" s="234">
        <f t="shared" si="48"/>
        <v>0</v>
      </c>
      <c r="G363" s="234">
        <f t="shared" si="49"/>
        <v>0</v>
      </c>
      <c r="H363" s="234">
        <f t="shared" si="53"/>
        <v>0</v>
      </c>
      <c r="I363" s="234">
        <f t="shared" si="50"/>
        <v>0</v>
      </c>
      <c r="J363" s="232"/>
      <c r="K363" s="232"/>
    </row>
    <row r="364" spans="1:11">
      <c r="A364" s="227">
        <f t="shared" si="51"/>
        <v>350</v>
      </c>
      <c r="B364" s="233">
        <f t="shared" si="45"/>
        <v>50830</v>
      </c>
      <c r="C364" s="234">
        <f t="shared" si="52"/>
        <v>0</v>
      </c>
      <c r="D364" s="234">
        <f t="shared" si="46"/>
        <v>5156.1041801143792</v>
      </c>
      <c r="E364" s="235">
        <f t="shared" si="47"/>
        <v>0</v>
      </c>
      <c r="F364" s="234">
        <f t="shared" si="48"/>
        <v>0</v>
      </c>
      <c r="G364" s="234">
        <f t="shared" si="49"/>
        <v>0</v>
      </c>
      <c r="H364" s="234">
        <f t="shared" si="53"/>
        <v>0</v>
      </c>
      <c r="I364" s="234">
        <f t="shared" si="50"/>
        <v>0</v>
      </c>
      <c r="J364" s="232"/>
      <c r="K364" s="232"/>
    </row>
    <row r="365" spans="1:11">
      <c r="A365" s="227">
        <f t="shared" si="51"/>
        <v>351</v>
      </c>
      <c r="B365" s="233">
        <f t="shared" si="45"/>
        <v>50861</v>
      </c>
      <c r="C365" s="234">
        <f t="shared" si="52"/>
        <v>0</v>
      </c>
      <c r="D365" s="234">
        <f t="shared" si="46"/>
        <v>5156.1041801143792</v>
      </c>
      <c r="E365" s="235">
        <f t="shared" si="47"/>
        <v>0</v>
      </c>
      <c r="F365" s="234">
        <f t="shared" si="48"/>
        <v>0</v>
      </c>
      <c r="G365" s="234">
        <f t="shared" si="49"/>
        <v>0</v>
      </c>
      <c r="H365" s="234">
        <f t="shared" si="53"/>
        <v>0</v>
      </c>
      <c r="I365" s="234">
        <f t="shared" si="50"/>
        <v>0</v>
      </c>
      <c r="J365" s="232"/>
      <c r="K365" s="232"/>
    </row>
    <row r="366" spans="1:11">
      <c r="A366" s="227">
        <f t="shared" si="51"/>
        <v>352</v>
      </c>
      <c r="B366" s="233">
        <f t="shared" si="45"/>
        <v>50891</v>
      </c>
      <c r="C366" s="234">
        <f t="shared" si="52"/>
        <v>0</v>
      </c>
      <c r="D366" s="234">
        <f t="shared" si="46"/>
        <v>5156.1041801143792</v>
      </c>
      <c r="E366" s="235">
        <f t="shared" si="47"/>
        <v>0</v>
      </c>
      <c r="F366" s="234">
        <f t="shared" si="48"/>
        <v>0</v>
      </c>
      <c r="G366" s="234">
        <f t="shared" si="49"/>
        <v>0</v>
      </c>
      <c r="H366" s="234">
        <f t="shared" si="53"/>
        <v>0</v>
      </c>
      <c r="I366" s="234">
        <f t="shared" si="50"/>
        <v>0</v>
      </c>
      <c r="J366" s="232"/>
      <c r="K366" s="232"/>
    </row>
    <row r="367" spans="1:11">
      <c r="A367" s="227">
        <f t="shared" si="51"/>
        <v>353</v>
      </c>
      <c r="B367" s="233">
        <f t="shared" si="45"/>
        <v>50922</v>
      </c>
      <c r="C367" s="234">
        <f t="shared" si="52"/>
        <v>0</v>
      </c>
      <c r="D367" s="234">
        <f t="shared" si="46"/>
        <v>5156.1041801143792</v>
      </c>
      <c r="E367" s="235">
        <f t="shared" si="47"/>
        <v>0</v>
      </c>
      <c r="F367" s="234">
        <f t="shared" si="48"/>
        <v>0</v>
      </c>
      <c r="G367" s="234">
        <f t="shared" si="49"/>
        <v>0</v>
      </c>
      <c r="H367" s="234">
        <f t="shared" si="53"/>
        <v>0</v>
      </c>
      <c r="I367" s="234">
        <f t="shared" si="50"/>
        <v>0</v>
      </c>
      <c r="J367" s="232"/>
      <c r="K367" s="232"/>
    </row>
    <row r="368" spans="1:11">
      <c r="A368" s="227">
        <f t="shared" si="51"/>
        <v>354</v>
      </c>
      <c r="B368" s="233">
        <f t="shared" si="45"/>
        <v>50952</v>
      </c>
      <c r="C368" s="234">
        <f t="shared" si="52"/>
        <v>0</v>
      </c>
      <c r="D368" s="234">
        <f t="shared" si="46"/>
        <v>5156.1041801143792</v>
      </c>
      <c r="E368" s="235">
        <f t="shared" si="47"/>
        <v>0</v>
      </c>
      <c r="F368" s="234">
        <f t="shared" si="48"/>
        <v>0</v>
      </c>
      <c r="G368" s="234">
        <f t="shared" si="49"/>
        <v>0</v>
      </c>
      <c r="H368" s="234">
        <f t="shared" si="53"/>
        <v>0</v>
      </c>
      <c r="I368" s="234">
        <f t="shared" si="50"/>
        <v>0</v>
      </c>
      <c r="J368" s="232"/>
      <c r="K368" s="232"/>
    </row>
    <row r="369" spans="1:11">
      <c r="A369" s="227">
        <f t="shared" si="51"/>
        <v>355</v>
      </c>
      <c r="B369" s="233">
        <f t="shared" si="45"/>
        <v>50983</v>
      </c>
      <c r="C369" s="234">
        <f t="shared" si="52"/>
        <v>0</v>
      </c>
      <c r="D369" s="234">
        <f t="shared" si="46"/>
        <v>5156.1041801143792</v>
      </c>
      <c r="E369" s="235">
        <f t="shared" si="47"/>
        <v>0</v>
      </c>
      <c r="F369" s="234">
        <f t="shared" si="48"/>
        <v>0</v>
      </c>
      <c r="G369" s="234">
        <f t="shared" si="49"/>
        <v>0</v>
      </c>
      <c r="H369" s="234">
        <f t="shared" si="53"/>
        <v>0</v>
      </c>
      <c r="I369" s="234">
        <f t="shared" si="50"/>
        <v>0</v>
      </c>
      <c r="J369" s="232"/>
      <c r="K369" s="232"/>
    </row>
    <row r="370" spans="1:11">
      <c r="A370" s="227">
        <f t="shared" si="51"/>
        <v>356</v>
      </c>
      <c r="B370" s="233">
        <f t="shared" si="45"/>
        <v>51014</v>
      </c>
      <c r="C370" s="234">
        <f t="shared" si="52"/>
        <v>0</v>
      </c>
      <c r="D370" s="234">
        <f t="shared" si="46"/>
        <v>5156.1041801143792</v>
      </c>
      <c r="E370" s="235">
        <f t="shared" si="47"/>
        <v>0</v>
      </c>
      <c r="F370" s="234">
        <f t="shared" si="48"/>
        <v>0</v>
      </c>
      <c r="G370" s="234">
        <f t="shared" si="49"/>
        <v>0</v>
      </c>
      <c r="H370" s="234">
        <f t="shared" si="53"/>
        <v>0</v>
      </c>
      <c r="I370" s="234">
        <f t="shared" si="50"/>
        <v>0</v>
      </c>
      <c r="J370" s="232"/>
      <c r="K370" s="232"/>
    </row>
    <row r="371" spans="1:11">
      <c r="A371" s="227">
        <f t="shared" si="51"/>
        <v>357</v>
      </c>
      <c r="B371" s="233">
        <f t="shared" si="45"/>
        <v>51044</v>
      </c>
      <c r="C371" s="234">
        <f t="shared" si="52"/>
        <v>0</v>
      </c>
      <c r="D371" s="234">
        <f t="shared" si="46"/>
        <v>5156.1041801143792</v>
      </c>
      <c r="E371" s="235">
        <f t="shared" si="47"/>
        <v>0</v>
      </c>
      <c r="F371" s="234">
        <f t="shared" si="48"/>
        <v>0</v>
      </c>
      <c r="G371" s="234">
        <f t="shared" si="49"/>
        <v>0</v>
      </c>
      <c r="H371" s="234">
        <f t="shared" si="53"/>
        <v>0</v>
      </c>
      <c r="I371" s="234">
        <f t="shared" si="50"/>
        <v>0</v>
      </c>
      <c r="J371" s="232"/>
      <c r="K371" s="232"/>
    </row>
    <row r="372" spans="1:11">
      <c r="A372" s="227">
        <f t="shared" si="51"/>
        <v>358</v>
      </c>
      <c r="B372" s="233">
        <f t="shared" si="45"/>
        <v>51075</v>
      </c>
      <c r="C372" s="234">
        <f t="shared" si="52"/>
        <v>0</v>
      </c>
      <c r="D372" s="234">
        <f t="shared" si="46"/>
        <v>5156.1041801143792</v>
      </c>
      <c r="E372" s="235">
        <f t="shared" si="47"/>
        <v>0</v>
      </c>
      <c r="F372" s="234">
        <f t="shared" si="48"/>
        <v>0</v>
      </c>
      <c r="G372" s="234">
        <f t="shared" si="49"/>
        <v>0</v>
      </c>
      <c r="H372" s="234">
        <f t="shared" si="53"/>
        <v>0</v>
      </c>
      <c r="I372" s="234">
        <f t="shared" si="50"/>
        <v>0</v>
      </c>
      <c r="J372" s="232"/>
      <c r="K372" s="232"/>
    </row>
    <row r="373" spans="1:11">
      <c r="A373" s="227">
        <f t="shared" si="51"/>
        <v>359</v>
      </c>
      <c r="B373" s="233">
        <f t="shared" si="45"/>
        <v>51105</v>
      </c>
      <c r="C373" s="234">
        <f t="shared" si="52"/>
        <v>0</v>
      </c>
      <c r="D373" s="234">
        <f t="shared" si="46"/>
        <v>5156.1041801143792</v>
      </c>
      <c r="E373" s="235">
        <f t="shared" si="47"/>
        <v>0</v>
      </c>
      <c r="F373" s="234">
        <f t="shared" si="48"/>
        <v>0</v>
      </c>
      <c r="G373" s="234">
        <f t="shared" si="49"/>
        <v>0</v>
      </c>
      <c r="H373" s="234">
        <f t="shared" si="53"/>
        <v>0</v>
      </c>
      <c r="I373" s="234">
        <f t="shared" si="50"/>
        <v>0</v>
      </c>
      <c r="J373" s="232"/>
      <c r="K373" s="232"/>
    </row>
    <row r="374" spans="1:11">
      <c r="A374" s="227">
        <f t="shared" si="51"/>
        <v>360</v>
      </c>
      <c r="B374" s="233">
        <f t="shared" si="45"/>
        <v>51136</v>
      </c>
      <c r="C374" s="234">
        <f t="shared" si="52"/>
        <v>0</v>
      </c>
      <c r="D374" s="234">
        <f t="shared" si="46"/>
        <v>5156.1041801143792</v>
      </c>
      <c r="E374" s="235">
        <f t="shared" si="47"/>
        <v>0</v>
      </c>
      <c r="F374" s="234">
        <f t="shared" si="48"/>
        <v>0</v>
      </c>
      <c r="G374" s="234">
        <f t="shared" si="49"/>
        <v>0</v>
      </c>
      <c r="H374" s="234">
        <f t="shared" si="53"/>
        <v>0</v>
      </c>
      <c r="I374" s="234">
        <f t="shared" si="50"/>
        <v>0</v>
      </c>
      <c r="J374" s="232"/>
      <c r="K374" s="232"/>
    </row>
    <row r="375" spans="1:11">
      <c r="A375" s="236"/>
      <c r="B375" s="236"/>
      <c r="C375" s="236"/>
      <c r="D375" s="236"/>
      <c r="E375" s="236"/>
      <c r="F375" s="236"/>
      <c r="G375" s="236"/>
      <c r="H375" s="236"/>
      <c r="I375" s="236"/>
      <c r="J375" s="237"/>
    </row>
    <row r="376" spans="1:11">
      <c r="J376" s="237"/>
    </row>
    <row r="377" spans="1:11">
      <c r="J377" s="237"/>
    </row>
    <row r="378" spans="1:11">
      <c r="J378" s="237"/>
    </row>
    <row r="379" spans="1:11">
      <c r="J379" s="237"/>
    </row>
    <row r="380" spans="1:11">
      <c r="J380" s="237"/>
    </row>
    <row r="381" spans="1:11">
      <c r="J381" s="237"/>
    </row>
    <row r="382" spans="1:11">
      <c r="J382" s="237"/>
    </row>
    <row r="383" spans="1:11">
      <c r="J383" s="237"/>
    </row>
    <row r="384" spans="1:11">
      <c r="J384" s="237"/>
    </row>
    <row r="385" spans="10:10">
      <c r="J385" s="237"/>
    </row>
    <row r="386" spans="10:10">
      <c r="J386" s="237"/>
    </row>
    <row r="387" spans="10:10">
      <c r="J387" s="237"/>
    </row>
    <row r="388" spans="10:10">
      <c r="J388" s="237"/>
    </row>
    <row r="389" spans="10:10">
      <c r="J389" s="237"/>
    </row>
    <row r="390" spans="10:10">
      <c r="J390" s="237"/>
    </row>
    <row r="391" spans="10:10">
      <c r="J391" s="237"/>
    </row>
    <row r="392" spans="10:10">
      <c r="J392" s="237"/>
    </row>
    <row r="393" spans="10:10">
      <c r="J393" s="237"/>
    </row>
    <row r="394" spans="10:10">
      <c r="J394" s="237"/>
    </row>
    <row r="395" spans="10:10">
      <c r="J395" s="237"/>
    </row>
    <row r="396" spans="10:10">
      <c r="J396" s="237"/>
    </row>
    <row r="397" spans="10:10">
      <c r="J397" s="237"/>
    </row>
    <row r="398" spans="10:10">
      <c r="J398" s="237"/>
    </row>
    <row r="399" spans="10:10">
      <c r="J399" s="237"/>
    </row>
  </sheetData>
  <sheetProtection selectLockedCells="1"/>
  <mergeCells count="5">
    <mergeCell ref="B3:D3"/>
    <mergeCell ref="F3:H3"/>
    <mergeCell ref="C11:D11"/>
    <mergeCell ref="B5:C5"/>
    <mergeCell ref="F8:G8"/>
  </mergeCells>
  <phoneticPr fontId="0" type="noConversion"/>
  <conditionalFormatting sqref="A15:D374">
    <cfRule type="expression" dxfId="7" priority="1" stopIfTrue="1">
      <formula>IF(ROW(A15)&gt;Last_Row,TRUE, FALSE)</formula>
    </cfRule>
    <cfRule type="expression" dxfId="6" priority="2" stopIfTrue="1">
      <formula>IF(ROW(A15)=Last_Row,TRUE, FALSE)</formula>
    </cfRule>
    <cfRule type="expression" dxfId="5" priority="3" stopIfTrue="1">
      <formula>IF(ROW(A15)&lt;Last_Row,TRUE, FALSE)</formula>
    </cfRule>
  </conditionalFormatting>
  <conditionalFormatting sqref="F15:I374">
    <cfRule type="expression" dxfId="4" priority="4" stopIfTrue="1">
      <formula>IF(ROW(F15)&gt;Last_Row,TRUE, FALSE)</formula>
    </cfRule>
    <cfRule type="expression" dxfId="3" priority="5" stopIfTrue="1">
      <formula>IF(ROW(F15)=Last_Row,TRUE, FALSE)</formula>
    </cfRule>
    <cfRule type="expression" dxfId="2" priority="6" stopIfTrue="1">
      <formula>IF(ROW(F15)&lt;=Last_Row,TRUE, FALSE)</formula>
    </cfRule>
  </conditionalFormatting>
  <conditionalFormatting sqref="E15:E374">
    <cfRule type="expression" dxfId="1" priority="7" stopIfTrue="1">
      <formula>IF(ROW(E15)&gt;Last_Row,TRUE, FALSE)</formula>
    </cfRule>
    <cfRule type="expression" dxfId="0" priority="8" stopIfTrue="1">
      <formula>IF(ROW(E15)=Last_Row,TRUE, FALSE)</formula>
    </cfRule>
  </conditionalFormatting>
  <dataValidations count="3">
    <dataValidation type="whole" allowBlank="1" showInputMessage="1" showErrorMessage="1" errorTitle="Años" error="Escriba un número entero de años entre 1 y 30." sqref="D6">
      <formula1>1</formula1>
      <formula2>30</formula2>
    </dataValidation>
    <dataValidation type="date" operator="greaterThanOrEqual" allowBlank="1" showInputMessage="1" showErrorMessage="1" errorTitle="Fecha" error="Escriba una fecha igual o superior al 1 de enero de 1900." sqref="D7:D8">
      <formula1>1</formula1>
    </dataValidation>
    <dataValidation allowBlank="1" showInputMessage="1" showErrorMessage="1" promptTitle="Pagos extra" prompt="Especifique una cantidad si desea realizar pagos adicionales de capital en cada período de pago.  Para pagos extra ocasionales, escriba las cantidades de capital extra directamente en la columna 'Pago extra' que aparece más abajo." sqref="D9"/>
  </dataValidations>
  <printOptions horizontalCentered="1"/>
  <pageMargins left="0.51181102362204722" right="0.51181102362204722" top="0.51181102362204722" bottom="0.51181102362204722"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FF00"/>
  </sheetPr>
  <dimension ref="A1:G11"/>
  <sheetViews>
    <sheetView showGridLines="0" workbookViewId="0">
      <selection activeCell="E17" sqref="E17"/>
    </sheetView>
  </sheetViews>
  <sheetFormatPr defaultColWidth="11.42578125" defaultRowHeight="10.5"/>
  <cols>
    <col min="1" max="1" width="25" style="1" customWidth="1"/>
    <col min="2" max="2" width="13.140625" style="1" bestFit="1" customWidth="1"/>
    <col min="3" max="3" width="12.42578125" style="1" bestFit="1" customWidth="1"/>
    <col min="4" max="4" width="11.42578125" style="1"/>
    <col min="5" max="5" width="12.85546875" style="1" bestFit="1" customWidth="1"/>
    <col min="6" max="7" width="13.140625" style="1" bestFit="1" customWidth="1"/>
    <col min="8" max="16384" width="11.42578125" style="1"/>
  </cols>
  <sheetData>
    <row r="1" spans="1:7" ht="18">
      <c r="A1" s="498" t="s">
        <v>285</v>
      </c>
      <c r="B1" s="498"/>
      <c r="C1" s="498"/>
      <c r="D1" s="498"/>
      <c r="E1" s="498"/>
      <c r="F1" s="498"/>
      <c r="G1" s="498"/>
    </row>
    <row r="2" spans="1:7" ht="18">
      <c r="A2" s="497"/>
      <c r="B2" s="497"/>
      <c r="C2" s="497"/>
      <c r="D2" s="497"/>
      <c r="E2" s="497"/>
      <c r="F2" s="497"/>
      <c r="G2" s="497"/>
    </row>
    <row r="3" spans="1:7" ht="11.25" thickBot="1">
      <c r="A3" s="78"/>
      <c r="B3" s="78"/>
    </row>
    <row r="4" spans="1:7" s="58" customFormat="1" ht="11.25" thickBot="1">
      <c r="A4" s="212"/>
      <c r="B4" s="213"/>
      <c r="C4" s="213" t="s">
        <v>82</v>
      </c>
      <c r="D4" s="213" t="s">
        <v>83</v>
      </c>
      <c r="E4" s="214" t="s">
        <v>84</v>
      </c>
      <c r="F4" s="214" t="s">
        <v>221</v>
      </c>
      <c r="G4" s="214" t="s">
        <v>222</v>
      </c>
    </row>
    <row r="5" spans="1:7" s="58" customFormat="1">
      <c r="A5" s="55"/>
      <c r="B5" s="56"/>
      <c r="C5" s="56"/>
      <c r="D5" s="56"/>
      <c r="E5" s="56"/>
      <c r="F5" s="56"/>
      <c r="G5" s="57"/>
    </row>
    <row r="6" spans="1:7">
      <c r="A6" s="137" t="s">
        <v>224</v>
      </c>
      <c r="B6" s="198"/>
      <c r="C6" s="112">
        <f>'Anexo3 - Depreciación'!C66</f>
        <v>7903.666666666667</v>
      </c>
      <c r="D6" s="112">
        <f>'Anexo3 - Depreciación'!C67</f>
        <v>7903.666666666667</v>
      </c>
      <c r="E6" s="112">
        <f>'Anexo3 - Depreciación'!C68</f>
        <v>7903.666666666667</v>
      </c>
      <c r="F6" s="112">
        <f>'Anexo3 - Depreciación'!C69</f>
        <v>8813.6666499999992</v>
      </c>
      <c r="G6" s="113">
        <f>'Anexo3 - Depreciación'!C70</f>
        <v>8813.6666499999992</v>
      </c>
    </row>
    <row r="7" spans="1:7">
      <c r="A7" s="137" t="s">
        <v>225</v>
      </c>
      <c r="B7" s="240"/>
      <c r="C7" s="114">
        <f>'Anexo6 - Estado Resultados'!B27</f>
        <v>5388.2</v>
      </c>
      <c r="D7" s="114"/>
      <c r="E7" s="114"/>
      <c r="F7" s="114"/>
      <c r="G7" s="115"/>
    </row>
    <row r="8" spans="1:7">
      <c r="A8" s="137" t="s">
        <v>226</v>
      </c>
      <c r="B8" s="109"/>
      <c r="C8" s="114"/>
      <c r="D8" s="114"/>
      <c r="E8" s="241"/>
      <c r="F8" s="241"/>
      <c r="G8" s="242"/>
    </row>
    <row r="9" spans="1:7" ht="21.75">
      <c r="A9" s="137" t="s">
        <v>227</v>
      </c>
      <c r="B9" s="109"/>
      <c r="C9" s="114"/>
      <c r="D9" s="114"/>
      <c r="E9" s="240"/>
      <c r="F9" s="243"/>
      <c r="G9" s="244"/>
    </row>
    <row r="10" spans="1:7">
      <c r="A10" s="75" t="s">
        <v>228</v>
      </c>
      <c r="B10" s="109"/>
      <c r="C10" s="114">
        <f>SUM(C6:C9)</f>
        <v>13291.866666666667</v>
      </c>
      <c r="D10" s="114">
        <f>SUM(D6:D9)</f>
        <v>7903.666666666667</v>
      </c>
      <c r="E10" s="114">
        <f>SUM(E6:E9)</f>
        <v>7903.666666666667</v>
      </c>
      <c r="F10" s="114">
        <f>SUM(F6:F9)</f>
        <v>8813.6666499999992</v>
      </c>
      <c r="G10" s="115">
        <f>SUM(G6:G9)</f>
        <v>8813.6666499999992</v>
      </c>
    </row>
    <row r="11" spans="1:7" ht="11.25" customHeight="1" thickBot="1">
      <c r="A11" s="110"/>
      <c r="B11" s="111"/>
      <c r="C11" s="215"/>
      <c r="D11" s="215"/>
      <c r="E11" s="215"/>
      <c r="F11" s="215"/>
      <c r="G11" s="217"/>
    </row>
  </sheetData>
  <mergeCells count="2">
    <mergeCell ref="A2:G2"/>
    <mergeCell ref="A1:G1"/>
  </mergeCells>
  <phoneticPr fontId="0" type="noConversion"/>
  <printOptions horizontalCentered="1" verticalCentered="1"/>
  <pageMargins left="0.39370078740157483" right="0.39370078740157483" top="0.27559055118110237" bottom="0.27559055118110237"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Hoja16" enableFormatConditionsCalculation="0">
    <tabColor indexed="34"/>
  </sheetPr>
  <dimension ref="A1:I51"/>
  <sheetViews>
    <sheetView showGridLines="0" workbookViewId="0">
      <selection activeCell="D1" sqref="A1:D65536"/>
    </sheetView>
  </sheetViews>
  <sheetFormatPr defaultColWidth="11.42578125" defaultRowHeight="12.75"/>
  <cols>
    <col min="1" max="1" width="37.85546875" customWidth="1"/>
    <col min="2" max="2" width="13" bestFit="1" customWidth="1"/>
    <col min="3" max="3" width="13" customWidth="1"/>
    <col min="4" max="4" width="13.140625" customWidth="1"/>
    <col min="5" max="5" width="12.7109375" customWidth="1"/>
    <col min="6" max="6" width="13.140625" customWidth="1"/>
  </cols>
  <sheetData>
    <row r="1" spans="1:7" ht="18.75" thickBot="1">
      <c r="A1" s="22" t="s">
        <v>279</v>
      </c>
      <c r="F1" s="193"/>
      <c r="G1" s="194"/>
    </row>
    <row r="2" spans="1:7" s="1" customFormat="1" ht="11.25" thickBot="1">
      <c r="A2" s="212" t="s">
        <v>0</v>
      </c>
      <c r="B2" s="188" t="s">
        <v>82</v>
      </c>
      <c r="C2" s="188" t="s">
        <v>83</v>
      </c>
      <c r="D2" s="219" t="s">
        <v>84</v>
      </c>
      <c r="E2" s="219" t="s">
        <v>221</v>
      </c>
      <c r="F2" s="219" t="s">
        <v>222</v>
      </c>
    </row>
    <row r="3" spans="1:7" s="1" customFormat="1" ht="10.5">
      <c r="A3" s="331"/>
      <c r="B3" s="339"/>
      <c r="C3" s="340"/>
      <c r="D3" s="340"/>
      <c r="E3" s="340"/>
      <c r="F3" s="341"/>
    </row>
    <row r="4" spans="1:7" s="1" customFormat="1" ht="10.5">
      <c r="A4" s="332" t="s">
        <v>85</v>
      </c>
      <c r="B4" s="342"/>
      <c r="C4" s="112"/>
      <c r="D4" s="112"/>
      <c r="E4" s="112"/>
      <c r="F4" s="343"/>
    </row>
    <row r="5" spans="1:7" s="1" customFormat="1" ht="10.5">
      <c r="A5" s="333" t="s">
        <v>264</v>
      </c>
      <c r="B5" s="342">
        <f>+'Anexo - Presuesto de Ingresos'!P6</f>
        <v>520872.83859020006</v>
      </c>
      <c r="C5" s="112">
        <f>+'Anexo - Presuesto de Ingresos'!Q6</f>
        <v>727684.62551366398</v>
      </c>
      <c r="D5" s="112">
        <f>+'Anexo - Presuesto de Ingresos'!R6</f>
        <v>802272.29962881468</v>
      </c>
      <c r="E5" s="112">
        <f>+'Anexo - Presuesto de Ingresos'!S6</f>
        <v>884505.21034076822</v>
      </c>
      <c r="F5" s="343">
        <f>+'Anexo - Presuesto de Ingresos'!T6</f>
        <v>975166.99440069706</v>
      </c>
    </row>
    <row r="6" spans="1:7" s="1" customFormat="1" ht="10.5">
      <c r="A6" s="333" t="s">
        <v>243</v>
      </c>
      <c r="B6" s="342">
        <f>+'Anexo - Presuesto de Ingresos'!P12</f>
        <v>21465.742827639599</v>
      </c>
      <c r="C6" s="112">
        <f>+'Anexo - Presuesto de Ingresos'!Q12</f>
        <v>30088.263683573547</v>
      </c>
      <c r="D6" s="112">
        <f>+'Anexo - Presuesto de Ingresos'!R12</f>
        <v>33172.310711139835</v>
      </c>
      <c r="E6" s="112">
        <f>+'Anexo - Presuesto de Ingresos'!S12</f>
        <v>36572.472559031674</v>
      </c>
      <c r="F6" s="343">
        <f>+'Anexo - Presuesto de Ingresos'!T12</f>
        <v>40321.150996332421</v>
      </c>
    </row>
    <row r="7" spans="1:7" s="1" customFormat="1" ht="10.5">
      <c r="A7" s="333" t="s">
        <v>242</v>
      </c>
      <c r="B7" s="342">
        <f>+'Anexo - Presuesto de Ingresos'!P18</f>
        <v>54415.1865083456</v>
      </c>
      <c r="C7" s="112">
        <f>+'Anexo - Presuesto de Ingresos'!Q18</f>
        <v>77052.849567319092</v>
      </c>
      <c r="D7" s="112">
        <f>+'Anexo - Presuesto de Ingresos'!R18</f>
        <v>84950.766647969314</v>
      </c>
      <c r="E7" s="112">
        <f>+'Anexo - Presuesto de Ingresos'!S18</f>
        <v>93658.220229386177</v>
      </c>
      <c r="F7" s="343">
        <f>+'Anexo - Presuesto de Ingresos'!T18</f>
        <v>103258.18780289826</v>
      </c>
    </row>
    <row r="8" spans="1:7" s="1" customFormat="1" ht="10.5">
      <c r="A8" s="333" t="s">
        <v>241</v>
      </c>
      <c r="B8" s="342">
        <f>+'Anexo - Presuesto de Ingresos'!P24</f>
        <v>93802.095067396789</v>
      </c>
      <c r="C8" s="112">
        <f>+'Anexo - Presuesto de Ingresos'!Q24</f>
        <v>132825.39643999899</v>
      </c>
      <c r="D8" s="112">
        <f>+'Anexo - Presuesto de Ingresos'!R24</f>
        <v>146439.99957509892</v>
      </c>
      <c r="E8" s="112">
        <f>+'Anexo - Presuesto de Ingresos'!S24</f>
        <v>161450.09953154658</v>
      </c>
      <c r="F8" s="343">
        <f>+'Anexo - Presuesto de Ingresos'!T24</f>
        <v>177998.73473353009</v>
      </c>
    </row>
    <row r="9" spans="1:7" s="1" customFormat="1" ht="10.5">
      <c r="A9" s="333" t="s">
        <v>175</v>
      </c>
      <c r="B9" s="342">
        <f>+'Anexo - Presuesto de Ingresos'!P34</f>
        <v>13811.117259871644</v>
      </c>
      <c r="C9" s="112">
        <f>+'Anexo - Presuesto de Ingresos'!Q34</f>
        <v>19353.022704091112</v>
      </c>
      <c r="D9" s="112">
        <f>+'Anexo - Presuesto de Ingresos'!R34</f>
        <v>21336.707531260457</v>
      </c>
      <c r="E9" s="112">
        <f>+'Anexo - Presuesto de Ingresos'!S34</f>
        <v>23523.720053214656</v>
      </c>
      <c r="F9" s="343">
        <f>+'Anexo - Presuesto de Ingresos'!T34</f>
        <v>25934.901358669158</v>
      </c>
    </row>
    <row r="10" spans="1:7" s="1" customFormat="1" ht="10.5">
      <c r="A10" s="334" t="s">
        <v>144</v>
      </c>
      <c r="B10" s="344">
        <f>SUM(B5:B8)-B9</f>
        <v>676744.74573371036</v>
      </c>
      <c r="C10" s="132">
        <f>SUM(C5:C8)-C9</f>
        <v>948298.11250046443</v>
      </c>
      <c r="D10" s="132">
        <f>SUM(D5:D8)-D9</f>
        <v>1045498.6690317624</v>
      </c>
      <c r="E10" s="132">
        <f>SUM(E5:E8)-E9</f>
        <v>1152662.2826075181</v>
      </c>
      <c r="F10" s="345">
        <f>SUM(F5:F8)-F9</f>
        <v>1270810.1665747887</v>
      </c>
    </row>
    <row r="11" spans="1:7" s="1" customFormat="1" ht="10.5">
      <c r="A11" s="333"/>
      <c r="B11" s="342"/>
      <c r="C11" s="112"/>
      <c r="D11" s="112"/>
      <c r="E11" s="112"/>
      <c r="F11" s="343"/>
    </row>
    <row r="12" spans="1:7" s="1" customFormat="1" ht="10.5">
      <c r="A12" s="334" t="s">
        <v>145</v>
      </c>
      <c r="B12" s="342"/>
      <c r="C12" s="208"/>
      <c r="D12" s="112"/>
      <c r="E12" s="112"/>
      <c r="F12" s="343"/>
    </row>
    <row r="13" spans="1:7" s="1" customFormat="1" ht="10.5">
      <c r="A13" s="332" t="s">
        <v>261</v>
      </c>
      <c r="B13" s="342">
        <f>0.3*'Anexo - Presuesto de Ingresos'!P10</f>
        <v>2614.9904981633999</v>
      </c>
      <c r="C13" s="112">
        <f>0.3*'Anexo - Presuesto de Ingresos'!Q10</f>
        <v>3438.6587066941197</v>
      </c>
      <c r="D13" s="112">
        <f>0.3*'Anexo - Presuesto de Ingresos'!R10</f>
        <v>3610.5916420288254</v>
      </c>
      <c r="E13" s="112">
        <f>0.3*'Anexo - Presuesto de Ingresos'!S10</f>
        <v>3791.1212241302669</v>
      </c>
      <c r="F13" s="343">
        <f>0.3*'Anexo - Presuesto de Ingresos'!T10</f>
        <v>3980.6772853367806</v>
      </c>
    </row>
    <row r="14" spans="1:7" s="1" customFormat="1" ht="21">
      <c r="A14" s="332" t="s">
        <v>262</v>
      </c>
      <c r="B14" s="342">
        <f>0.45*'Anexo - Presuesto de Ingresos'!P16</f>
        <v>8370.891371215801</v>
      </c>
      <c r="C14" s="112">
        <f>0.45*'Anexo - Presuesto de Ingresos'!Q16</f>
        <v>11007.549938188442</v>
      </c>
      <c r="D14" s="112">
        <f>0.45*'Anexo - Presuesto de Ingresos'!R16</f>
        <v>11557.927435097865</v>
      </c>
      <c r="E14" s="112">
        <f>0.45*'Anexo - Presuesto de Ingresos'!S16</f>
        <v>12135.823806852757</v>
      </c>
      <c r="F14" s="343">
        <f>0.45*'Anexo - Presuesto de Ingresos'!T16</f>
        <v>12742.614997195396</v>
      </c>
    </row>
    <row r="15" spans="1:7" s="1" customFormat="1" ht="21">
      <c r="A15" s="332" t="s">
        <v>263</v>
      </c>
      <c r="B15" s="342">
        <f>0.5*('Anexo - Presuesto de Ingresos'!P22+'Anexo - Presuesto de Ingresos'!P4)</f>
        <v>93037.197090599002</v>
      </c>
      <c r="C15" s="112">
        <f>0.5*('Anexo - Presuesto de Ingresos'!Q22+'Anexo - Presuesto de Ingresos'!Q4)</f>
        <v>122342.00011307819</v>
      </c>
      <c r="D15" s="112">
        <f>0.5*('Anexo - Presuesto de Ingresos'!R22+'Anexo - Presuesto de Ingresos'!R4)</f>
        <v>128459.10011873211</v>
      </c>
      <c r="E15" s="112">
        <f>0.5*('Anexo - Presuesto de Ingresos'!S22+'Anexo - Presuesto de Ingresos'!S4)</f>
        <v>134882.05512466872</v>
      </c>
      <c r="F15" s="343">
        <f>0.5*('Anexo - Presuesto de Ingresos'!T22+'Anexo - Presuesto de Ingresos'!T4)</f>
        <v>141626.15788090217</v>
      </c>
    </row>
    <row r="16" spans="1:7" s="1" customFormat="1" ht="10.5">
      <c r="A16" s="333" t="s">
        <v>265</v>
      </c>
      <c r="B16" s="342">
        <f>+'Anexo - Capital Trabajo'!O6</f>
        <v>468824.44297000009</v>
      </c>
      <c r="C16" s="112">
        <f>+'Anexo - Capital Trabajo'!P6</f>
        <v>492265.66511850012</v>
      </c>
      <c r="D16" s="112">
        <f>+'Anexo - Capital Trabajo'!Q6</f>
        <v>516878.94837442518</v>
      </c>
      <c r="E16" s="112">
        <f>+'Anexo - Capital Trabajo'!R6</f>
        <v>542722.89579314645</v>
      </c>
      <c r="F16" s="343">
        <f>+'Anexo - Capital Trabajo'!S6</f>
        <v>569859.04058280378</v>
      </c>
    </row>
    <row r="17" spans="1:9" s="1" customFormat="1" ht="10.5">
      <c r="A17" s="334" t="s">
        <v>149</v>
      </c>
      <c r="B17" s="344">
        <f>SUM(B13:B16)</f>
        <v>572847.52192997828</v>
      </c>
      <c r="C17" s="132">
        <f>SUM(C13:C16)</f>
        <v>629053.87387646083</v>
      </c>
      <c r="D17" s="132">
        <f>SUM(D13:D16)</f>
        <v>660506.56757028401</v>
      </c>
      <c r="E17" s="132">
        <f>SUM(E13:E16)</f>
        <v>693531.89594879816</v>
      </c>
      <c r="F17" s="345">
        <f>SUM(F13:F16)</f>
        <v>728208.49074623815</v>
      </c>
    </row>
    <row r="18" spans="1:9" s="1" customFormat="1" ht="10.5">
      <c r="A18" s="332"/>
      <c r="B18" s="342"/>
      <c r="C18" s="208"/>
      <c r="D18" s="112"/>
      <c r="E18" s="112"/>
      <c r="F18" s="343"/>
    </row>
    <row r="19" spans="1:9" s="1" customFormat="1" ht="10.5">
      <c r="A19" s="334" t="s">
        <v>88</v>
      </c>
      <c r="B19" s="344">
        <f>+B10-B17</f>
        <v>103897.22380373208</v>
      </c>
      <c r="C19" s="209">
        <f>+C10-C17</f>
        <v>319244.2386240036</v>
      </c>
      <c r="D19" s="132">
        <f>+D10-D17</f>
        <v>384992.10146147839</v>
      </c>
      <c r="E19" s="132">
        <f>+E10-E17</f>
        <v>459130.38665871997</v>
      </c>
      <c r="F19" s="345">
        <f>+F10-F17</f>
        <v>542601.67582855059</v>
      </c>
    </row>
    <row r="20" spans="1:9" s="1" customFormat="1" ht="10.5">
      <c r="A20" s="333"/>
      <c r="B20" s="342"/>
      <c r="C20" s="208"/>
      <c r="D20" s="112"/>
      <c r="E20" s="112"/>
      <c r="F20" s="343"/>
    </row>
    <row r="21" spans="1:9" s="1" customFormat="1" ht="10.5">
      <c r="A21" s="334" t="s">
        <v>160</v>
      </c>
      <c r="B21" s="342"/>
      <c r="C21" s="208"/>
      <c r="D21" s="112"/>
      <c r="E21" s="112"/>
      <c r="F21" s="343"/>
    </row>
    <row r="22" spans="1:9" s="1" customFormat="1" ht="10.5">
      <c r="A22" s="332" t="s">
        <v>86</v>
      </c>
      <c r="B22" s="421">
        <f>+'Anexo - Otros Gastos'!N22+'Anexo - Presupuesto Personal'!O12+'Anexo - Otros Gastos'!N20+'Anexo - Otros Gastos'!N21</f>
        <v>84402.952694999985</v>
      </c>
      <c r="C22" s="422">
        <f>+'Anexo - Otros Gastos'!O22+'Anexo - Presupuesto Personal'!P12+'Anexo - Otros Gastos'!O20+'Anexo - Otros Gastos'!O21</f>
        <v>96162.300329750011</v>
      </c>
      <c r="D22" s="424">
        <f>+'Anexo - Otros Gastos'!P22+'Anexo - Presupuesto Personal'!Q12+'Anexo - Otros Gastos'!P20+'Anexo - Otros Gastos'!P21</f>
        <v>120841.83961314477</v>
      </c>
      <c r="E22" s="423">
        <f>+'Anexo - Otros Gastos'!Q22+'Anexo - Presupuesto Personal'!R12+'Anexo - Otros Gastos'!Q20+'Anexo - Otros Gastos'!Q21</f>
        <v>140509.23452243803</v>
      </c>
      <c r="F22" s="425">
        <f>+'Anexo - Otros Gastos'!R22+'Anexo - Presupuesto Personal'!S12+'Anexo - Otros Gastos'!R20+'Anexo - Otros Gastos'!R21</f>
        <v>163604.50060031915</v>
      </c>
      <c r="G22" s="138"/>
      <c r="H22" s="138"/>
    </row>
    <row r="23" spans="1:9" s="1" customFormat="1" ht="10.5">
      <c r="A23" s="332" t="s">
        <v>142</v>
      </c>
      <c r="B23" s="342">
        <f>'Anexo - Otros Gastos'!N15</f>
        <v>36023</v>
      </c>
      <c r="C23" s="208">
        <f>'Anexo - Otros Gastos'!O15</f>
        <v>37824.15</v>
      </c>
      <c r="D23" s="112">
        <f>'Anexo - Otros Gastos'!P15</f>
        <v>39715.357499999991</v>
      </c>
      <c r="E23" s="112">
        <f>'Anexo - Otros Gastos'!Q15</f>
        <v>41701.125375000003</v>
      </c>
      <c r="F23" s="343">
        <f>'Anexo - Otros Gastos'!R15</f>
        <v>43786.181643750002</v>
      </c>
    </row>
    <row r="24" spans="1:9" s="1" customFormat="1" ht="10.5">
      <c r="A24" s="332" t="s">
        <v>143</v>
      </c>
      <c r="B24" s="342">
        <f>+'Anexo - Otros Gastos'!N42</f>
        <v>38500</v>
      </c>
      <c r="C24" s="208">
        <f>+'Anexo - Otros Gastos'!O42</f>
        <v>30190</v>
      </c>
      <c r="D24" s="112">
        <f>+'Anexo - Otros Gastos'!P42</f>
        <v>30949</v>
      </c>
      <c r="E24" s="112">
        <f>+'Anexo - Otros Gastos'!Q42</f>
        <v>29583.9</v>
      </c>
      <c r="F24" s="343">
        <f>+'Anexo - Otros Gastos'!R42</f>
        <v>30502.29</v>
      </c>
    </row>
    <row r="25" spans="1:9" s="1" customFormat="1" ht="10.5">
      <c r="A25" s="332" t="s">
        <v>87</v>
      </c>
      <c r="B25" s="342">
        <f>'Anexo - Otros Gastos'!$N$33</f>
        <v>22530.737000168061</v>
      </c>
      <c r="C25" s="208">
        <f>+'Anexo - Otros Gastos'!O33</f>
        <v>14834.626514871859</v>
      </c>
      <c r="D25" s="112">
        <f>+'Anexo - Otros Gastos'!P33</f>
        <v>5633.0169690760613</v>
      </c>
      <c r="E25" s="112">
        <f>+'Anexo - Otros Gastos'!Q33</f>
        <v>0</v>
      </c>
      <c r="F25" s="343">
        <f>+'Anexo - Otros Gastos'!R33</f>
        <v>0</v>
      </c>
    </row>
    <row r="26" spans="1:9" s="1" customFormat="1" ht="10.5">
      <c r="A26" s="332" t="s">
        <v>181</v>
      </c>
      <c r="B26" s="342">
        <f>+'Anexo3 - Depreciación'!C66</f>
        <v>7903.666666666667</v>
      </c>
      <c r="C26" s="208">
        <f>+'Anexo3 - Depreciación'!C67</f>
        <v>7903.666666666667</v>
      </c>
      <c r="D26" s="112">
        <f>+'Anexo3 - Depreciación'!C68</f>
        <v>7903.666666666667</v>
      </c>
      <c r="E26" s="112">
        <f>+'Anexo3 - Depreciación'!C69</f>
        <v>8813.6666499999992</v>
      </c>
      <c r="F26" s="343">
        <f>+'Anexo3 - Depreciación'!C70</f>
        <v>8813.6666499999992</v>
      </c>
    </row>
    <row r="27" spans="1:9" s="1" customFormat="1" ht="10.5">
      <c r="A27" s="333" t="s">
        <v>182</v>
      </c>
      <c r="B27" s="342">
        <f>+'Anexo - Otros Gastos'!D57+'Anexo - Otros Gastos'!D71</f>
        <v>5388.2</v>
      </c>
      <c r="C27" s="112"/>
      <c r="D27" s="112"/>
      <c r="E27" s="112"/>
      <c r="F27" s="343"/>
    </row>
    <row r="28" spans="1:9" s="1" customFormat="1" ht="10.5">
      <c r="A28" s="334" t="s">
        <v>161</v>
      </c>
      <c r="B28" s="344">
        <f>SUM(B22:B27)</f>
        <v>194748.55636183472</v>
      </c>
      <c r="C28" s="132">
        <f>SUM(C22:C26)</f>
        <v>186914.74351128854</v>
      </c>
      <c r="D28" s="132">
        <f>SUM(D22:D26)</f>
        <v>205042.88074888749</v>
      </c>
      <c r="E28" s="132">
        <f>SUM(E22:E26)</f>
        <v>220607.92654743802</v>
      </c>
      <c r="F28" s="345">
        <f>SUM(F22:F26)</f>
        <v>246706.63889406915</v>
      </c>
      <c r="G28" s="138"/>
      <c r="H28" s="138"/>
      <c r="I28" s="138"/>
    </row>
    <row r="29" spans="1:9" s="1" customFormat="1" ht="10.5">
      <c r="A29" s="332"/>
      <c r="B29" s="342"/>
      <c r="C29" s="112"/>
      <c r="D29" s="112"/>
      <c r="E29" s="112"/>
      <c r="F29" s="343"/>
    </row>
    <row r="30" spans="1:9" s="1" customFormat="1" ht="21">
      <c r="A30" s="335" t="s">
        <v>171</v>
      </c>
      <c r="B30" s="346">
        <f>+B19-B28</f>
        <v>-90851.332558102644</v>
      </c>
      <c r="C30" s="114">
        <f>+C19-C28</f>
        <v>132329.49511271506</v>
      </c>
      <c r="D30" s="114">
        <f>+D19-D28</f>
        <v>179949.2207125909</v>
      </c>
      <c r="E30" s="114">
        <f>+E19-E28</f>
        <v>238522.46011128195</v>
      </c>
      <c r="F30" s="347">
        <f>+F19-F28</f>
        <v>295895.03693448147</v>
      </c>
    </row>
    <row r="31" spans="1:9" s="1" customFormat="1" ht="10.5">
      <c r="A31" s="336"/>
      <c r="B31" s="346"/>
      <c r="C31" s="114"/>
      <c r="D31" s="114"/>
      <c r="E31" s="114"/>
      <c r="F31" s="347"/>
      <c r="G31" s="138"/>
      <c r="H31" s="138"/>
    </row>
    <row r="32" spans="1:9" s="1" customFormat="1" ht="10.5">
      <c r="A32" s="335" t="s">
        <v>162</v>
      </c>
      <c r="B32" s="346">
        <f>IF(B30&gt;0,B30*0.15,0)</f>
        <v>0</v>
      </c>
      <c r="C32" s="114">
        <f>IF(C30&gt;0,C30*0.15,0)</f>
        <v>19849.424266907259</v>
      </c>
      <c r="D32" s="114">
        <f>IF(D30&gt;0,D30*0.15,0)</f>
        <v>26992.383106888636</v>
      </c>
      <c r="E32" s="114">
        <f>IF(E30&gt;0,E30*0.15,0)</f>
        <v>35778.36901669229</v>
      </c>
      <c r="F32" s="347">
        <f>IF(F30&gt;0,F30*0.15,0)</f>
        <v>44384.25554017222</v>
      </c>
    </row>
    <row r="33" spans="1:6" s="1" customFormat="1" ht="11.25" thickBot="1">
      <c r="A33" s="337" t="s">
        <v>271</v>
      </c>
      <c r="B33" s="348">
        <f>IF(B30&gt;0,+#REF!,0)</f>
        <v>0</v>
      </c>
      <c r="C33" s="216">
        <f>+C30*0.35</f>
        <v>46315.323289450265</v>
      </c>
      <c r="D33" s="216">
        <f>+D30*0.35</f>
        <v>62982.227249406809</v>
      </c>
      <c r="E33" s="216">
        <f>+E30*0.35</f>
        <v>83482.861038948671</v>
      </c>
      <c r="F33" s="349">
        <f>+F30*0.35</f>
        <v>103563.26292706851</v>
      </c>
    </row>
    <row r="34" spans="1:6" s="1" customFormat="1" ht="11.25" thickBot="1">
      <c r="A34" s="338" t="s">
        <v>163</v>
      </c>
      <c r="B34" s="350">
        <f>+B30-B32-B33</f>
        <v>-90851.332558102644</v>
      </c>
      <c r="C34" s="351">
        <f>+C30-C32-C33</f>
        <v>66164.747556357528</v>
      </c>
      <c r="D34" s="352">
        <f>+D30-D32-D33</f>
        <v>89974.610356295481</v>
      </c>
      <c r="E34" s="352">
        <f>+E30-E32-E33</f>
        <v>119261.230055641</v>
      </c>
      <c r="F34" s="353">
        <f>+F30-F32-F33</f>
        <v>147947.51846724073</v>
      </c>
    </row>
    <row r="35" spans="1:6" s="1" customFormat="1" ht="10.5">
      <c r="F35" s="138"/>
    </row>
    <row r="36" spans="1:6" s="1" customFormat="1" ht="10.5"/>
    <row r="37" spans="1:6" s="1" customFormat="1" ht="10.5"/>
    <row r="38" spans="1:6" s="1" customFormat="1" ht="10.5"/>
    <row r="39" spans="1:6" s="1" customFormat="1" ht="10.5"/>
    <row r="40" spans="1:6" s="1" customFormat="1" ht="10.5"/>
    <row r="41" spans="1:6" s="1" customFormat="1" ht="10.5"/>
    <row r="42" spans="1:6" s="1" customFormat="1" ht="10.5"/>
    <row r="43" spans="1:6" s="1" customFormat="1" ht="10.5"/>
    <row r="44" spans="1:6" s="1" customFormat="1" ht="10.5"/>
    <row r="45" spans="1:6" s="1" customFormat="1" ht="10.5"/>
    <row r="46" spans="1:6" s="1" customFormat="1" ht="10.5"/>
    <row r="47" spans="1:6" s="1" customFormat="1" ht="10.5"/>
    <row r="48" spans="1:6" s="1" customFormat="1" ht="10.5"/>
    <row r="49" s="1" customFormat="1" ht="10.5"/>
    <row r="50" s="1" customFormat="1" ht="10.5"/>
    <row r="51" s="1" customFormat="1" ht="10.5"/>
  </sheetData>
  <phoneticPr fontId="0" type="noConversion"/>
  <printOptions horizontalCentered="1" verticalCentered="1"/>
  <pageMargins left="0.19685039370078741" right="0.15748031496062992" top="0.27559055118110237" bottom="0.39370078740157483"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Hoja18" enableFormatConditionsCalculation="0">
    <tabColor indexed="13"/>
  </sheetPr>
  <dimension ref="A1:G10"/>
  <sheetViews>
    <sheetView showGridLines="0" workbookViewId="0">
      <selection activeCell="F18" sqref="F18"/>
    </sheetView>
  </sheetViews>
  <sheetFormatPr defaultColWidth="11.42578125" defaultRowHeight="10.5"/>
  <cols>
    <col min="1" max="1" width="14.85546875" style="1" customWidth="1"/>
    <col min="2" max="2" width="12.7109375" style="1" customWidth="1"/>
    <col min="3" max="3" width="10.5703125" style="1" customWidth="1"/>
    <col min="4" max="4" width="12.42578125" style="1" customWidth="1"/>
    <col min="5" max="5" width="12.140625" style="1" customWidth="1"/>
    <col min="6" max="6" width="12.28515625" style="1" customWidth="1"/>
    <col min="7" max="7" width="12.42578125" style="1" customWidth="1"/>
    <col min="8" max="16384" width="11.42578125" style="1"/>
  </cols>
  <sheetData>
    <row r="1" spans="1:7" ht="18">
      <c r="A1" s="497" t="s">
        <v>268</v>
      </c>
      <c r="B1" s="497"/>
      <c r="C1" s="497"/>
      <c r="D1" s="497"/>
      <c r="E1" s="497"/>
      <c r="F1" s="497"/>
      <c r="G1" s="497"/>
    </row>
    <row r="2" spans="1:7" ht="18.75" thickBot="1">
      <c r="A2" s="497" t="s">
        <v>280</v>
      </c>
      <c r="B2" s="497"/>
      <c r="C2" s="497"/>
      <c r="D2" s="497"/>
      <c r="E2" s="497"/>
      <c r="F2" s="497"/>
      <c r="G2" s="497"/>
    </row>
    <row r="3" spans="1:7" s="58" customFormat="1" ht="11.25" thickBot="1">
      <c r="A3" s="212"/>
      <c r="B3" s="213" t="s">
        <v>81</v>
      </c>
      <c r="C3" s="213" t="s">
        <v>82</v>
      </c>
      <c r="D3" s="213" t="s">
        <v>83</v>
      </c>
      <c r="E3" s="214" t="s">
        <v>84</v>
      </c>
      <c r="F3" s="214" t="s">
        <v>221</v>
      </c>
      <c r="G3" s="214" t="s">
        <v>222</v>
      </c>
    </row>
    <row r="4" spans="1:7" s="58" customFormat="1">
      <c r="A4" s="55"/>
      <c r="B4" s="56"/>
      <c r="C4" s="56"/>
      <c r="D4" s="56"/>
      <c r="E4" s="56"/>
      <c r="F4" s="56"/>
      <c r="G4" s="57"/>
    </row>
    <row r="5" spans="1:7">
      <c r="A5" s="137" t="s">
        <v>208</v>
      </c>
      <c r="B5" s="198">
        <f>-'Anexo - Flujo de Caja'!B10</f>
        <v>-192621.37</v>
      </c>
      <c r="C5" s="112">
        <f>'Anexo - Flujo de Caja'!O31</f>
        <v>245.00969766546041</v>
      </c>
      <c r="D5" s="112">
        <f>'Anexo - Flujo de Caja'!P31</f>
        <v>106549.03336835152</v>
      </c>
      <c r="E5" s="112">
        <f>'Anexo - Flujo de Caja'!Q31</f>
        <v>185819.21839759452</v>
      </c>
      <c r="F5" s="112">
        <f>'Anexo - Flujo de Caja'!R31</f>
        <v>352633.94260801096</v>
      </c>
      <c r="G5" s="113">
        <f>'Anexo - Flujo de Caja'!S31</f>
        <v>537275.61763255298</v>
      </c>
    </row>
    <row r="6" spans="1:7">
      <c r="A6" s="137"/>
      <c r="B6" s="240"/>
      <c r="C6" s="114"/>
      <c r="D6" s="114"/>
      <c r="E6" s="114"/>
      <c r="F6" s="114"/>
      <c r="G6" s="115"/>
    </row>
    <row r="7" spans="1:7">
      <c r="A7" s="137" t="s">
        <v>185</v>
      </c>
      <c r="B7" s="109"/>
      <c r="C7" s="114"/>
      <c r="D7" s="114"/>
      <c r="E7" s="241"/>
      <c r="F7" s="241"/>
      <c r="G7" s="242">
        <f>IRR(B5:G5)</f>
        <v>0.59899365510290681</v>
      </c>
    </row>
    <row r="8" spans="1:7" ht="12.75">
      <c r="A8" s="137"/>
      <c r="B8" s="109"/>
      <c r="C8" s="114"/>
      <c r="D8" s="114"/>
      <c r="E8" s="240"/>
      <c r="F8" s="243"/>
      <c r="G8" s="244"/>
    </row>
    <row r="9" spans="1:7">
      <c r="A9" s="75" t="s">
        <v>186</v>
      </c>
      <c r="B9" s="109"/>
      <c r="C9" s="114"/>
      <c r="D9" s="114"/>
      <c r="E9" s="245"/>
      <c r="F9" s="294"/>
      <c r="G9" s="295">
        <f>NPV(0.3,C5:G5)+B5</f>
        <v>223363.36998235155</v>
      </c>
    </row>
    <row r="10" spans="1:7" ht="11.25" customHeight="1" thickBot="1">
      <c r="A10" s="110"/>
      <c r="B10" s="111"/>
      <c r="C10" s="215"/>
      <c r="D10" s="215"/>
      <c r="E10" s="215"/>
      <c r="F10" s="215"/>
      <c r="G10" s="217"/>
    </row>
  </sheetData>
  <mergeCells count="2">
    <mergeCell ref="A2:G2"/>
    <mergeCell ref="A1:G1"/>
  </mergeCells>
  <phoneticPr fontId="0" type="noConversion"/>
  <printOptions horizontalCentered="1" verticalCentered="1"/>
  <pageMargins left="0.39370078740157483" right="0.39370078740157483" top="0.27559055118110237" bottom="0.27559055118110237"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Hoja8">
    <tabColor rgb="FFFFFF00"/>
  </sheetPr>
  <dimension ref="A1:S60"/>
  <sheetViews>
    <sheetView showGridLines="0" workbookViewId="0">
      <pane xSplit="1" ySplit="3" topLeftCell="B19" activePane="bottomRight" state="frozen"/>
      <selection pane="topRight" activeCell="B1" sqref="B1"/>
      <selection pane="bottomLeft" activeCell="A4" sqref="A4"/>
      <selection pane="bottomRight" activeCell="I7" sqref="A7:I7"/>
    </sheetView>
  </sheetViews>
  <sheetFormatPr defaultColWidth="11.42578125" defaultRowHeight="10.5"/>
  <cols>
    <col min="1" max="1" width="24.42578125" style="1" customWidth="1"/>
    <col min="2" max="2" width="9.5703125" style="74" bestFit="1" customWidth="1"/>
    <col min="3" max="4" width="9.28515625" style="74" customWidth="1"/>
    <col min="5" max="6" width="10" style="74" bestFit="1" customWidth="1"/>
    <col min="7" max="7" width="10.140625" style="74" bestFit="1" customWidth="1"/>
    <col min="8" max="9" width="10.140625" style="74" customWidth="1"/>
    <col min="10" max="11" width="11.28515625" style="74" customWidth="1"/>
    <col min="12" max="12" width="11.7109375" style="74" customWidth="1"/>
    <col min="13" max="13" width="11.28515625" style="74" customWidth="1"/>
    <col min="14" max="14" width="12.7109375" style="74" customWidth="1"/>
    <col min="15" max="15" width="11.140625" style="74" customWidth="1"/>
    <col min="16" max="16" width="11.28515625" style="74" bestFit="1" customWidth="1"/>
    <col min="17" max="17" width="11.7109375" style="74" customWidth="1"/>
    <col min="18" max="19" width="11.5703125" style="1" bestFit="1" customWidth="1"/>
    <col min="20" max="16384" width="11.42578125" style="1"/>
  </cols>
  <sheetData>
    <row r="1" spans="1:19" ht="18">
      <c r="A1" s="22" t="s">
        <v>281</v>
      </c>
      <c r="B1" s="22"/>
      <c r="C1" s="22"/>
      <c r="D1" s="22"/>
    </row>
    <row r="2" spans="1:19" ht="11.25" thickBot="1"/>
    <row r="3" spans="1:19" s="58" customFormat="1" ht="21.75" thickBot="1">
      <c r="A3" s="211" t="s">
        <v>0</v>
      </c>
      <c r="B3" s="264" t="s">
        <v>24</v>
      </c>
      <c r="C3" s="264" t="s">
        <v>25</v>
      </c>
      <c r="D3" s="264" t="s">
        <v>26</v>
      </c>
      <c r="E3" s="264" t="s">
        <v>27</v>
      </c>
      <c r="F3" s="264" t="s">
        <v>28</v>
      </c>
      <c r="G3" s="264" t="s">
        <v>29</v>
      </c>
      <c r="H3" s="264" t="s">
        <v>30</v>
      </c>
      <c r="I3" s="264" t="s">
        <v>31</v>
      </c>
      <c r="J3" s="264" t="s">
        <v>32</v>
      </c>
      <c r="K3" s="264" t="s">
        <v>33</v>
      </c>
      <c r="L3" s="264" t="s">
        <v>34</v>
      </c>
      <c r="M3" s="264" t="s">
        <v>35</v>
      </c>
      <c r="N3" s="265" t="s">
        <v>36</v>
      </c>
      <c r="O3" s="266" t="s">
        <v>124</v>
      </c>
      <c r="P3" s="267" t="s">
        <v>125</v>
      </c>
      <c r="Q3" s="267" t="s">
        <v>126</v>
      </c>
      <c r="R3" s="268" t="s">
        <v>216</v>
      </c>
      <c r="S3" s="268" t="s">
        <v>217</v>
      </c>
    </row>
    <row r="4" spans="1:19">
      <c r="A4" s="258" t="s">
        <v>68</v>
      </c>
      <c r="B4" s="74">
        <v>0</v>
      </c>
      <c r="C4" s="259">
        <f>+(J30+J38)/4</f>
        <v>4036</v>
      </c>
      <c r="D4" s="259">
        <f>+$C$4</f>
        <v>4036</v>
      </c>
      <c r="E4" s="259">
        <f>+$C$4</f>
        <v>4036</v>
      </c>
      <c r="F4" s="259">
        <f>+$C$4</f>
        <v>4036</v>
      </c>
      <c r="G4" s="259">
        <f>+(K30+K38)/4</f>
        <v>4036</v>
      </c>
      <c r="H4" s="259">
        <f>+$G$4</f>
        <v>4036</v>
      </c>
      <c r="I4" s="259">
        <f>+$G$4</f>
        <v>4036</v>
      </c>
      <c r="J4" s="259">
        <f>+$G$4</f>
        <v>4036</v>
      </c>
      <c r="K4" s="259">
        <f>+(L30+L38)/4</f>
        <v>4036</v>
      </c>
      <c r="L4" s="259">
        <f>+$K$4</f>
        <v>4036</v>
      </c>
      <c r="M4" s="259">
        <f>+$K$4</f>
        <v>4036</v>
      </c>
      <c r="N4" s="260">
        <f>+$K$4</f>
        <v>4036</v>
      </c>
      <c r="O4" s="261">
        <f>SUM(C4:N4)</f>
        <v>48432</v>
      </c>
      <c r="P4" s="262">
        <f>+M30+M38</f>
        <v>50853.599999999999</v>
      </c>
      <c r="Q4" s="262">
        <f>+N30+N38</f>
        <v>53396.28</v>
      </c>
      <c r="R4" s="263">
        <f>Q4*1.15</f>
        <v>61405.721999999994</v>
      </c>
      <c r="S4" s="263">
        <f>R4*1.15</f>
        <v>70616.580299999987</v>
      </c>
    </row>
    <row r="5" spans="1:19">
      <c r="A5" s="81" t="s">
        <v>40</v>
      </c>
      <c r="B5" s="82">
        <v>0</v>
      </c>
      <c r="C5" s="82">
        <v>0</v>
      </c>
      <c r="D5" s="82">
        <v>0</v>
      </c>
      <c r="E5" s="82">
        <v>0</v>
      </c>
      <c r="F5" s="82">
        <v>0</v>
      </c>
      <c r="G5" s="82">
        <v>0</v>
      </c>
      <c r="H5" s="82">
        <v>0</v>
      </c>
      <c r="I5" s="82">
        <v>0</v>
      </c>
      <c r="J5" s="82">
        <v>0</v>
      </c>
      <c r="K5" s="82">
        <v>0</v>
      </c>
      <c r="L5" s="82">
        <v>0</v>
      </c>
      <c r="M5" s="82">
        <v>0</v>
      </c>
      <c r="N5" s="218">
        <v>0</v>
      </c>
      <c r="O5" s="255">
        <f>SUM(B5:N5)</f>
        <v>0</v>
      </c>
      <c r="P5" s="192">
        <v>0</v>
      </c>
      <c r="Q5" s="192">
        <v>0</v>
      </c>
      <c r="R5" s="51">
        <v>0</v>
      </c>
      <c r="S5" s="51">
        <v>0</v>
      </c>
    </row>
    <row r="6" spans="1:19">
      <c r="A6" s="83" t="s">
        <v>41</v>
      </c>
      <c r="B6" s="82">
        <v>0</v>
      </c>
      <c r="C6" s="82">
        <f>C4*(0.1115+0.01)</f>
        <v>490.37399999999997</v>
      </c>
      <c r="D6" s="82">
        <f t="shared" ref="D6:N6" si="0">D4*(0.1115+0.01)</f>
        <v>490.37399999999997</v>
      </c>
      <c r="E6" s="82">
        <f t="shared" si="0"/>
        <v>490.37399999999997</v>
      </c>
      <c r="F6" s="82">
        <f t="shared" si="0"/>
        <v>490.37399999999997</v>
      </c>
      <c r="G6" s="82">
        <f t="shared" si="0"/>
        <v>490.37399999999997</v>
      </c>
      <c r="H6" s="82">
        <f t="shared" si="0"/>
        <v>490.37399999999997</v>
      </c>
      <c r="I6" s="82">
        <f t="shared" si="0"/>
        <v>490.37399999999997</v>
      </c>
      <c r="J6" s="82">
        <f t="shared" si="0"/>
        <v>490.37399999999997</v>
      </c>
      <c r="K6" s="82">
        <f t="shared" si="0"/>
        <v>490.37399999999997</v>
      </c>
      <c r="L6" s="82">
        <f t="shared" si="0"/>
        <v>490.37399999999997</v>
      </c>
      <c r="M6" s="82">
        <f t="shared" si="0"/>
        <v>490.37399999999997</v>
      </c>
      <c r="N6" s="218">
        <f t="shared" si="0"/>
        <v>490.37399999999997</v>
      </c>
      <c r="O6" s="255">
        <f>O4*(0.1115+0.01)</f>
        <v>5884.4880000000003</v>
      </c>
      <c r="P6" s="192">
        <f>P4*(0.1115+0.01)</f>
        <v>6178.7123999999994</v>
      </c>
      <c r="Q6" s="192">
        <f>Q4*(0.1115+0.01)</f>
        <v>6487.6480199999996</v>
      </c>
      <c r="R6" s="51">
        <f>R4*(0.1115+0.01)</f>
        <v>7460.7952229999992</v>
      </c>
      <c r="S6" s="51">
        <f>S4*(0.1115+0.01)</f>
        <v>8579.914506449999</v>
      </c>
    </row>
    <row r="7" spans="1:19">
      <c r="A7" s="83" t="s">
        <v>42</v>
      </c>
      <c r="B7" s="82"/>
      <c r="C7" s="82"/>
      <c r="D7" s="82"/>
      <c r="E7" s="82"/>
      <c r="F7" s="82"/>
      <c r="G7" s="82"/>
      <c r="H7" s="82"/>
      <c r="I7" s="82"/>
      <c r="J7" s="82"/>
      <c r="K7" s="82"/>
      <c r="L7" s="82"/>
      <c r="M7" s="82"/>
      <c r="N7" s="218"/>
      <c r="O7" s="255">
        <f>SUM(B7:N7)</f>
        <v>0</v>
      </c>
      <c r="P7" s="192">
        <f>+(M30+M38)/24</f>
        <v>2118.9</v>
      </c>
      <c r="Q7" s="192">
        <f>+(N30+N38)/24</f>
        <v>2224.8449999999998</v>
      </c>
      <c r="R7" s="51">
        <f>+R4/24</f>
        <v>2558.5717499999996</v>
      </c>
      <c r="S7" s="51">
        <f>+S4/24</f>
        <v>2942.3575124999993</v>
      </c>
    </row>
    <row r="8" spans="1:19">
      <c r="A8" s="83" t="s">
        <v>43</v>
      </c>
      <c r="B8" s="82"/>
      <c r="C8" s="82"/>
      <c r="D8" s="82"/>
      <c r="E8" s="82"/>
      <c r="F8" s="82"/>
      <c r="G8" s="82"/>
      <c r="H8" s="82"/>
      <c r="I8" s="82"/>
      <c r="J8" s="82"/>
      <c r="K8" s="82"/>
      <c r="L8" s="82"/>
      <c r="M8" s="82"/>
      <c r="N8" s="218"/>
      <c r="O8" s="255">
        <f>SUM(B8:N8)</f>
        <v>0</v>
      </c>
      <c r="P8" s="192">
        <f>+P7*2</f>
        <v>4237.8</v>
      </c>
      <c r="Q8" s="192">
        <f>+Q7*2</f>
        <v>4449.6899999999996</v>
      </c>
      <c r="R8" s="51">
        <f>+R7*2</f>
        <v>5117.1434999999992</v>
      </c>
      <c r="S8" s="51">
        <f>+S7*2</f>
        <v>5884.7150249999986</v>
      </c>
    </row>
    <row r="9" spans="1:19">
      <c r="A9" s="84" t="s">
        <v>45</v>
      </c>
      <c r="B9" s="82"/>
      <c r="C9" s="82"/>
      <c r="D9" s="82"/>
      <c r="E9" s="82"/>
      <c r="F9" s="82">
        <f>150*(B30+B38)/3</f>
        <v>550</v>
      </c>
      <c r="G9" s="82"/>
      <c r="H9" s="82"/>
      <c r="I9" s="82"/>
      <c r="J9" s="82"/>
      <c r="K9" s="82"/>
      <c r="L9" s="82"/>
      <c r="M9" s="82"/>
      <c r="N9" s="218"/>
      <c r="O9" s="255">
        <f>SUM(B9:N9)</f>
        <v>550</v>
      </c>
      <c r="P9" s="192">
        <f>160*(E30+E38)</f>
        <v>1760</v>
      </c>
      <c r="Q9" s="192">
        <f>170*(F30+F38)</f>
        <v>1870</v>
      </c>
      <c r="R9" s="51">
        <f>Q9*1.25</f>
        <v>2337.5</v>
      </c>
      <c r="S9" s="51">
        <f>R9*1.25</f>
        <v>2921.875</v>
      </c>
    </row>
    <row r="10" spans="1:19">
      <c r="A10" s="84" t="s">
        <v>174</v>
      </c>
      <c r="B10" s="82"/>
      <c r="C10" s="82"/>
      <c r="D10" s="82"/>
      <c r="E10" s="82"/>
      <c r="F10" s="82"/>
      <c r="G10" s="82"/>
      <c r="H10" s="82"/>
      <c r="I10" s="82"/>
      <c r="J10" s="82"/>
      <c r="K10" s="82"/>
      <c r="L10" s="82"/>
      <c r="M10" s="82"/>
      <c r="N10" s="218"/>
      <c r="O10" s="255"/>
      <c r="P10" s="210"/>
      <c r="Q10" s="192">
        <f>'Anexo6 - Estado Resultados'!C32</f>
        <v>19849.424266907259</v>
      </c>
      <c r="R10" s="51">
        <f>'Anexo6 - Estado Resultados'!D32</f>
        <v>26992.383106888636</v>
      </c>
      <c r="S10" s="51">
        <f>'Anexo6 - Estado Resultados'!E32</f>
        <v>35778.36901669229</v>
      </c>
    </row>
    <row r="11" spans="1:19">
      <c r="A11" s="84" t="s">
        <v>44</v>
      </c>
      <c r="B11" s="82"/>
      <c r="C11" s="82"/>
      <c r="D11" s="82"/>
      <c r="E11" s="82"/>
      <c r="F11" s="82"/>
      <c r="G11" s="82"/>
      <c r="H11" s="82"/>
      <c r="I11" s="82"/>
      <c r="J11" s="82"/>
      <c r="K11" s="82"/>
      <c r="L11" s="82"/>
      <c r="M11" s="82"/>
      <c r="N11" s="218">
        <f>+(O4/12)</f>
        <v>4036</v>
      </c>
      <c r="O11" s="255">
        <f>SUM(B11:N11)</f>
        <v>4036</v>
      </c>
      <c r="P11" s="192">
        <f>+(P4/12)</f>
        <v>4237.8</v>
      </c>
      <c r="Q11" s="192">
        <f>+(Q4/12)</f>
        <v>4449.6899999999996</v>
      </c>
      <c r="R11" s="51">
        <f>+(R4/12)</f>
        <v>5117.1434999999992</v>
      </c>
      <c r="S11" s="51">
        <f>+(S4/12)</f>
        <v>5884.7150249999986</v>
      </c>
    </row>
    <row r="12" spans="1:19" ht="11.25" thickBot="1">
      <c r="A12" s="87" t="s">
        <v>69</v>
      </c>
      <c r="B12" s="88">
        <f>SUM(B4:B11)</f>
        <v>0</v>
      </c>
      <c r="C12" s="88">
        <f>SUM(C4:C11)</f>
        <v>4526.3739999999998</v>
      </c>
      <c r="D12" s="88">
        <f t="shared" ref="D12:N12" si="1">SUM(D4:D11)</f>
        <v>4526.3739999999998</v>
      </c>
      <c r="E12" s="88">
        <f t="shared" si="1"/>
        <v>4526.3739999999998</v>
      </c>
      <c r="F12" s="88">
        <f t="shared" si="1"/>
        <v>5076.3739999999998</v>
      </c>
      <c r="G12" s="88">
        <f t="shared" si="1"/>
        <v>4526.3739999999998</v>
      </c>
      <c r="H12" s="88">
        <f t="shared" si="1"/>
        <v>4526.3739999999998</v>
      </c>
      <c r="I12" s="88">
        <f t="shared" si="1"/>
        <v>4526.3739999999998</v>
      </c>
      <c r="J12" s="88">
        <f t="shared" si="1"/>
        <v>4526.3739999999998</v>
      </c>
      <c r="K12" s="88">
        <f t="shared" si="1"/>
        <v>4526.3739999999998</v>
      </c>
      <c r="L12" s="88">
        <f t="shared" si="1"/>
        <v>4526.3739999999998</v>
      </c>
      <c r="M12" s="88">
        <f t="shared" si="1"/>
        <v>4526.3739999999998</v>
      </c>
      <c r="N12" s="254">
        <f t="shared" si="1"/>
        <v>8562.3739999999998</v>
      </c>
      <c r="O12" s="256">
        <f>SUM(O4:O11)</f>
        <v>58902.487999999998</v>
      </c>
      <c r="P12" s="257">
        <f>SUM(P4:P11)</f>
        <v>69386.812399999995</v>
      </c>
      <c r="Q12" s="257">
        <f>SUM(Q4:Q11)</f>
        <v>92727.577286907253</v>
      </c>
      <c r="R12" s="89">
        <f>SUM(R4:R11)</f>
        <v>110989.25907988864</v>
      </c>
      <c r="S12" s="89">
        <f>SUM(S4:S11)</f>
        <v>132608.5263856423</v>
      </c>
    </row>
    <row r="13" spans="1:19">
      <c r="R13" s="74"/>
      <c r="S13" s="74"/>
    </row>
    <row r="14" spans="1:19">
      <c r="A14" s="70"/>
      <c r="B14" s="90"/>
      <c r="C14" s="90"/>
      <c r="D14" s="90"/>
      <c r="E14" s="90"/>
      <c r="F14" s="90"/>
      <c r="G14" s="90"/>
      <c r="H14" s="90"/>
      <c r="I14" s="90"/>
      <c r="J14" s="90"/>
      <c r="K14" s="90"/>
      <c r="L14" s="90"/>
      <c r="M14" s="90"/>
      <c r="N14" s="90"/>
      <c r="O14" s="90"/>
      <c r="P14" s="90"/>
      <c r="Q14" s="90"/>
      <c r="R14" s="90"/>
      <c r="S14" s="90"/>
    </row>
    <row r="15" spans="1:19">
      <c r="R15" s="74"/>
      <c r="S15" s="74"/>
    </row>
    <row r="16" spans="1:19">
      <c r="A16" s="252" t="s">
        <v>254</v>
      </c>
      <c r="B16" s="253">
        <f>B12+B14</f>
        <v>0</v>
      </c>
      <c r="C16" s="253">
        <f>C12+C14</f>
        <v>4526.3739999999998</v>
      </c>
      <c r="D16" s="253">
        <f t="shared" ref="D16:N16" si="2">D12+D14</f>
        <v>4526.3739999999998</v>
      </c>
      <c r="E16" s="253">
        <f t="shared" si="2"/>
        <v>4526.3739999999998</v>
      </c>
      <c r="F16" s="253">
        <f t="shared" si="2"/>
        <v>5076.3739999999998</v>
      </c>
      <c r="G16" s="253">
        <f t="shared" si="2"/>
        <v>4526.3739999999998</v>
      </c>
      <c r="H16" s="253">
        <f t="shared" si="2"/>
        <v>4526.3739999999998</v>
      </c>
      <c r="I16" s="253">
        <f t="shared" si="2"/>
        <v>4526.3739999999998</v>
      </c>
      <c r="J16" s="253">
        <f t="shared" si="2"/>
        <v>4526.3739999999998</v>
      </c>
      <c r="K16" s="253">
        <f t="shared" si="2"/>
        <v>4526.3739999999998</v>
      </c>
      <c r="L16" s="253">
        <f t="shared" si="2"/>
        <v>4526.3739999999998</v>
      </c>
      <c r="M16" s="253">
        <f t="shared" si="2"/>
        <v>4526.3739999999998</v>
      </c>
      <c r="N16" s="253">
        <f t="shared" si="2"/>
        <v>8562.3739999999998</v>
      </c>
      <c r="O16" s="253">
        <f>+O12+O14</f>
        <v>58902.487999999998</v>
      </c>
      <c r="P16" s="253">
        <f>+P12+P14</f>
        <v>69386.812399999995</v>
      </c>
      <c r="Q16" s="253">
        <f>+Q12+Q14</f>
        <v>92727.577286907253</v>
      </c>
      <c r="R16" s="253">
        <f>+R12+R14</f>
        <v>110989.25907988864</v>
      </c>
      <c r="S16" s="253">
        <f>+S12+S14</f>
        <v>132608.5263856423</v>
      </c>
    </row>
    <row r="19" spans="1:18">
      <c r="A19" s="505" t="s">
        <v>60</v>
      </c>
      <c r="B19" s="505"/>
      <c r="C19" s="505"/>
      <c r="D19" s="505"/>
      <c r="E19" s="505"/>
      <c r="F19" s="506"/>
    </row>
    <row r="20" spans="1:18" ht="11.25" thickBot="1">
      <c r="B20" s="80"/>
      <c r="C20" s="80"/>
      <c r="D20" s="80"/>
      <c r="E20" s="80"/>
      <c r="F20" s="80"/>
      <c r="L20" s="119"/>
      <c r="M20" s="119"/>
      <c r="N20" s="119"/>
      <c r="O20" s="119"/>
    </row>
    <row r="21" spans="1:18" ht="10.5" customHeight="1" thickBot="1">
      <c r="A21" s="142"/>
      <c r="B21" s="502" t="s">
        <v>63</v>
      </c>
      <c r="C21" s="503"/>
      <c r="D21" s="503"/>
      <c r="E21" s="503"/>
      <c r="F21" s="504"/>
      <c r="G21" s="499" t="s">
        <v>122</v>
      </c>
      <c r="H21" s="500"/>
      <c r="I21" s="501"/>
      <c r="J21" s="499" t="s">
        <v>123</v>
      </c>
      <c r="K21" s="500"/>
      <c r="L21" s="500"/>
      <c r="M21" s="500"/>
      <c r="N21" s="501"/>
      <c r="O21" s="153"/>
      <c r="R21" s="74"/>
    </row>
    <row r="22" spans="1:18" ht="30.75" customHeight="1" thickBot="1">
      <c r="A22" s="143" t="s">
        <v>61</v>
      </c>
      <c r="B22" s="157" t="s">
        <v>168</v>
      </c>
      <c r="C22" s="158" t="s">
        <v>169</v>
      </c>
      <c r="D22" s="158" t="s">
        <v>170</v>
      </c>
      <c r="E22" s="159" t="s">
        <v>65</v>
      </c>
      <c r="F22" s="160" t="s">
        <v>66</v>
      </c>
      <c r="G22" s="167" t="s">
        <v>64</v>
      </c>
      <c r="H22" s="159" t="s">
        <v>65</v>
      </c>
      <c r="I22" s="160" t="s">
        <v>66</v>
      </c>
      <c r="J22" s="203" t="s">
        <v>168</v>
      </c>
      <c r="K22" s="204" t="s">
        <v>169</v>
      </c>
      <c r="L22" s="204" t="s">
        <v>170</v>
      </c>
      <c r="M22" s="159" t="s">
        <v>65</v>
      </c>
      <c r="N22" s="160" t="s">
        <v>66</v>
      </c>
      <c r="O22" s="80"/>
    </row>
    <row r="23" spans="1:18">
      <c r="A23" s="458" t="s">
        <v>250</v>
      </c>
      <c r="B23" s="164">
        <v>1</v>
      </c>
      <c r="C23" s="165">
        <v>1</v>
      </c>
      <c r="D23" s="165">
        <v>1</v>
      </c>
      <c r="E23" s="165">
        <v>1</v>
      </c>
      <c r="F23" s="166">
        <v>1</v>
      </c>
      <c r="G23" s="155">
        <v>500</v>
      </c>
      <c r="H23" s="156">
        <f t="shared" ref="H23:I25" si="3">+G23*1.05</f>
        <v>525</v>
      </c>
      <c r="I23" s="162">
        <f t="shared" si="3"/>
        <v>551.25</v>
      </c>
      <c r="J23" s="155">
        <f t="shared" ref="J23:J29" si="4">+B23*G23*4</f>
        <v>2000</v>
      </c>
      <c r="K23" s="155">
        <f t="shared" ref="K23:K29" si="5">+C23*G23*4</f>
        <v>2000</v>
      </c>
      <c r="L23" s="155">
        <f t="shared" ref="L23:L29" si="6">+D23*G23*4</f>
        <v>2000</v>
      </c>
      <c r="M23" s="156">
        <f t="shared" ref="M23:N25" si="7">+E23*H23*12</f>
        <v>6300</v>
      </c>
      <c r="N23" s="163">
        <f t="shared" si="7"/>
        <v>6615</v>
      </c>
      <c r="O23" s="80"/>
    </row>
    <row r="24" spans="1:18">
      <c r="A24" s="458" t="s">
        <v>245</v>
      </c>
      <c r="B24" s="140">
        <v>1</v>
      </c>
      <c r="C24" s="76">
        <v>1</v>
      </c>
      <c r="D24" s="76">
        <v>1</v>
      </c>
      <c r="E24" s="76">
        <v>1</v>
      </c>
      <c r="F24" s="126">
        <v>1</v>
      </c>
      <c r="G24" s="148">
        <v>500</v>
      </c>
      <c r="H24" s="146">
        <f t="shared" si="3"/>
        <v>525</v>
      </c>
      <c r="I24" s="93">
        <f t="shared" si="3"/>
        <v>551.25</v>
      </c>
      <c r="J24" s="148">
        <f t="shared" si="4"/>
        <v>2000</v>
      </c>
      <c r="K24" s="148">
        <f t="shared" si="5"/>
        <v>2000</v>
      </c>
      <c r="L24" s="148">
        <f t="shared" si="6"/>
        <v>2000</v>
      </c>
      <c r="M24" s="146">
        <f t="shared" si="7"/>
        <v>6300</v>
      </c>
      <c r="N24" s="93">
        <f t="shared" si="7"/>
        <v>6615</v>
      </c>
      <c r="O24" s="80"/>
    </row>
    <row r="25" spans="1:18">
      <c r="A25" s="458" t="s">
        <v>246</v>
      </c>
      <c r="B25" s="140">
        <v>1</v>
      </c>
      <c r="C25" s="76">
        <v>1</v>
      </c>
      <c r="D25" s="76">
        <v>1</v>
      </c>
      <c r="E25" s="76">
        <v>1</v>
      </c>
      <c r="F25" s="126">
        <v>1</v>
      </c>
      <c r="G25" s="148">
        <v>300</v>
      </c>
      <c r="H25" s="146">
        <f t="shared" si="3"/>
        <v>315</v>
      </c>
      <c r="I25" s="93">
        <f t="shared" si="3"/>
        <v>330.75</v>
      </c>
      <c r="J25" s="148">
        <f t="shared" si="4"/>
        <v>1200</v>
      </c>
      <c r="K25" s="148">
        <f t="shared" si="5"/>
        <v>1200</v>
      </c>
      <c r="L25" s="148">
        <f t="shared" si="6"/>
        <v>1200</v>
      </c>
      <c r="M25" s="146">
        <f t="shared" si="7"/>
        <v>3780</v>
      </c>
      <c r="N25" s="93">
        <f t="shared" si="7"/>
        <v>3969</v>
      </c>
      <c r="O25" s="80"/>
    </row>
    <row r="26" spans="1:18">
      <c r="A26" s="458" t="s">
        <v>247</v>
      </c>
      <c r="B26" s="140">
        <v>1</v>
      </c>
      <c r="C26" s="76">
        <v>1</v>
      </c>
      <c r="D26" s="76">
        <v>1</v>
      </c>
      <c r="E26" s="76">
        <v>1</v>
      </c>
      <c r="F26" s="126">
        <v>1</v>
      </c>
      <c r="G26" s="148">
        <v>500</v>
      </c>
      <c r="H26" s="146">
        <f t="shared" ref="H26:I29" si="8">+G26*1.05</f>
        <v>525</v>
      </c>
      <c r="I26" s="93">
        <f t="shared" si="8"/>
        <v>551.25</v>
      </c>
      <c r="J26" s="148">
        <f t="shared" si="4"/>
        <v>2000</v>
      </c>
      <c r="K26" s="148">
        <f t="shared" si="5"/>
        <v>2000</v>
      </c>
      <c r="L26" s="148">
        <f t="shared" si="6"/>
        <v>2000</v>
      </c>
      <c r="M26" s="146">
        <f t="shared" ref="M26:N29" si="9">+E26*H26*12</f>
        <v>6300</v>
      </c>
      <c r="N26" s="93">
        <f t="shared" si="9"/>
        <v>6615</v>
      </c>
      <c r="O26" s="80"/>
    </row>
    <row r="27" spans="1:18">
      <c r="A27" s="458" t="s">
        <v>248</v>
      </c>
      <c r="B27" s="140">
        <v>1</v>
      </c>
      <c r="C27" s="76">
        <v>1</v>
      </c>
      <c r="D27" s="76">
        <v>1</v>
      </c>
      <c r="E27" s="76">
        <v>1</v>
      </c>
      <c r="F27" s="126">
        <v>1</v>
      </c>
      <c r="G27" s="148">
        <v>250</v>
      </c>
      <c r="H27" s="146">
        <f t="shared" si="8"/>
        <v>262.5</v>
      </c>
      <c r="I27" s="93">
        <f t="shared" si="8"/>
        <v>275.625</v>
      </c>
      <c r="J27" s="148">
        <f t="shared" si="4"/>
        <v>1000</v>
      </c>
      <c r="K27" s="148">
        <f t="shared" si="5"/>
        <v>1000</v>
      </c>
      <c r="L27" s="148">
        <f t="shared" si="6"/>
        <v>1000</v>
      </c>
      <c r="M27" s="146">
        <f t="shared" si="9"/>
        <v>3150</v>
      </c>
      <c r="N27" s="93">
        <f t="shared" si="9"/>
        <v>3307.5</v>
      </c>
      <c r="O27" s="80"/>
    </row>
    <row r="28" spans="1:18">
      <c r="A28" s="458" t="s">
        <v>249</v>
      </c>
      <c r="B28" s="140">
        <v>1</v>
      </c>
      <c r="C28" s="76">
        <v>1</v>
      </c>
      <c r="D28" s="76">
        <v>1</v>
      </c>
      <c r="E28" s="76">
        <v>1</v>
      </c>
      <c r="F28" s="126">
        <v>1</v>
      </c>
      <c r="G28" s="148">
        <v>350</v>
      </c>
      <c r="H28" s="146">
        <f t="shared" si="8"/>
        <v>367.5</v>
      </c>
      <c r="I28" s="93">
        <f t="shared" si="8"/>
        <v>385.875</v>
      </c>
      <c r="J28" s="148">
        <f t="shared" si="4"/>
        <v>1400</v>
      </c>
      <c r="K28" s="148">
        <f t="shared" si="5"/>
        <v>1400</v>
      </c>
      <c r="L28" s="148">
        <f t="shared" si="6"/>
        <v>1400</v>
      </c>
      <c r="M28" s="146">
        <f t="shared" si="9"/>
        <v>4410</v>
      </c>
      <c r="N28" s="93">
        <f t="shared" si="9"/>
        <v>4630.5</v>
      </c>
      <c r="O28" s="80"/>
    </row>
    <row r="29" spans="1:18">
      <c r="A29" s="458" t="s">
        <v>249</v>
      </c>
      <c r="B29" s="140">
        <v>1</v>
      </c>
      <c r="C29" s="76">
        <v>1</v>
      </c>
      <c r="D29" s="76">
        <v>1</v>
      </c>
      <c r="E29" s="76">
        <v>1</v>
      </c>
      <c r="F29" s="126">
        <v>1</v>
      </c>
      <c r="G29" s="148">
        <v>350</v>
      </c>
      <c r="H29" s="146">
        <f t="shared" si="8"/>
        <v>367.5</v>
      </c>
      <c r="I29" s="93">
        <f t="shared" si="8"/>
        <v>385.875</v>
      </c>
      <c r="J29" s="148">
        <f t="shared" si="4"/>
        <v>1400</v>
      </c>
      <c r="K29" s="148">
        <f t="shared" si="5"/>
        <v>1400</v>
      </c>
      <c r="L29" s="148">
        <f t="shared" si="6"/>
        <v>1400</v>
      </c>
      <c r="M29" s="146">
        <f t="shared" si="9"/>
        <v>4410</v>
      </c>
      <c r="N29" s="93">
        <f t="shared" si="9"/>
        <v>4630.5</v>
      </c>
      <c r="O29" s="80"/>
    </row>
    <row r="30" spans="1:18" s="78" customFormat="1" ht="11.25" thickBot="1">
      <c r="A30" s="144" t="s">
        <v>106</v>
      </c>
      <c r="B30" s="141">
        <f t="shared" ref="B30:N30" si="10">SUM(B23:B29)</f>
        <v>7</v>
      </c>
      <c r="C30" s="141">
        <f t="shared" si="10"/>
        <v>7</v>
      </c>
      <c r="D30" s="141">
        <f t="shared" si="10"/>
        <v>7</v>
      </c>
      <c r="E30" s="141">
        <f t="shared" si="10"/>
        <v>7</v>
      </c>
      <c r="F30" s="141">
        <f t="shared" si="10"/>
        <v>7</v>
      </c>
      <c r="G30" s="149">
        <f t="shared" si="10"/>
        <v>2750</v>
      </c>
      <c r="H30" s="149">
        <f t="shared" si="10"/>
        <v>2887.5</v>
      </c>
      <c r="I30" s="150">
        <f t="shared" si="10"/>
        <v>3031.875</v>
      </c>
      <c r="J30" s="147">
        <f t="shared" si="10"/>
        <v>11000</v>
      </c>
      <c r="K30" s="149">
        <f t="shared" si="10"/>
        <v>11000</v>
      </c>
      <c r="L30" s="149">
        <f t="shared" si="10"/>
        <v>11000</v>
      </c>
      <c r="M30" s="149">
        <f t="shared" si="10"/>
        <v>34650</v>
      </c>
      <c r="N30" s="150">
        <f t="shared" si="10"/>
        <v>36382.5</v>
      </c>
      <c r="O30" s="154"/>
    </row>
    <row r="31" spans="1:18" ht="11.25" thickBot="1">
      <c r="A31" s="459"/>
      <c r="B31" s="79"/>
      <c r="C31" s="79"/>
      <c r="D31" s="79"/>
      <c r="L31" s="1"/>
      <c r="M31" s="1"/>
      <c r="N31" s="1"/>
      <c r="O31" s="6"/>
    </row>
    <row r="32" spans="1:18" ht="12.75" customHeight="1" thickBot="1">
      <c r="A32" s="460"/>
      <c r="B32" s="502" t="s">
        <v>63</v>
      </c>
      <c r="C32" s="503"/>
      <c r="D32" s="503"/>
      <c r="E32" s="503"/>
      <c r="F32" s="504"/>
      <c r="G32" s="502" t="s">
        <v>122</v>
      </c>
      <c r="H32" s="503"/>
      <c r="I32" s="504"/>
      <c r="J32" s="502" t="s">
        <v>123</v>
      </c>
      <c r="K32" s="503"/>
      <c r="L32" s="503"/>
      <c r="M32" s="503"/>
      <c r="N32" s="504"/>
      <c r="O32" s="153"/>
    </row>
    <row r="33" spans="1:17" ht="25.5" thickBot="1">
      <c r="A33" s="461" t="s">
        <v>62</v>
      </c>
      <c r="B33" s="157" t="s">
        <v>168</v>
      </c>
      <c r="C33" s="158" t="s">
        <v>169</v>
      </c>
      <c r="D33" s="158" t="s">
        <v>170</v>
      </c>
      <c r="E33" s="159" t="s">
        <v>65</v>
      </c>
      <c r="F33" s="160" t="s">
        <v>66</v>
      </c>
      <c r="G33" s="159" t="s">
        <v>64</v>
      </c>
      <c r="H33" s="159" t="s">
        <v>65</v>
      </c>
      <c r="I33" s="160" t="s">
        <v>66</v>
      </c>
      <c r="J33" s="205" t="s">
        <v>168</v>
      </c>
      <c r="K33" s="204" t="s">
        <v>169</v>
      </c>
      <c r="L33" s="204" t="s">
        <v>170</v>
      </c>
      <c r="M33" s="159" t="s">
        <v>65</v>
      </c>
      <c r="N33" s="160" t="s">
        <v>66</v>
      </c>
    </row>
    <row r="34" spans="1:17">
      <c r="A34" s="458" t="s">
        <v>251</v>
      </c>
      <c r="B34" s="164">
        <v>1</v>
      </c>
      <c r="C34" s="165">
        <v>1</v>
      </c>
      <c r="D34" s="165">
        <v>1</v>
      </c>
      <c r="E34" s="165">
        <v>1</v>
      </c>
      <c r="F34" s="166">
        <v>1</v>
      </c>
      <c r="G34" s="156">
        <v>500</v>
      </c>
      <c r="H34" s="156">
        <f t="shared" ref="H34:I37" si="11">+G34*1.05</f>
        <v>525</v>
      </c>
      <c r="I34" s="162">
        <f t="shared" si="11"/>
        <v>551.25</v>
      </c>
      <c r="J34" s="161">
        <f>+B34*G34*4</f>
        <v>2000</v>
      </c>
      <c r="K34" s="156">
        <f>+C34*G34*4</f>
        <v>2000</v>
      </c>
      <c r="L34" s="156">
        <f>+D34*G34*4</f>
        <v>2000</v>
      </c>
      <c r="M34" s="156">
        <f t="shared" ref="M34:N37" si="12">+E34*H34*12</f>
        <v>6300</v>
      </c>
      <c r="N34" s="162">
        <f t="shared" si="12"/>
        <v>6615</v>
      </c>
    </row>
    <row r="35" spans="1:17">
      <c r="A35" s="458" t="s">
        <v>252</v>
      </c>
      <c r="B35" s="140">
        <v>1</v>
      </c>
      <c r="C35" s="76">
        <v>1</v>
      </c>
      <c r="D35" s="76">
        <v>1</v>
      </c>
      <c r="E35" s="76">
        <v>1</v>
      </c>
      <c r="F35" s="76">
        <v>1</v>
      </c>
      <c r="G35" s="146">
        <v>350</v>
      </c>
      <c r="H35" s="146">
        <f t="shared" si="11"/>
        <v>367.5</v>
      </c>
      <c r="I35" s="93">
        <f t="shared" si="11"/>
        <v>385.875</v>
      </c>
      <c r="J35" s="145">
        <f>+B35*G35*4</f>
        <v>1400</v>
      </c>
      <c r="K35" s="146">
        <f>+C35*G35*4</f>
        <v>1400</v>
      </c>
      <c r="L35" s="146">
        <f>+D35*G35*4</f>
        <v>1400</v>
      </c>
      <c r="M35" s="146">
        <f t="shared" si="12"/>
        <v>4410</v>
      </c>
      <c r="N35" s="93">
        <f t="shared" si="12"/>
        <v>4630.5</v>
      </c>
    </row>
    <row r="36" spans="1:17">
      <c r="A36" s="462" t="s">
        <v>253</v>
      </c>
      <c r="B36" s="140">
        <v>1</v>
      </c>
      <c r="C36" s="76">
        <v>1</v>
      </c>
      <c r="D36" s="76">
        <v>1</v>
      </c>
      <c r="E36" s="76">
        <v>1</v>
      </c>
      <c r="F36" s="126">
        <v>1</v>
      </c>
      <c r="G36" s="146">
        <v>218</v>
      </c>
      <c r="H36" s="146">
        <f t="shared" si="11"/>
        <v>228.9</v>
      </c>
      <c r="I36" s="93">
        <f t="shared" si="11"/>
        <v>240.34500000000003</v>
      </c>
      <c r="J36" s="145">
        <f>+B36*G36*4</f>
        <v>872</v>
      </c>
      <c r="K36" s="146">
        <f>+C36*G36*4</f>
        <v>872</v>
      </c>
      <c r="L36" s="146">
        <f>+D36*G36*4</f>
        <v>872</v>
      </c>
      <c r="M36" s="146">
        <f t="shared" si="12"/>
        <v>2746.8</v>
      </c>
      <c r="N36" s="93">
        <f t="shared" si="12"/>
        <v>2884.1400000000003</v>
      </c>
    </row>
    <row r="37" spans="1:17">
      <c r="A37" s="462" t="s">
        <v>253</v>
      </c>
      <c r="B37" s="140">
        <v>1</v>
      </c>
      <c r="C37" s="76">
        <v>1</v>
      </c>
      <c r="D37" s="76">
        <v>1</v>
      </c>
      <c r="E37" s="76">
        <v>1</v>
      </c>
      <c r="F37" s="76">
        <v>1</v>
      </c>
      <c r="G37" s="146">
        <v>218</v>
      </c>
      <c r="H37" s="146">
        <f t="shared" si="11"/>
        <v>228.9</v>
      </c>
      <c r="I37" s="93">
        <f t="shared" si="11"/>
        <v>240.34500000000003</v>
      </c>
      <c r="J37" s="145">
        <f>+B37*G37*4</f>
        <v>872</v>
      </c>
      <c r="K37" s="146">
        <f>+C37*G37*4</f>
        <v>872</v>
      </c>
      <c r="L37" s="146">
        <f>+D37*G37*4</f>
        <v>872</v>
      </c>
      <c r="M37" s="146">
        <f t="shared" si="12"/>
        <v>2746.8</v>
      </c>
      <c r="N37" s="93">
        <f t="shared" si="12"/>
        <v>2884.1400000000003</v>
      </c>
    </row>
    <row r="38" spans="1:17" s="78" customFormat="1" ht="11.25" thickBot="1">
      <c r="A38" s="144" t="s">
        <v>106</v>
      </c>
      <c r="B38" s="141">
        <f t="shared" ref="B38:N38" si="13">SUM(B34:B37)</f>
        <v>4</v>
      </c>
      <c r="C38" s="77">
        <f t="shared" si="13"/>
        <v>4</v>
      </c>
      <c r="D38" s="77">
        <f t="shared" si="13"/>
        <v>4</v>
      </c>
      <c r="E38" s="77">
        <f t="shared" si="13"/>
        <v>4</v>
      </c>
      <c r="F38" s="127">
        <f t="shared" si="13"/>
        <v>4</v>
      </c>
      <c r="G38" s="149">
        <f t="shared" si="13"/>
        <v>1286</v>
      </c>
      <c r="H38" s="149">
        <f t="shared" si="13"/>
        <v>1350.3000000000002</v>
      </c>
      <c r="I38" s="150">
        <f t="shared" si="13"/>
        <v>1417.8150000000001</v>
      </c>
      <c r="J38" s="147">
        <f t="shared" si="13"/>
        <v>5144</v>
      </c>
      <c r="K38" s="149">
        <f t="shared" si="13"/>
        <v>5144</v>
      </c>
      <c r="L38" s="149">
        <f t="shared" si="13"/>
        <v>5144</v>
      </c>
      <c r="M38" s="149">
        <f t="shared" si="13"/>
        <v>16203.599999999999</v>
      </c>
      <c r="N38" s="150">
        <f t="shared" si="13"/>
        <v>17013.78</v>
      </c>
    </row>
    <row r="39" spans="1:17">
      <c r="A39" s="8" t="s">
        <v>107</v>
      </c>
      <c r="G39" s="151"/>
      <c r="H39" s="151"/>
      <c r="I39" s="151"/>
      <c r="J39" s="151"/>
      <c r="K39" s="152"/>
      <c r="L39" s="152"/>
      <c r="M39" s="152"/>
      <c r="N39" s="152"/>
      <c r="O39" s="152"/>
    </row>
    <row r="40" spans="1:17">
      <c r="F40" s="152"/>
      <c r="G40" s="152"/>
      <c r="H40" s="152"/>
      <c r="K40" s="1"/>
      <c r="L40" s="1"/>
      <c r="M40" s="1"/>
      <c r="N40" s="1"/>
      <c r="O40" s="1"/>
      <c r="P40" s="1"/>
      <c r="Q40" s="1"/>
    </row>
    <row r="41" spans="1:17">
      <c r="A41" s="78"/>
      <c r="F41" s="152"/>
      <c r="G41" s="152"/>
      <c r="H41" s="152"/>
      <c r="K41" s="1"/>
      <c r="L41" s="1"/>
      <c r="M41" s="1"/>
      <c r="N41" s="1"/>
      <c r="O41" s="1"/>
      <c r="P41" s="1"/>
      <c r="Q41" s="1"/>
    </row>
    <row r="42" spans="1:17">
      <c r="F42" s="119"/>
      <c r="G42" s="119"/>
      <c r="H42" s="119"/>
      <c r="K42" s="1"/>
      <c r="L42" s="1"/>
      <c r="M42" s="1"/>
      <c r="N42" s="1"/>
      <c r="O42" s="1"/>
      <c r="P42" s="1"/>
      <c r="Q42" s="1"/>
    </row>
    <row r="43" spans="1:17">
      <c r="F43" s="119"/>
      <c r="G43" s="119"/>
      <c r="H43" s="119"/>
      <c r="K43" s="1"/>
      <c r="L43" s="1"/>
      <c r="M43" s="1"/>
      <c r="N43" s="1"/>
      <c r="O43" s="1"/>
      <c r="P43" s="1"/>
      <c r="Q43" s="1"/>
    </row>
    <row r="44" spans="1:17">
      <c r="F44" s="119"/>
      <c r="G44" s="119"/>
      <c r="H44" s="119"/>
      <c r="K44" s="1"/>
      <c r="L44" s="1"/>
      <c r="M44" s="1"/>
      <c r="N44" s="1"/>
      <c r="O44" s="1"/>
      <c r="P44" s="1"/>
      <c r="Q44" s="1"/>
    </row>
    <row r="45" spans="1:17">
      <c r="F45" s="119"/>
      <c r="G45" s="119"/>
      <c r="H45" s="119"/>
      <c r="K45" s="1"/>
      <c r="L45" s="1"/>
      <c r="M45" s="1"/>
      <c r="N45" s="1"/>
      <c r="O45" s="1"/>
      <c r="P45" s="1"/>
      <c r="Q45" s="1"/>
    </row>
    <row r="46" spans="1:17">
      <c r="K46" s="1"/>
      <c r="L46" s="1"/>
      <c r="M46" s="1"/>
      <c r="N46" s="1"/>
      <c r="O46" s="1"/>
      <c r="P46" s="1"/>
      <c r="Q46" s="1"/>
    </row>
    <row r="47" spans="1:17">
      <c r="K47" s="1"/>
      <c r="L47" s="1"/>
      <c r="M47" s="1"/>
      <c r="N47" s="1"/>
      <c r="O47" s="1"/>
      <c r="P47" s="1"/>
      <c r="Q47" s="1"/>
    </row>
    <row r="48" spans="1:17">
      <c r="K48" s="1"/>
      <c r="L48" s="1"/>
      <c r="M48" s="1"/>
      <c r="N48" s="1"/>
      <c r="O48" s="1"/>
      <c r="P48" s="1"/>
      <c r="Q48" s="1"/>
    </row>
    <row r="49" spans="11:17">
      <c r="K49" s="1"/>
      <c r="L49" s="1"/>
      <c r="M49" s="1"/>
      <c r="N49" s="1"/>
      <c r="O49" s="1"/>
      <c r="P49" s="1"/>
      <c r="Q49" s="1"/>
    </row>
    <row r="50" spans="11:17">
      <c r="K50" s="1"/>
      <c r="L50" s="1"/>
      <c r="M50" s="1"/>
      <c r="N50" s="1"/>
      <c r="O50" s="1"/>
      <c r="P50" s="1"/>
      <c r="Q50" s="1"/>
    </row>
    <row r="51" spans="11:17">
      <c r="K51" s="1"/>
      <c r="L51" s="1"/>
      <c r="M51" s="1"/>
      <c r="N51" s="1"/>
      <c r="O51" s="1"/>
      <c r="P51" s="1"/>
      <c r="Q51" s="1"/>
    </row>
    <row r="52" spans="11:17">
      <c r="K52" s="1"/>
      <c r="L52" s="1"/>
      <c r="M52" s="1"/>
      <c r="N52" s="1"/>
      <c r="O52" s="1"/>
      <c r="P52" s="1"/>
      <c r="Q52" s="1"/>
    </row>
    <row r="53" spans="11:17">
      <c r="K53" s="1"/>
      <c r="L53" s="1"/>
      <c r="M53" s="1"/>
      <c r="N53" s="1"/>
      <c r="O53" s="1"/>
      <c r="P53" s="1"/>
      <c r="Q53" s="1"/>
    </row>
    <row r="54" spans="11:17">
      <c r="K54" s="1"/>
      <c r="L54" s="1"/>
      <c r="M54" s="1"/>
      <c r="N54" s="1"/>
      <c r="O54" s="1"/>
      <c r="P54" s="1"/>
      <c r="Q54" s="1"/>
    </row>
    <row r="55" spans="11:17">
      <c r="K55" s="1"/>
      <c r="L55" s="1"/>
      <c r="M55" s="1"/>
      <c r="N55" s="1"/>
      <c r="O55" s="1"/>
      <c r="P55" s="1"/>
      <c r="Q55" s="1"/>
    </row>
    <row r="56" spans="11:17">
      <c r="K56" s="1"/>
      <c r="L56" s="1"/>
      <c r="M56" s="1"/>
      <c r="N56" s="1"/>
      <c r="O56" s="1"/>
      <c r="P56" s="1"/>
      <c r="Q56" s="1"/>
    </row>
    <row r="57" spans="11:17">
      <c r="K57" s="1"/>
      <c r="L57" s="1"/>
      <c r="M57" s="1"/>
      <c r="N57" s="1"/>
      <c r="O57" s="1"/>
      <c r="P57" s="1"/>
      <c r="Q57" s="1"/>
    </row>
    <row r="58" spans="11:17">
      <c r="K58" s="1"/>
      <c r="L58" s="1"/>
      <c r="M58" s="1"/>
      <c r="N58" s="1"/>
      <c r="O58" s="1"/>
      <c r="P58" s="1"/>
      <c r="Q58" s="1"/>
    </row>
    <row r="59" spans="11:17">
      <c r="K59" s="1"/>
      <c r="L59" s="1"/>
      <c r="M59" s="1"/>
      <c r="N59" s="1"/>
      <c r="O59" s="1"/>
      <c r="P59" s="1"/>
      <c r="Q59" s="1"/>
    </row>
    <row r="60" spans="11:17">
      <c r="K60" s="1"/>
      <c r="L60" s="1"/>
      <c r="M60" s="1"/>
      <c r="N60" s="1"/>
      <c r="O60" s="1"/>
      <c r="P60" s="1"/>
      <c r="Q60" s="1"/>
    </row>
  </sheetData>
  <mergeCells count="7">
    <mergeCell ref="J21:N21"/>
    <mergeCell ref="J32:N32"/>
    <mergeCell ref="A19:F19"/>
    <mergeCell ref="B21:F21"/>
    <mergeCell ref="B32:F32"/>
    <mergeCell ref="G21:I21"/>
    <mergeCell ref="G32:I32"/>
  </mergeCells>
  <phoneticPr fontId="0" type="noConversion"/>
  <printOptions horizontalCentered="1" verticalCentered="1"/>
  <pageMargins left="0.23622047244094491" right="0.19685039370078741" top="0.23622047244094491" bottom="0.6692913385826772" header="0" footer="0"/>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Hoja5">
    <tabColor rgb="FFFFFF00"/>
  </sheetPr>
  <dimension ref="A1:S9"/>
  <sheetViews>
    <sheetView showGridLines="0" workbookViewId="0">
      <selection activeCell="D18" sqref="D18"/>
    </sheetView>
  </sheetViews>
  <sheetFormatPr defaultColWidth="11.42578125" defaultRowHeight="11.25"/>
  <cols>
    <col min="1" max="1" width="19.85546875" style="2" customWidth="1"/>
    <col min="2" max="2" width="10.5703125" style="2" customWidth="1"/>
    <col min="3" max="7" width="12.42578125" style="2" customWidth="1"/>
    <col min="8" max="9" width="12.5703125" style="2" customWidth="1"/>
    <col min="10" max="12" width="11.28515625" style="2" customWidth="1"/>
    <col min="13" max="13" width="11.140625" style="2" customWidth="1"/>
    <col min="14" max="14" width="11.28515625" style="2" customWidth="1"/>
    <col min="15" max="15" width="12.5703125" style="2" bestFit="1" customWidth="1"/>
    <col min="16" max="16" width="12.85546875" style="2" customWidth="1"/>
    <col min="17" max="19" width="14.140625" style="2" bestFit="1" customWidth="1"/>
    <col min="20" max="16384" width="11.42578125" style="2"/>
  </cols>
  <sheetData>
    <row r="1" spans="1:19" ht="18">
      <c r="A1" s="22" t="s">
        <v>282</v>
      </c>
      <c r="B1" s="22"/>
      <c r="C1" s="47"/>
      <c r="D1" s="47"/>
      <c r="E1" s="47"/>
      <c r="F1" s="47"/>
      <c r="G1" s="47"/>
      <c r="H1" s="47"/>
      <c r="I1" s="47"/>
      <c r="J1" s="47"/>
      <c r="K1" s="47"/>
      <c r="L1" s="47"/>
      <c r="M1" s="47"/>
      <c r="N1" s="47"/>
    </row>
    <row r="2" spans="1:19" ht="18">
      <c r="A2" s="22"/>
      <c r="B2" s="22"/>
      <c r="C2" s="47"/>
      <c r="D2" s="47"/>
      <c r="E2" s="47"/>
      <c r="F2" s="47"/>
      <c r="G2" s="47"/>
      <c r="H2" s="47"/>
      <c r="I2" s="47"/>
      <c r="J2" s="47"/>
      <c r="K2" s="47"/>
      <c r="L2" s="47"/>
      <c r="M2" s="47"/>
      <c r="N2" s="47"/>
    </row>
    <row r="3" spans="1:19" ht="12" thickBot="1"/>
    <row r="4" spans="1:19" s="48" customFormat="1">
      <c r="A4" s="129" t="s">
        <v>0</v>
      </c>
      <c r="B4" s="195" t="s">
        <v>24</v>
      </c>
      <c r="C4" s="130" t="s">
        <v>25</v>
      </c>
      <c r="D4" s="130" t="s">
        <v>26</v>
      </c>
      <c r="E4" s="130" t="s">
        <v>27</v>
      </c>
      <c r="F4" s="130" t="s">
        <v>28</v>
      </c>
      <c r="G4" s="130" t="s">
        <v>29</v>
      </c>
      <c r="H4" s="130" t="s">
        <v>30</v>
      </c>
      <c r="I4" s="130" t="s">
        <v>31</v>
      </c>
      <c r="J4" s="130" t="s">
        <v>32</v>
      </c>
      <c r="K4" s="130" t="s">
        <v>33</v>
      </c>
      <c r="L4" s="130" t="s">
        <v>34</v>
      </c>
      <c r="M4" s="130" t="s">
        <v>35</v>
      </c>
      <c r="N4" s="130" t="s">
        <v>36</v>
      </c>
      <c r="O4" s="131" t="s">
        <v>146</v>
      </c>
      <c r="P4" s="131" t="s">
        <v>147</v>
      </c>
      <c r="Q4" s="131" t="s">
        <v>148</v>
      </c>
      <c r="R4" s="131" t="s">
        <v>212</v>
      </c>
      <c r="S4" s="131" t="s">
        <v>213</v>
      </c>
    </row>
    <row r="5" spans="1:19" s="1" customFormat="1" ht="10.5">
      <c r="A5" s="49" t="s">
        <v>22</v>
      </c>
      <c r="B5" s="196"/>
      <c r="C5" s="50">
        <v>2000</v>
      </c>
      <c r="D5" s="50">
        <f>+$C$5</f>
        <v>2000</v>
      </c>
      <c r="E5" s="50">
        <f t="shared" ref="E5:N5" si="0">+$C$5</f>
        <v>2000</v>
      </c>
      <c r="F5" s="50">
        <f t="shared" si="0"/>
        <v>2000</v>
      </c>
      <c r="G5" s="50">
        <f t="shared" si="0"/>
        <v>2000</v>
      </c>
      <c r="H5" s="50">
        <f t="shared" si="0"/>
        <v>2000</v>
      </c>
      <c r="I5" s="50">
        <f t="shared" si="0"/>
        <v>2000</v>
      </c>
      <c r="J5" s="50">
        <f t="shared" si="0"/>
        <v>2000</v>
      </c>
      <c r="K5" s="50">
        <f t="shared" si="0"/>
        <v>2000</v>
      </c>
      <c r="L5" s="50">
        <f t="shared" si="0"/>
        <v>2000</v>
      </c>
      <c r="M5" s="50">
        <f t="shared" si="0"/>
        <v>2000</v>
      </c>
      <c r="N5" s="50">
        <f t="shared" si="0"/>
        <v>2000</v>
      </c>
      <c r="O5" s="51">
        <f>SUM(C5:N5)</f>
        <v>24000</v>
      </c>
      <c r="P5" s="51">
        <f t="shared" ref="P5:S7" si="1">+O5*1.05</f>
        <v>25200</v>
      </c>
      <c r="Q5" s="51">
        <f t="shared" si="1"/>
        <v>26460</v>
      </c>
      <c r="R5" s="51">
        <f t="shared" si="1"/>
        <v>27783</v>
      </c>
      <c r="S5" s="51">
        <f t="shared" si="1"/>
        <v>29172.15</v>
      </c>
    </row>
    <row r="6" spans="1:19" s="1" customFormat="1" ht="10.5" customHeight="1">
      <c r="A6" s="49" t="s">
        <v>244</v>
      </c>
      <c r="B6" s="196"/>
      <c r="C6" s="50">
        <f>'Anexo - Presuesto de Ingresos'!D43 *1.3</f>
        <v>10985</v>
      </c>
      <c r="D6" s="50">
        <f>'Anexo - Presuesto de Ingresos'!E43 *1.3</f>
        <v>16477.5</v>
      </c>
      <c r="E6" s="50">
        <f>'Anexo - Presuesto de Ingresos'!F43 *1.3</f>
        <v>21970</v>
      </c>
      <c r="F6" s="50">
        <f>'Anexo - Presuesto de Ingresos'!G43 *1.3</f>
        <v>32955</v>
      </c>
      <c r="G6" s="50">
        <f>'Anexo - Presuesto de Ingresos'!H43 *1.3</f>
        <v>43940</v>
      </c>
      <c r="H6" s="50">
        <f>'Anexo - Presuesto de Ingresos'!I43 *1.3</f>
        <v>48928.134710000006</v>
      </c>
      <c r="I6" s="50">
        <f>'Anexo - Presuesto de Ingresos'!J43 *1.3</f>
        <v>48928.134710000006</v>
      </c>
      <c r="J6" s="50">
        <f>'Anexo - Presuesto de Ingresos'!K43 *1.3</f>
        <v>48928.134710000006</v>
      </c>
      <c r="K6" s="50">
        <f>'Anexo - Presuesto de Ingresos'!L43 *1.3</f>
        <v>48928.134710000006</v>
      </c>
      <c r="L6" s="50">
        <f>'Anexo - Presuesto de Ingresos'!M43 *1.3</f>
        <v>48928.134710000006</v>
      </c>
      <c r="M6" s="50">
        <f>'Anexo - Presuesto de Ingresos'!N43 *1.3</f>
        <v>48928.134710000006</v>
      </c>
      <c r="N6" s="50">
        <f>'Anexo - Presuesto de Ingresos'!O43 *1.3</f>
        <v>48928.134710000006</v>
      </c>
      <c r="O6" s="51">
        <f>SUM(C6:N6)</f>
        <v>468824.44297000009</v>
      </c>
      <c r="P6" s="51">
        <f t="shared" si="1"/>
        <v>492265.66511850012</v>
      </c>
      <c r="Q6" s="51">
        <f t="shared" si="1"/>
        <v>516878.94837442518</v>
      </c>
      <c r="R6" s="51">
        <f t="shared" si="1"/>
        <v>542722.89579314645</v>
      </c>
      <c r="S6" s="51">
        <f t="shared" si="1"/>
        <v>569859.04058280378</v>
      </c>
    </row>
    <row r="7" spans="1:19" s="1" customFormat="1" ht="10.5">
      <c r="A7" s="49" t="s">
        <v>255</v>
      </c>
      <c r="B7" s="50"/>
      <c r="C7" s="50">
        <f>('Anexo - Presuesto de Ingresos'!D4+'Anexo - Presuesto de Ingresos'!D22)*0.45+('Anexo - Presuesto de Ingresos'!D16*0.4)+('Anexo - Presuesto de Ingresos'!D10*0.3)</f>
        <v>2197.57105</v>
      </c>
      <c r="D7" s="50">
        <f>('Anexo - Presuesto de Ingresos'!E4+'Anexo - Presuesto de Ingresos'!E22)*0.45+('Anexo - Presuesto de Ingresos'!E16*0.4)+('Anexo - Presuesto de Ingresos'!E10*0.3)</f>
        <v>3296.3565749999998</v>
      </c>
      <c r="E7" s="50">
        <f>('Anexo - Presuesto de Ingresos'!F4+'Anexo - Presuesto de Ingresos'!F22)*0.45+('Anexo - Presuesto de Ingresos'!F16*0.4)+('Anexo - Presuesto de Ingresos'!F10*0.3)</f>
        <v>4395.1421</v>
      </c>
      <c r="F7" s="50">
        <f>('Anexo - Presuesto de Ingresos'!G4+'Anexo - Presuesto de Ingresos'!G22)*0.45+('Anexo - Presuesto de Ingresos'!G16*0.4)+('Anexo - Presuesto de Ingresos'!G10*0.3)</f>
        <v>6592.7131499999996</v>
      </c>
      <c r="G7" s="50">
        <f>('Anexo - Presuesto de Ingresos'!H4+'Anexo - Presuesto de Ingresos'!H22)*0.45+('Anexo - Presuesto de Ingresos'!H16*0.4)+('Anexo - Presuesto de Ingresos'!H10*0.3)</f>
        <v>8790.2842000000001</v>
      </c>
      <c r="H7" s="50">
        <f>('Anexo - Presuesto de Ingresos'!I4+'Anexo - Presuesto de Ingresos'!I22)*0.45+('Anexo - Presuesto de Ingresos'!I16*0.4)+('Anexo - Presuesto de Ingresos'!I10*0.3)</f>
        <v>9788.1704478102984</v>
      </c>
      <c r="I7" s="50">
        <f>('Anexo - Presuesto de Ingresos'!J4+'Anexo - Presuesto de Ingresos'!J22)*0.45+('Anexo - Presuesto de Ingresos'!J16*0.4)+('Anexo - Presuesto de Ingresos'!J10*0.3)</f>
        <v>9788.1704478102984</v>
      </c>
      <c r="J7" s="50">
        <f>('Anexo - Presuesto de Ingresos'!K4+'Anexo - Presuesto de Ingresos'!K22)*0.45+('Anexo - Presuesto de Ingresos'!K16*0.4)+('Anexo - Presuesto de Ingresos'!K10*0.3)</f>
        <v>9788.1704478102984</v>
      </c>
      <c r="K7" s="50">
        <f>('Anexo - Presuesto de Ingresos'!L4+'Anexo - Presuesto de Ingresos'!L22)*0.45+('Anexo - Presuesto de Ingresos'!L16*0.4)+('Anexo - Presuesto de Ingresos'!L10*0.3)</f>
        <v>9788.1704478102984</v>
      </c>
      <c r="L7" s="50">
        <f>('Anexo - Presuesto de Ingresos'!M4+'Anexo - Presuesto de Ingresos'!M22)*0.45+('Anexo - Presuesto de Ingresos'!M16*0.4)+('Anexo - Presuesto de Ingresos'!M10*0.3)</f>
        <v>9788.1704478102984</v>
      </c>
      <c r="M7" s="50">
        <f>('Anexo - Presuesto de Ingresos'!N4+'Anexo - Presuesto de Ingresos'!N22)*0.45+('Anexo - Presuesto de Ingresos'!N16*0.4)+('Anexo - Presuesto de Ingresos'!N10*0.3)</f>
        <v>9788.1704478102984</v>
      </c>
      <c r="N7" s="50">
        <f>('Anexo - Presuesto de Ingresos'!O4+'Anexo - Presuesto de Ingresos'!O22)*0.45+('Anexo - Presuesto de Ingresos'!O16*0.4)+('Anexo - Presuesto de Ingresos'!O10*0.3)</f>
        <v>9788.1704478102984</v>
      </c>
      <c r="O7" s="50">
        <f>('Anexo - Presuesto de Ingresos'!P4+'Anexo - Presuesto de Ingresos'!P22)*0.45+('Anexo - Presuesto de Ingresos'!P16*0.4)+('Anexo - Presuesto de Ingresos'!P10*0.3)</f>
        <v>93789.260209672109</v>
      </c>
      <c r="P7" s="51">
        <f t="shared" si="1"/>
        <v>98478.72322015572</v>
      </c>
      <c r="Q7" s="51">
        <f t="shared" si="1"/>
        <v>103402.65938116351</v>
      </c>
      <c r="R7" s="51">
        <f t="shared" si="1"/>
        <v>108572.79235022169</v>
      </c>
      <c r="S7" s="51">
        <f t="shared" si="1"/>
        <v>114001.43196773277</v>
      </c>
    </row>
    <row r="8" spans="1:19" s="1" customFormat="1" ht="12.75" customHeight="1">
      <c r="A8" s="49"/>
      <c r="B8" s="50"/>
      <c r="C8" s="50"/>
      <c r="D8" s="50"/>
      <c r="E8" s="50"/>
      <c r="F8" s="50"/>
      <c r="G8" s="50"/>
      <c r="H8" s="50"/>
      <c r="I8" s="50"/>
      <c r="J8" s="50"/>
      <c r="K8" s="50"/>
      <c r="L8" s="50"/>
      <c r="M8" s="50"/>
      <c r="N8" s="50"/>
      <c r="O8" s="51"/>
      <c r="P8" s="51"/>
      <c r="Q8" s="51"/>
      <c r="R8" s="51"/>
      <c r="S8" s="51"/>
    </row>
    <row r="9" spans="1:19" s="1" customFormat="1" thickBot="1">
      <c r="A9" s="52" t="s">
        <v>37</v>
      </c>
      <c r="B9" s="197">
        <f>SUM(B7:B8)</f>
        <v>0</v>
      </c>
      <c r="C9" s="53">
        <f t="shared" ref="C9:Q9" si="2">SUM(C5:C8)</f>
        <v>15182.57105</v>
      </c>
      <c r="D9" s="53">
        <f t="shared" si="2"/>
        <v>21773.856574999998</v>
      </c>
      <c r="E9" s="53">
        <f t="shared" si="2"/>
        <v>28365.142100000001</v>
      </c>
      <c r="F9" s="53">
        <f t="shared" si="2"/>
        <v>41547.713149999996</v>
      </c>
      <c r="G9" s="53">
        <f t="shared" si="2"/>
        <v>54730.284200000002</v>
      </c>
      <c r="H9" s="53">
        <f t="shared" si="2"/>
        <v>60716.305157810304</v>
      </c>
      <c r="I9" s="53">
        <f t="shared" si="2"/>
        <v>60716.305157810304</v>
      </c>
      <c r="J9" s="53">
        <f t="shared" si="2"/>
        <v>60716.305157810304</v>
      </c>
      <c r="K9" s="53">
        <f t="shared" si="2"/>
        <v>60716.305157810304</v>
      </c>
      <c r="L9" s="53">
        <f t="shared" si="2"/>
        <v>60716.305157810304</v>
      </c>
      <c r="M9" s="53">
        <f t="shared" si="2"/>
        <v>60716.305157810304</v>
      </c>
      <c r="N9" s="53">
        <f t="shared" si="2"/>
        <v>60716.305157810304</v>
      </c>
      <c r="O9" s="54">
        <f>SUM(O5:O8)</f>
        <v>586613.70317967224</v>
      </c>
      <c r="P9" s="54">
        <f t="shared" si="2"/>
        <v>615944.38833865582</v>
      </c>
      <c r="Q9" s="54">
        <f t="shared" si="2"/>
        <v>646741.60775558872</v>
      </c>
      <c r="R9" s="54">
        <f>SUM(R5:R8)</f>
        <v>679078.68814336811</v>
      </c>
      <c r="S9" s="54">
        <f>SUM(S5:S8)</f>
        <v>713032.62255053653</v>
      </c>
    </row>
  </sheetData>
  <phoneticPr fontId="0" type="noConversion"/>
  <printOptions horizontalCentered="1" verticalCentered="1"/>
  <pageMargins left="0.55118110236220474" right="0.23622047244094491" top="0.31496062992125984" bottom="0.31496062992125984"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25</vt:i4>
      </vt:variant>
    </vt:vector>
  </HeadingPairs>
  <TitlesOfParts>
    <vt:vector size="38" baseType="lpstr">
      <vt:lpstr>Anexo1 - Capacidad Instalada</vt:lpstr>
      <vt:lpstr>Anexo2 - Activos Fijos</vt:lpstr>
      <vt:lpstr>Anexo3 - Depreciación</vt:lpstr>
      <vt:lpstr>Anexo4 - Amortización Prestamo</vt:lpstr>
      <vt:lpstr>Anexo5 - Deducciones Diferidas</vt:lpstr>
      <vt:lpstr>Anexo6 - Estado Resultados</vt:lpstr>
      <vt:lpstr>Anexo - TIR y VAN</vt:lpstr>
      <vt:lpstr>Anexo - Presupuesto Personal</vt:lpstr>
      <vt:lpstr>Anexo - Capital Trabajo</vt:lpstr>
      <vt:lpstr>Anexo - Presuesto de Ingresos</vt:lpstr>
      <vt:lpstr>Anexo - Otros Gastos</vt:lpstr>
      <vt:lpstr>Anexo - Estrategia Publicidad</vt:lpstr>
      <vt:lpstr>Anexo - Flujo de Caja</vt:lpstr>
      <vt:lpstr>Beg_Bal</vt:lpstr>
      <vt:lpstr>Data</vt:lpstr>
      <vt:lpstr>End_Bal</vt:lpstr>
      <vt:lpstr>Extra_Pay</vt:lpstr>
      <vt:lpstr>Full_Print</vt:lpstr>
      <vt:lpstr>Int</vt:lpstr>
      <vt:lpstr>Interest_Rate</vt:lpstr>
      <vt:lpstr>Loan_Amount</vt:lpstr>
      <vt:lpstr>Loan_Start</vt:lpstr>
      <vt:lpstr>Loan_Years</vt:lpstr>
      <vt:lpstr>Num_Pmt_Per_Year</vt:lpstr>
      <vt:lpstr>Pay_Date</vt:lpstr>
      <vt:lpstr>Pay_Num</vt:lpstr>
      <vt:lpstr>Princ</vt:lpstr>
      <vt:lpstr>'Anexo - Capital Trabajo'!Print_Area</vt:lpstr>
      <vt:lpstr>'Anexo - Otros Gastos'!Print_Area</vt:lpstr>
      <vt:lpstr>'Anexo - Presuesto de Ingresos'!Print_Area</vt:lpstr>
      <vt:lpstr>'Anexo4 - Amortización Prestamo'!Print_Area</vt:lpstr>
      <vt:lpstr>'Anexo4 - Amortización Prestamo'!Print_Titles</vt:lpstr>
      <vt:lpstr>Sched_Pay</vt:lpstr>
      <vt:lpstr>Scheduled_Extra_Payments</vt:lpstr>
      <vt:lpstr>Scheduled_Interest_Rate</vt:lpstr>
      <vt:lpstr>Scheduled_Monthly_Payment</vt:lpstr>
      <vt:lpstr>Total_Interest</vt:lpstr>
      <vt:lpstr>Total_Pay</vt:lpstr>
    </vt:vector>
  </TitlesOfParts>
  <Company>Pacifictel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Gym</dc:title>
  <dc:subject>Tesis de Grado</dc:subject>
  <dc:creator>Vicenta Macias</dc:creator>
  <dc:description>Se prohibe la copia total o parcial de este trabajo. Derechos reservados a su autores. 2007</dc:description>
  <cp:lastModifiedBy>USER VISTA</cp:lastModifiedBy>
  <cp:lastPrinted>2009-09-17T23:26:14Z</cp:lastPrinted>
  <dcterms:created xsi:type="dcterms:W3CDTF">2007-06-18T21:00:55Z</dcterms:created>
  <dcterms:modified xsi:type="dcterms:W3CDTF">2009-09-25T16:25:12Z</dcterms:modified>
</cp:coreProperties>
</file>