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3935" windowHeight="6600" tabRatio="673" firstSheet="1" activeTab="7"/>
  </bookViews>
  <sheets>
    <sheet name="PG08" sheetId="7" state="hidden" r:id="rId1"/>
    <sheet name="RESVTA" sheetId="20" r:id="rId2"/>
    <sheet name="CBV" sheetId="11" r:id="rId3"/>
    <sheet name="RESUMEN T.I.R" sheetId="8" r:id="rId4"/>
    <sheet name="I.I" sheetId="1" r:id="rId5"/>
    <sheet name="ANEXO MANT" sheetId="9" r:id="rId6"/>
    <sheet name="PG08 (2)" sheetId="10" state="hidden" r:id="rId7"/>
    <sheet name="Inf w Inv" sheetId="6" r:id="rId8"/>
    <sheet name="Inf wo Inv" sheetId="4" state="hidden" r:id="rId9"/>
    <sheet name="2009" sheetId="12" state="hidden" r:id="rId10"/>
    <sheet name="2010" sheetId="13" state="hidden" r:id="rId11"/>
    <sheet name="2011" sheetId="14" state="hidden" r:id="rId12"/>
    <sheet name="2012 " sheetId="15" state="hidden" r:id="rId13"/>
    <sheet name="2013" sheetId="16" state="hidden" r:id="rId14"/>
    <sheet name="2014" sheetId="17" state="hidden" r:id="rId15"/>
    <sheet name="2015" sheetId="18" state="hidden" r:id="rId16"/>
    <sheet name="2016" sheetId="19" state="hidden" r:id="rId17"/>
    <sheet name="2017" sheetId="21" state="hidden" r:id="rId18"/>
  </sheets>
  <definedNames>
    <definedName name="_xlnm._FilterDatabase" localSheetId="0" hidden="1">'PG08'!$A$2:$D$418</definedName>
    <definedName name="_xlnm._FilterDatabase" localSheetId="6" hidden="1">'PG08 (2)'!$A$1:$C$98</definedName>
    <definedName name="_xlnm.Print_Area" localSheetId="9">'2009'!$A$1:$P$97</definedName>
    <definedName name="_xlnm.Print_Area" localSheetId="10">'2010'!$A$1:$P$131</definedName>
    <definedName name="_xlnm.Print_Area" localSheetId="11">'2011'!$A$1:$P$131</definedName>
    <definedName name="_xlnm.Print_Area" localSheetId="12">'2012 '!$A$1:$T$131</definedName>
    <definedName name="_xlnm.Print_Area" localSheetId="13">'2013'!$A$1:$T$131</definedName>
    <definedName name="_xlnm.Print_Area" localSheetId="14">'2014'!$A$1:$P$132</definedName>
    <definedName name="_xlnm.Print_Area" localSheetId="15">'2015'!$A$1:$P$132</definedName>
    <definedName name="_xlnm.Print_Area" localSheetId="16">'2016'!$A$1:$P$133</definedName>
    <definedName name="_xlnm.Print_Area" localSheetId="17">'2017'!$A$1:$P$133</definedName>
    <definedName name="_xlnm.Print_Area" localSheetId="5">'ANEXO MANT'!$A$1:$O$150</definedName>
    <definedName name="_xlnm.Print_Area" localSheetId="2">CBV!$A$1:$L$37</definedName>
    <definedName name="_xlnm.Print_Area" localSheetId="4">I.I!$A$1:$G$25</definedName>
    <definedName name="_xlnm.Print_Area" localSheetId="7">'Inf w Inv'!$A$1:$M$20</definedName>
    <definedName name="_xlnm.Print_Area" localSheetId="8">'Inf wo Inv'!$A$1:$M$21</definedName>
    <definedName name="_xlnm.Print_Area" localSheetId="3">'RESUMEN T.I.R'!$A$1:$L$58</definedName>
    <definedName name="_xlnm.Print_Area" localSheetId="1">RESVTA!$A$1:$I$20</definedName>
    <definedName name="_xlnm.Print_Titles" localSheetId="9">'2009'!$4:$5</definedName>
    <definedName name="_xlnm.Print_Titles" localSheetId="10">'2010'!$4:$5</definedName>
    <definedName name="_xlnm.Print_Titles" localSheetId="11">'2011'!$4:$5</definedName>
    <definedName name="_xlnm.Print_Titles" localSheetId="12">'2012 '!$4:$5</definedName>
    <definedName name="_xlnm.Print_Titles" localSheetId="13">'2013'!$4:$5</definedName>
    <definedName name="_xlnm.Print_Titles" localSheetId="14">'2014'!$4:$5</definedName>
    <definedName name="_xlnm.Print_Titles" localSheetId="15">'2015'!$4:$5</definedName>
    <definedName name="_xlnm.Print_Titles" localSheetId="16">'2016'!$4:$5</definedName>
    <definedName name="_xlnm.Print_Titles" localSheetId="17">'2017'!$4:$5</definedName>
    <definedName name="_xlnm.Print_Titles" localSheetId="1">RESVTA!$2:$4</definedName>
  </definedNames>
  <calcPr calcId="124519" fullCalcOnLoad="1"/>
</workbook>
</file>

<file path=xl/calcChain.xml><?xml version="1.0" encoding="utf-8"?>
<calcChain xmlns="http://schemas.openxmlformats.org/spreadsheetml/2006/main">
  <c r="F15" i="1"/>
  <c r="M45" i="8"/>
  <c r="M46"/>
  <c r="F23" i="9"/>
  <c r="F48" i="8"/>
  <c r="E23" i="9"/>
  <c r="E48" i="8"/>
  <c r="G32" i="9"/>
  <c r="J143"/>
  <c r="E395" i="7"/>
  <c r="F8" i="1"/>
  <c r="L73" i="9"/>
  <c r="N78"/>
  <c r="B59"/>
  <c r="F59"/>
  <c r="B14"/>
  <c r="B13"/>
  <c r="I15" i="20"/>
  <c r="I19"/>
  <c r="N148" i="9"/>
  <c r="J148"/>
  <c r="R157"/>
  <c r="L50"/>
  <c r="H123" i="21"/>
  <c r="H122"/>
  <c r="H45"/>
  <c r="P21"/>
  <c r="P20"/>
  <c r="P19"/>
  <c r="P18"/>
  <c r="D17" i="6"/>
  <c r="F17"/>
  <c r="O130" i="21"/>
  <c r="M130"/>
  <c r="L130"/>
  <c r="K130"/>
  <c r="J130"/>
  <c r="I130"/>
  <c r="H130"/>
  <c r="G130"/>
  <c r="F130"/>
  <c r="E130"/>
  <c r="D130"/>
  <c r="C130"/>
  <c r="P128"/>
  <c r="R127"/>
  <c r="S127"/>
  <c r="P127"/>
  <c r="S126"/>
  <c r="R126"/>
  <c r="P126"/>
  <c r="R125"/>
  <c r="S125"/>
  <c r="P125"/>
  <c r="R124"/>
  <c r="S124"/>
  <c r="P124"/>
  <c r="R123"/>
  <c r="S123"/>
  <c r="P123"/>
  <c r="R122"/>
  <c r="S122"/>
  <c r="P122"/>
  <c r="R121"/>
  <c r="S121"/>
  <c r="P121"/>
  <c r="R120"/>
  <c r="S120"/>
  <c r="P120"/>
  <c r="R119"/>
  <c r="S119"/>
  <c r="P119"/>
  <c r="R118"/>
  <c r="S118"/>
  <c r="P118"/>
  <c r="R117"/>
  <c r="S117"/>
  <c r="P117"/>
  <c r="R116"/>
  <c r="S116"/>
  <c r="P116"/>
  <c r="R115"/>
  <c r="S115"/>
  <c r="P115"/>
  <c r="S114"/>
  <c r="R114"/>
  <c r="P114"/>
  <c r="R113"/>
  <c r="S113"/>
  <c r="P113"/>
  <c r="R112"/>
  <c r="R128"/>
  <c r="P112"/>
  <c r="O108"/>
  <c r="M108"/>
  <c r="L108"/>
  <c r="J108"/>
  <c r="I108"/>
  <c r="G108"/>
  <c r="F108"/>
  <c r="E108"/>
  <c r="D108"/>
  <c r="C108"/>
  <c r="S106"/>
  <c r="P106"/>
  <c r="H108"/>
  <c r="P105"/>
  <c r="P104"/>
  <c r="P103"/>
  <c r="P102"/>
  <c r="O98"/>
  <c r="L98"/>
  <c r="J98"/>
  <c r="I98"/>
  <c r="H98"/>
  <c r="G98"/>
  <c r="F98"/>
  <c r="E98"/>
  <c r="D98"/>
  <c r="C98"/>
  <c r="P96"/>
  <c r="P95"/>
  <c r="P94"/>
  <c r="P93"/>
  <c r="P92"/>
  <c r="O88"/>
  <c r="L88"/>
  <c r="J88"/>
  <c r="I88"/>
  <c r="H88"/>
  <c r="G88"/>
  <c r="F88"/>
  <c r="E88"/>
  <c r="D88"/>
  <c r="C88"/>
  <c r="P87"/>
  <c r="P86"/>
  <c r="P85"/>
  <c r="P84"/>
  <c r="P83"/>
  <c r="O79"/>
  <c r="M79"/>
  <c r="J79"/>
  <c r="I79"/>
  <c r="H79"/>
  <c r="G79"/>
  <c r="F79"/>
  <c r="E79"/>
  <c r="D79"/>
  <c r="C79"/>
  <c r="R77"/>
  <c r="P77"/>
  <c r="P76"/>
  <c r="P75"/>
  <c r="P74"/>
  <c r="O70"/>
  <c r="L70"/>
  <c r="J70"/>
  <c r="I70"/>
  <c r="H70"/>
  <c r="G70"/>
  <c r="F70"/>
  <c r="E70"/>
  <c r="D70"/>
  <c r="C70"/>
  <c r="P66"/>
  <c r="P65"/>
  <c r="P64"/>
  <c r="P63"/>
  <c r="P62"/>
  <c r="P61"/>
  <c r="P60"/>
  <c r="P59"/>
  <c r="P58"/>
  <c r="P57"/>
  <c r="O53"/>
  <c r="L53"/>
  <c r="K53"/>
  <c r="J53"/>
  <c r="I53"/>
  <c r="H53"/>
  <c r="G53"/>
  <c r="F53"/>
  <c r="E53"/>
  <c r="D53"/>
  <c r="C53"/>
  <c r="P50"/>
  <c r="P49"/>
  <c r="P48"/>
  <c r="P47"/>
  <c r="P46"/>
  <c r="P45"/>
  <c r="P53"/>
  <c r="P44"/>
  <c r="P43"/>
  <c r="P42"/>
  <c r="P41"/>
  <c r="P40"/>
  <c r="P39"/>
  <c r="O35"/>
  <c r="L35"/>
  <c r="J35"/>
  <c r="I35"/>
  <c r="H35"/>
  <c r="G35"/>
  <c r="F35"/>
  <c r="E35"/>
  <c r="D35"/>
  <c r="C35"/>
  <c r="P33"/>
  <c r="P32"/>
  <c r="P31"/>
  <c r="P30"/>
  <c r="P29"/>
  <c r="P28"/>
  <c r="O24"/>
  <c r="M24"/>
  <c r="L24"/>
  <c r="J24"/>
  <c r="I24"/>
  <c r="H24"/>
  <c r="G24"/>
  <c r="E24"/>
  <c r="D24"/>
  <c r="C24"/>
  <c r="O14"/>
  <c r="M14"/>
  <c r="M131"/>
  <c r="L14"/>
  <c r="L131"/>
  <c r="K14"/>
  <c r="K131"/>
  <c r="J14"/>
  <c r="I14"/>
  <c r="H14"/>
  <c r="G14"/>
  <c r="G131"/>
  <c r="F14"/>
  <c r="F131"/>
  <c r="E14"/>
  <c r="E131"/>
  <c r="D14"/>
  <c r="D131"/>
  <c r="C14"/>
  <c r="P12"/>
  <c r="P11"/>
  <c r="P10"/>
  <c r="P9"/>
  <c r="L37" i="11"/>
  <c r="L49" i="8"/>
  <c r="L39"/>
  <c r="N1" i="1"/>
  <c r="K39" i="8"/>
  <c r="K49"/>
  <c r="J39"/>
  <c r="J49"/>
  <c r="I39"/>
  <c r="I49"/>
  <c r="H39"/>
  <c r="H49"/>
  <c r="G39"/>
  <c r="G46"/>
  <c r="G47"/>
  <c r="G49"/>
  <c r="F39"/>
  <c r="F46"/>
  <c r="F47"/>
  <c r="F49"/>
  <c r="E39"/>
  <c r="E46"/>
  <c r="E47"/>
  <c r="E49"/>
  <c r="P9" i="19"/>
  <c r="P10"/>
  <c r="P11"/>
  <c r="P12"/>
  <c r="C14"/>
  <c r="D14"/>
  <c r="E14"/>
  <c r="F14"/>
  <c r="G14"/>
  <c r="H14"/>
  <c r="I14"/>
  <c r="J14"/>
  <c r="K14"/>
  <c r="L14"/>
  <c r="M14"/>
  <c r="O14"/>
  <c r="P14"/>
  <c r="P18"/>
  <c r="P19"/>
  <c r="P24"/>
  <c r="P20"/>
  <c r="P21"/>
  <c r="C24"/>
  <c r="D24"/>
  <c r="E24"/>
  <c r="G24"/>
  <c r="H24"/>
  <c r="I24"/>
  <c r="J24"/>
  <c r="L24"/>
  <c r="M24"/>
  <c r="O24"/>
  <c r="P28"/>
  <c r="P35"/>
  <c r="P29"/>
  <c r="P30"/>
  <c r="P31"/>
  <c r="P32"/>
  <c r="H33"/>
  <c r="P33"/>
  <c r="C35"/>
  <c r="D35"/>
  <c r="E35"/>
  <c r="F35"/>
  <c r="G35"/>
  <c r="H35"/>
  <c r="I35"/>
  <c r="J35"/>
  <c r="L35"/>
  <c r="O35"/>
  <c r="P39"/>
  <c r="P53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7"/>
  <c r="P58"/>
  <c r="P59"/>
  <c r="P60"/>
  <c r="P61"/>
  <c r="P62"/>
  <c r="P63"/>
  <c r="P64"/>
  <c r="P65"/>
  <c r="P66"/>
  <c r="C70"/>
  <c r="D70"/>
  <c r="E70"/>
  <c r="F70"/>
  <c r="G70"/>
  <c r="H70"/>
  <c r="I70"/>
  <c r="J70"/>
  <c r="L70"/>
  <c r="O70"/>
  <c r="P70"/>
  <c r="P74"/>
  <c r="P75"/>
  <c r="P76"/>
  <c r="P77"/>
  <c r="R77"/>
  <c r="C79"/>
  <c r="D79"/>
  <c r="E79"/>
  <c r="F79"/>
  <c r="G79"/>
  <c r="H79"/>
  <c r="I79"/>
  <c r="J79"/>
  <c r="M79"/>
  <c r="O79"/>
  <c r="P79"/>
  <c r="P83"/>
  <c r="P84"/>
  <c r="P85"/>
  <c r="P86"/>
  <c r="P87"/>
  <c r="C88"/>
  <c r="C131"/>
  <c r="D88"/>
  <c r="E88"/>
  <c r="E131"/>
  <c r="F88"/>
  <c r="G88"/>
  <c r="G131"/>
  <c r="H88"/>
  <c r="I88"/>
  <c r="I131"/>
  <c r="J88"/>
  <c r="L88"/>
  <c r="O88"/>
  <c r="P88"/>
  <c r="P92"/>
  <c r="P93"/>
  <c r="P94"/>
  <c r="P95"/>
  <c r="P96"/>
  <c r="C98"/>
  <c r="D98"/>
  <c r="E98"/>
  <c r="F98"/>
  <c r="G98"/>
  <c r="H98"/>
  <c r="I98"/>
  <c r="J98"/>
  <c r="L98"/>
  <c r="O98"/>
  <c r="P98"/>
  <c r="P102"/>
  <c r="P103"/>
  <c r="P108"/>
  <c r="P104"/>
  <c r="P105"/>
  <c r="H106"/>
  <c r="P106"/>
  <c r="S106"/>
  <c r="C108"/>
  <c r="D108"/>
  <c r="E108"/>
  <c r="F108"/>
  <c r="G108"/>
  <c r="H108"/>
  <c r="I108"/>
  <c r="J108"/>
  <c r="L108"/>
  <c r="M108"/>
  <c r="O108"/>
  <c r="P112"/>
  <c r="P130"/>
  <c r="R130"/>
  <c r="R112"/>
  <c r="S112"/>
  <c r="P113"/>
  <c r="R113"/>
  <c r="S113"/>
  <c r="P114"/>
  <c r="R114"/>
  <c r="S114"/>
  <c r="P115"/>
  <c r="R115"/>
  <c r="S115"/>
  <c r="P116"/>
  <c r="R116"/>
  <c r="S116"/>
  <c r="P117"/>
  <c r="R117"/>
  <c r="S117"/>
  <c r="P118"/>
  <c r="R118"/>
  <c r="S118"/>
  <c r="P119"/>
  <c r="R119"/>
  <c r="S119"/>
  <c r="P120"/>
  <c r="R120"/>
  <c r="S120"/>
  <c r="P121"/>
  <c r="R121"/>
  <c r="S121"/>
  <c r="P122"/>
  <c r="R122"/>
  <c r="S122"/>
  <c r="P123"/>
  <c r="R123"/>
  <c r="S123"/>
  <c r="P124"/>
  <c r="R124"/>
  <c r="S124"/>
  <c r="P125"/>
  <c r="R125"/>
  <c r="S125"/>
  <c r="P126"/>
  <c r="R126"/>
  <c r="S126"/>
  <c r="P127"/>
  <c r="R127"/>
  <c r="S127"/>
  <c r="P128"/>
  <c r="C130"/>
  <c r="D130"/>
  <c r="E130"/>
  <c r="F130"/>
  <c r="G130"/>
  <c r="H130"/>
  <c r="I130"/>
  <c r="J130"/>
  <c r="K130"/>
  <c r="L130"/>
  <c r="M130"/>
  <c r="O130"/>
  <c r="D131"/>
  <c r="F131"/>
  <c r="H131"/>
  <c r="J131"/>
  <c r="K131"/>
  <c r="L131"/>
  <c r="M131"/>
  <c r="O131"/>
  <c r="P9" i="18"/>
  <c r="P10"/>
  <c r="P11"/>
  <c r="P12"/>
  <c r="C14"/>
  <c r="D14"/>
  <c r="E14"/>
  <c r="F14"/>
  <c r="G14"/>
  <c r="H14"/>
  <c r="I14"/>
  <c r="J14"/>
  <c r="K14"/>
  <c r="L14"/>
  <c r="M14"/>
  <c r="O14"/>
  <c r="P14"/>
  <c r="P18"/>
  <c r="P19"/>
  <c r="P24"/>
  <c r="P20"/>
  <c r="P21"/>
  <c r="C24"/>
  <c r="D24"/>
  <c r="E24"/>
  <c r="G24"/>
  <c r="H24"/>
  <c r="I24"/>
  <c r="J24"/>
  <c r="L24"/>
  <c r="M24"/>
  <c r="O24"/>
  <c r="P28"/>
  <c r="P35"/>
  <c r="P29"/>
  <c r="P30"/>
  <c r="P31"/>
  <c r="P32"/>
  <c r="C35"/>
  <c r="D35"/>
  <c r="E35"/>
  <c r="F35"/>
  <c r="G35"/>
  <c r="H35"/>
  <c r="I35"/>
  <c r="J35"/>
  <c r="L35"/>
  <c r="O35"/>
  <c r="P39"/>
  <c r="P53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7"/>
  <c r="P58"/>
  <c r="P59"/>
  <c r="P60"/>
  <c r="P61"/>
  <c r="P62"/>
  <c r="P63"/>
  <c r="P64"/>
  <c r="P65"/>
  <c r="P66"/>
  <c r="C70"/>
  <c r="D70"/>
  <c r="E70"/>
  <c r="F70"/>
  <c r="G70"/>
  <c r="H70"/>
  <c r="I70"/>
  <c r="J70"/>
  <c r="L70"/>
  <c r="O70"/>
  <c r="P70"/>
  <c r="P74"/>
  <c r="P75"/>
  <c r="P76"/>
  <c r="P77"/>
  <c r="R77"/>
  <c r="C79"/>
  <c r="D79"/>
  <c r="E79"/>
  <c r="F79"/>
  <c r="G79"/>
  <c r="H79"/>
  <c r="I79"/>
  <c r="J79"/>
  <c r="M79"/>
  <c r="O79"/>
  <c r="P79"/>
  <c r="P83"/>
  <c r="P84"/>
  <c r="P85"/>
  <c r="P86"/>
  <c r="P87"/>
  <c r="C88"/>
  <c r="D88"/>
  <c r="E88"/>
  <c r="F88"/>
  <c r="G88"/>
  <c r="H88"/>
  <c r="I88"/>
  <c r="J88"/>
  <c r="L88"/>
  <c r="L131"/>
  <c r="O88"/>
  <c r="P88"/>
  <c r="P92"/>
  <c r="P93"/>
  <c r="P94"/>
  <c r="P95"/>
  <c r="P96"/>
  <c r="C98"/>
  <c r="D98"/>
  <c r="E98"/>
  <c r="F98"/>
  <c r="G98"/>
  <c r="H98"/>
  <c r="I98"/>
  <c r="J98"/>
  <c r="L98"/>
  <c r="O98"/>
  <c r="P98"/>
  <c r="P102"/>
  <c r="P103"/>
  <c r="P104"/>
  <c r="P105"/>
  <c r="P106"/>
  <c r="S106"/>
  <c r="C108"/>
  <c r="D108"/>
  <c r="D131"/>
  <c r="E108"/>
  <c r="F108"/>
  <c r="F131"/>
  <c r="G108"/>
  <c r="H108"/>
  <c r="H131"/>
  <c r="I108"/>
  <c r="J108"/>
  <c r="J131"/>
  <c r="L108"/>
  <c r="M108"/>
  <c r="O108"/>
  <c r="P108"/>
  <c r="J112"/>
  <c r="P112"/>
  <c r="R112"/>
  <c r="S112"/>
  <c r="J113"/>
  <c r="P113"/>
  <c r="R113"/>
  <c r="S113"/>
  <c r="P114"/>
  <c r="R114"/>
  <c r="S114"/>
  <c r="P115"/>
  <c r="R115"/>
  <c r="S115"/>
  <c r="P116"/>
  <c r="R116"/>
  <c r="S116"/>
  <c r="P117"/>
  <c r="R117"/>
  <c r="S117"/>
  <c r="P118"/>
  <c r="R118"/>
  <c r="S118"/>
  <c r="P119"/>
  <c r="R119"/>
  <c r="S119"/>
  <c r="P120"/>
  <c r="R120"/>
  <c r="S120"/>
  <c r="P121"/>
  <c r="R121"/>
  <c r="S121"/>
  <c r="P122"/>
  <c r="R122"/>
  <c r="S122"/>
  <c r="P123"/>
  <c r="R123"/>
  <c r="S123"/>
  <c r="P124"/>
  <c r="R124"/>
  <c r="S124"/>
  <c r="P125"/>
  <c r="R125"/>
  <c r="S125"/>
  <c r="P126"/>
  <c r="R126"/>
  <c r="S126"/>
  <c r="P127"/>
  <c r="R127"/>
  <c r="S127"/>
  <c r="P128"/>
  <c r="R128"/>
  <c r="C130"/>
  <c r="D130"/>
  <c r="E130"/>
  <c r="F130"/>
  <c r="G130"/>
  <c r="H130"/>
  <c r="I130"/>
  <c r="J130"/>
  <c r="K130"/>
  <c r="L130"/>
  <c r="M130"/>
  <c r="O130"/>
  <c r="P130"/>
  <c r="R130"/>
  <c r="C131"/>
  <c r="E131"/>
  <c r="G131"/>
  <c r="I131"/>
  <c r="K131"/>
  <c r="M131"/>
  <c r="O131"/>
  <c r="P9" i="17"/>
  <c r="P10"/>
  <c r="P14"/>
  <c r="P11"/>
  <c r="P12"/>
  <c r="C14"/>
  <c r="D14"/>
  <c r="E14"/>
  <c r="F14"/>
  <c r="G14"/>
  <c r="H14"/>
  <c r="I14"/>
  <c r="J14"/>
  <c r="K14"/>
  <c r="L14"/>
  <c r="M14"/>
  <c r="O14"/>
  <c r="P18"/>
  <c r="P19"/>
  <c r="P20"/>
  <c r="P21"/>
  <c r="C24"/>
  <c r="D24"/>
  <c r="E24"/>
  <c r="G24"/>
  <c r="H24"/>
  <c r="I24"/>
  <c r="J24"/>
  <c r="L24"/>
  <c r="M24"/>
  <c r="O24"/>
  <c r="P24"/>
  <c r="P28"/>
  <c r="P29"/>
  <c r="P30"/>
  <c r="H31"/>
  <c r="P31"/>
  <c r="P32"/>
  <c r="C35"/>
  <c r="D35"/>
  <c r="E35"/>
  <c r="F35"/>
  <c r="G35"/>
  <c r="H35"/>
  <c r="I35"/>
  <c r="J35"/>
  <c r="L35"/>
  <c r="O35"/>
  <c r="P39"/>
  <c r="P53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7"/>
  <c r="P58"/>
  <c r="P59"/>
  <c r="P60"/>
  <c r="P61"/>
  <c r="P62"/>
  <c r="P63"/>
  <c r="P64"/>
  <c r="P65"/>
  <c r="P66"/>
  <c r="C70"/>
  <c r="D70"/>
  <c r="E70"/>
  <c r="F70"/>
  <c r="G70"/>
  <c r="H70"/>
  <c r="I70"/>
  <c r="J70"/>
  <c r="L70"/>
  <c r="O70"/>
  <c r="P70"/>
  <c r="P74"/>
  <c r="P75"/>
  <c r="P76"/>
  <c r="P77"/>
  <c r="R77"/>
  <c r="C79"/>
  <c r="D79"/>
  <c r="E79"/>
  <c r="F79"/>
  <c r="G79"/>
  <c r="H79"/>
  <c r="I79"/>
  <c r="J79"/>
  <c r="M79"/>
  <c r="O79"/>
  <c r="P79"/>
  <c r="P83"/>
  <c r="P84"/>
  <c r="P85"/>
  <c r="P86"/>
  <c r="P87"/>
  <c r="C88"/>
  <c r="D88"/>
  <c r="E88"/>
  <c r="F88"/>
  <c r="G88"/>
  <c r="H88"/>
  <c r="I88"/>
  <c r="J88"/>
  <c r="L88"/>
  <c r="O88"/>
  <c r="P88"/>
  <c r="P92"/>
  <c r="P93"/>
  <c r="P94"/>
  <c r="P95"/>
  <c r="P96"/>
  <c r="C98"/>
  <c r="D98"/>
  <c r="E98"/>
  <c r="F98"/>
  <c r="G98"/>
  <c r="H98"/>
  <c r="I98"/>
  <c r="J98"/>
  <c r="L98"/>
  <c r="O98"/>
  <c r="P98"/>
  <c r="P102"/>
  <c r="P103"/>
  <c r="P104"/>
  <c r="P105"/>
  <c r="P106"/>
  <c r="S106"/>
  <c r="C108"/>
  <c r="D108"/>
  <c r="D131"/>
  <c r="E108"/>
  <c r="F108"/>
  <c r="F131"/>
  <c r="G108"/>
  <c r="H108"/>
  <c r="I108"/>
  <c r="J108"/>
  <c r="L108"/>
  <c r="M108"/>
  <c r="O108"/>
  <c r="P108"/>
  <c r="P112"/>
  <c r="R112"/>
  <c r="S112"/>
  <c r="P113"/>
  <c r="R113"/>
  <c r="S113"/>
  <c r="P114"/>
  <c r="R114"/>
  <c r="S114"/>
  <c r="P115"/>
  <c r="R115"/>
  <c r="S115"/>
  <c r="P116"/>
  <c r="R116"/>
  <c r="S116"/>
  <c r="P117"/>
  <c r="R117"/>
  <c r="S117"/>
  <c r="P118"/>
  <c r="R118"/>
  <c r="S118"/>
  <c r="P119"/>
  <c r="R119"/>
  <c r="S119"/>
  <c r="P120"/>
  <c r="R120"/>
  <c r="S120"/>
  <c r="P121"/>
  <c r="R121"/>
  <c r="S121"/>
  <c r="C122"/>
  <c r="H122"/>
  <c r="P122"/>
  <c r="P130"/>
  <c r="R130"/>
  <c r="R122"/>
  <c r="S122"/>
  <c r="P123"/>
  <c r="R123"/>
  <c r="S123"/>
  <c r="P124"/>
  <c r="R124"/>
  <c r="S124"/>
  <c r="P125"/>
  <c r="R125"/>
  <c r="S125"/>
  <c r="P126"/>
  <c r="R126"/>
  <c r="S126"/>
  <c r="P127"/>
  <c r="R127"/>
  <c r="S127"/>
  <c r="P128"/>
  <c r="R128"/>
  <c r="C130"/>
  <c r="D130"/>
  <c r="E130"/>
  <c r="F130"/>
  <c r="G130"/>
  <c r="I130"/>
  <c r="J130"/>
  <c r="K130"/>
  <c r="L130"/>
  <c r="M130"/>
  <c r="O130"/>
  <c r="C131"/>
  <c r="E131"/>
  <c r="G131"/>
  <c r="I131"/>
  <c r="J131"/>
  <c r="K131"/>
  <c r="L131"/>
  <c r="M131"/>
  <c r="O131"/>
  <c r="R132"/>
  <c r="P9" i="16"/>
  <c r="P10"/>
  <c r="P11"/>
  <c r="P12"/>
  <c r="C14"/>
  <c r="D14"/>
  <c r="E14"/>
  <c r="F14"/>
  <c r="G14"/>
  <c r="H14"/>
  <c r="I14"/>
  <c r="J14"/>
  <c r="K14"/>
  <c r="L14"/>
  <c r="M14"/>
  <c r="O14"/>
  <c r="P14"/>
  <c r="P18"/>
  <c r="P19"/>
  <c r="P20"/>
  <c r="P21"/>
  <c r="R23"/>
  <c r="C24"/>
  <c r="D24"/>
  <c r="E24"/>
  <c r="G24"/>
  <c r="H24"/>
  <c r="I24"/>
  <c r="J24"/>
  <c r="L24"/>
  <c r="M24"/>
  <c r="O24"/>
  <c r="P24"/>
  <c r="P28"/>
  <c r="P29"/>
  <c r="P35"/>
  <c r="H30"/>
  <c r="P30"/>
  <c r="P31"/>
  <c r="P32"/>
  <c r="C35"/>
  <c r="D35"/>
  <c r="E35"/>
  <c r="F35"/>
  <c r="G35"/>
  <c r="H35"/>
  <c r="I35"/>
  <c r="J35"/>
  <c r="L35"/>
  <c r="O35"/>
  <c r="P39"/>
  <c r="P53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7"/>
  <c r="P58"/>
  <c r="P59"/>
  <c r="P60"/>
  <c r="P61"/>
  <c r="P62"/>
  <c r="P63"/>
  <c r="P64"/>
  <c r="P65"/>
  <c r="P66"/>
  <c r="C70"/>
  <c r="D70"/>
  <c r="E70"/>
  <c r="F70"/>
  <c r="G70"/>
  <c r="H70"/>
  <c r="I70"/>
  <c r="J70"/>
  <c r="L70"/>
  <c r="O70"/>
  <c r="P70"/>
  <c r="P74"/>
  <c r="P75"/>
  <c r="P79"/>
  <c r="P76"/>
  <c r="P77"/>
  <c r="R77"/>
  <c r="P78"/>
  <c r="C79"/>
  <c r="D79"/>
  <c r="E79"/>
  <c r="F79"/>
  <c r="G79"/>
  <c r="H79"/>
  <c r="I79"/>
  <c r="J79"/>
  <c r="M79"/>
  <c r="O79"/>
  <c r="P83"/>
  <c r="P88"/>
  <c r="P84"/>
  <c r="P85"/>
  <c r="P86"/>
  <c r="P87"/>
  <c r="C88"/>
  <c r="D88"/>
  <c r="E88"/>
  <c r="F88"/>
  <c r="G88"/>
  <c r="H88"/>
  <c r="I88"/>
  <c r="J88"/>
  <c r="L88"/>
  <c r="O88"/>
  <c r="P92"/>
  <c r="P98"/>
  <c r="P93"/>
  <c r="P94"/>
  <c r="P95"/>
  <c r="P96"/>
  <c r="C98"/>
  <c r="D98"/>
  <c r="E98"/>
  <c r="F98"/>
  <c r="G98"/>
  <c r="H98"/>
  <c r="I98"/>
  <c r="J98"/>
  <c r="L98"/>
  <c r="O98"/>
  <c r="P102"/>
  <c r="P108"/>
  <c r="P103"/>
  <c r="P104"/>
  <c r="P105"/>
  <c r="P106"/>
  <c r="S106"/>
  <c r="C108"/>
  <c r="C131"/>
  <c r="D108"/>
  <c r="E108"/>
  <c r="E131"/>
  <c r="F108"/>
  <c r="G108"/>
  <c r="H108"/>
  <c r="I108"/>
  <c r="J108"/>
  <c r="L108"/>
  <c r="M108"/>
  <c r="O108"/>
  <c r="P112"/>
  <c r="R112"/>
  <c r="S112"/>
  <c r="P113"/>
  <c r="R113"/>
  <c r="S113"/>
  <c r="P114"/>
  <c r="R114"/>
  <c r="S114"/>
  <c r="P115"/>
  <c r="R115"/>
  <c r="S115"/>
  <c r="P116"/>
  <c r="R116"/>
  <c r="S116"/>
  <c r="P117"/>
  <c r="R117"/>
  <c r="S117"/>
  <c r="P118"/>
  <c r="R118"/>
  <c r="S118"/>
  <c r="P119"/>
  <c r="R119"/>
  <c r="S119"/>
  <c r="P120"/>
  <c r="R120"/>
  <c r="S120"/>
  <c r="P121"/>
  <c r="R121"/>
  <c r="S121"/>
  <c r="H122"/>
  <c r="P122"/>
  <c r="R122"/>
  <c r="S122"/>
  <c r="H123"/>
  <c r="P123"/>
  <c r="R123"/>
  <c r="S123"/>
  <c r="P124"/>
  <c r="R124"/>
  <c r="S124"/>
  <c r="P125"/>
  <c r="R125"/>
  <c r="S125"/>
  <c r="P126"/>
  <c r="R126"/>
  <c r="S126"/>
  <c r="P127"/>
  <c r="R127"/>
  <c r="S127"/>
  <c r="P128"/>
  <c r="C130"/>
  <c r="D130"/>
  <c r="E130"/>
  <c r="F130"/>
  <c r="G130"/>
  <c r="H130"/>
  <c r="I130"/>
  <c r="J130"/>
  <c r="K130"/>
  <c r="L130"/>
  <c r="M130"/>
  <c r="O130"/>
  <c r="D131"/>
  <c r="F131"/>
  <c r="G131"/>
  <c r="H131"/>
  <c r="I131"/>
  <c r="J131"/>
  <c r="K131"/>
  <c r="L131"/>
  <c r="M131"/>
  <c r="O131"/>
  <c r="P9" i="15"/>
  <c r="P10"/>
  <c r="P11"/>
  <c r="P12"/>
  <c r="C14"/>
  <c r="D14"/>
  <c r="E14"/>
  <c r="F14"/>
  <c r="G14"/>
  <c r="H14"/>
  <c r="I14"/>
  <c r="J14"/>
  <c r="K14"/>
  <c r="L14"/>
  <c r="M14"/>
  <c r="O14"/>
  <c r="P14"/>
  <c r="R16"/>
  <c r="R17"/>
  <c r="P18"/>
  <c r="P19"/>
  <c r="P24"/>
  <c r="P20"/>
  <c r="P21"/>
  <c r="C24"/>
  <c r="D24"/>
  <c r="E24"/>
  <c r="G24"/>
  <c r="H24"/>
  <c r="I24"/>
  <c r="J24"/>
  <c r="L24"/>
  <c r="M24"/>
  <c r="O24"/>
  <c r="H28"/>
  <c r="P28"/>
  <c r="P35"/>
  <c r="P29"/>
  <c r="P30"/>
  <c r="P31"/>
  <c r="P32"/>
  <c r="C35"/>
  <c r="D35"/>
  <c r="E35"/>
  <c r="F35"/>
  <c r="G35"/>
  <c r="I35"/>
  <c r="J35"/>
  <c r="L35"/>
  <c r="O35"/>
  <c r="P39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3"/>
  <c r="P57"/>
  <c r="P58"/>
  <c r="P70"/>
  <c r="P59"/>
  <c r="P60"/>
  <c r="P61"/>
  <c r="P62"/>
  <c r="P63"/>
  <c r="P64"/>
  <c r="P65"/>
  <c r="P66"/>
  <c r="C70"/>
  <c r="D70"/>
  <c r="E70"/>
  <c r="F70"/>
  <c r="G70"/>
  <c r="H70"/>
  <c r="I70"/>
  <c r="J70"/>
  <c r="L70"/>
  <c r="O70"/>
  <c r="P74"/>
  <c r="P75"/>
  <c r="P76"/>
  <c r="P77"/>
  <c r="R77"/>
  <c r="P78"/>
  <c r="C79"/>
  <c r="D79"/>
  <c r="E79"/>
  <c r="F79"/>
  <c r="G79"/>
  <c r="H79"/>
  <c r="I79"/>
  <c r="J79"/>
  <c r="M79"/>
  <c r="O79"/>
  <c r="P79"/>
  <c r="R81"/>
  <c r="P83"/>
  <c r="P84"/>
  <c r="P85"/>
  <c r="P86"/>
  <c r="P87"/>
  <c r="D88"/>
  <c r="E88"/>
  <c r="F88"/>
  <c r="G88"/>
  <c r="H88"/>
  <c r="I88"/>
  <c r="J88"/>
  <c r="L88"/>
  <c r="O88"/>
  <c r="P88"/>
  <c r="P92"/>
  <c r="P93"/>
  <c r="P94"/>
  <c r="P95"/>
  <c r="P96"/>
  <c r="C98"/>
  <c r="C131"/>
  <c r="D98"/>
  <c r="E98"/>
  <c r="E131"/>
  <c r="F98"/>
  <c r="G98"/>
  <c r="G131"/>
  <c r="H98"/>
  <c r="I98"/>
  <c r="J98"/>
  <c r="L98"/>
  <c r="O98"/>
  <c r="P98"/>
  <c r="P102"/>
  <c r="P103"/>
  <c r="P108"/>
  <c r="P104"/>
  <c r="P105"/>
  <c r="P106"/>
  <c r="S106"/>
  <c r="D108"/>
  <c r="E108"/>
  <c r="F108"/>
  <c r="G108"/>
  <c r="H108"/>
  <c r="I108"/>
  <c r="I131"/>
  <c r="J108"/>
  <c r="L108"/>
  <c r="M108"/>
  <c r="O108"/>
  <c r="P112"/>
  <c r="P113"/>
  <c r="P114"/>
  <c r="P115"/>
  <c r="P116"/>
  <c r="P117"/>
  <c r="P118"/>
  <c r="P119"/>
  <c r="P120"/>
  <c r="H121"/>
  <c r="P121"/>
  <c r="P122"/>
  <c r="P123"/>
  <c r="P124"/>
  <c r="P125"/>
  <c r="P126"/>
  <c r="P127"/>
  <c r="P128"/>
  <c r="C130"/>
  <c r="D130"/>
  <c r="E130"/>
  <c r="F130"/>
  <c r="G130"/>
  <c r="H130"/>
  <c r="I130"/>
  <c r="J130"/>
  <c r="K130"/>
  <c r="K131"/>
  <c r="L130"/>
  <c r="M130"/>
  <c r="M131"/>
  <c r="O130"/>
  <c r="P130"/>
  <c r="D131"/>
  <c r="F131"/>
  <c r="J131"/>
  <c r="L131"/>
  <c r="O131"/>
  <c r="P9" i="14"/>
  <c r="P10"/>
  <c r="P11"/>
  <c r="P12"/>
  <c r="C14"/>
  <c r="D14"/>
  <c r="E14"/>
  <c r="F14"/>
  <c r="G14"/>
  <c r="H14"/>
  <c r="I14"/>
  <c r="J14"/>
  <c r="K14"/>
  <c r="L14"/>
  <c r="M14"/>
  <c r="O14"/>
  <c r="P14"/>
  <c r="P18"/>
  <c r="P19"/>
  <c r="P20"/>
  <c r="P21"/>
  <c r="R21"/>
  <c r="C24"/>
  <c r="D24"/>
  <c r="E24"/>
  <c r="G24"/>
  <c r="H24"/>
  <c r="I24"/>
  <c r="J24"/>
  <c r="L24"/>
  <c r="M24"/>
  <c r="O24"/>
  <c r="P24"/>
  <c r="P28"/>
  <c r="R28"/>
  <c r="P29"/>
  <c r="P30"/>
  <c r="P35"/>
  <c r="P31"/>
  <c r="P32"/>
  <c r="C35"/>
  <c r="D35"/>
  <c r="E35"/>
  <c r="F35"/>
  <c r="G35"/>
  <c r="H35"/>
  <c r="I35"/>
  <c r="J35"/>
  <c r="L35"/>
  <c r="O35"/>
  <c r="P39"/>
  <c r="P53"/>
  <c r="P40"/>
  <c r="P41"/>
  <c r="P42"/>
  <c r="P43"/>
  <c r="P44"/>
  <c r="P45"/>
  <c r="P46"/>
  <c r="P47"/>
  <c r="P48"/>
  <c r="P49"/>
  <c r="P50"/>
  <c r="C53"/>
  <c r="D53"/>
  <c r="E53"/>
  <c r="F53"/>
  <c r="G53"/>
  <c r="H53"/>
  <c r="I53"/>
  <c r="J53"/>
  <c r="K53"/>
  <c r="L53"/>
  <c r="O53"/>
  <c r="P57"/>
  <c r="P70"/>
  <c r="P58"/>
  <c r="P59"/>
  <c r="P60"/>
  <c r="P61"/>
  <c r="P62"/>
  <c r="P63"/>
  <c r="P64"/>
  <c r="P65"/>
  <c r="P66"/>
  <c r="D70"/>
  <c r="E70"/>
  <c r="F70"/>
  <c r="G70"/>
  <c r="H70"/>
  <c r="I70"/>
  <c r="J70"/>
  <c r="L70"/>
  <c r="O70"/>
  <c r="P74"/>
  <c r="P75"/>
  <c r="P76"/>
  <c r="P77"/>
  <c r="C79"/>
  <c r="D79"/>
  <c r="E79"/>
  <c r="F79"/>
  <c r="G79"/>
  <c r="H79"/>
  <c r="I79"/>
  <c r="J79"/>
  <c r="M79"/>
  <c r="O79"/>
  <c r="P79"/>
  <c r="P83"/>
  <c r="P84"/>
  <c r="P85"/>
  <c r="P86"/>
  <c r="P87"/>
  <c r="C88"/>
  <c r="D88"/>
  <c r="E88"/>
  <c r="F88"/>
  <c r="G88"/>
  <c r="H88"/>
  <c r="I88"/>
  <c r="J88"/>
  <c r="L88"/>
  <c r="O88"/>
  <c r="P88"/>
  <c r="P92"/>
  <c r="P93"/>
  <c r="P98"/>
  <c r="P94"/>
  <c r="P95"/>
  <c r="P96"/>
  <c r="D98"/>
  <c r="D131"/>
  <c r="E98"/>
  <c r="F98"/>
  <c r="F131"/>
  <c r="G98"/>
  <c r="H98"/>
  <c r="I98"/>
  <c r="J98"/>
  <c r="L98"/>
  <c r="O98"/>
  <c r="P102"/>
  <c r="P103"/>
  <c r="P104"/>
  <c r="P105"/>
  <c r="P106"/>
  <c r="S106"/>
  <c r="D108"/>
  <c r="E108"/>
  <c r="F108"/>
  <c r="G108"/>
  <c r="H108"/>
  <c r="H131"/>
  <c r="I108"/>
  <c r="J108"/>
  <c r="J131"/>
  <c r="L108"/>
  <c r="M108"/>
  <c r="O108"/>
  <c r="P108"/>
  <c r="P112"/>
  <c r="P113"/>
  <c r="P130"/>
  <c r="P114"/>
  <c r="P115"/>
  <c r="P116"/>
  <c r="P117"/>
  <c r="J118"/>
  <c r="P118"/>
  <c r="P119"/>
  <c r="P120"/>
  <c r="P121"/>
  <c r="P122"/>
  <c r="P123"/>
  <c r="P124"/>
  <c r="H125"/>
  <c r="P125"/>
  <c r="P126"/>
  <c r="P127"/>
  <c r="P128"/>
  <c r="D130"/>
  <c r="E130"/>
  <c r="F130"/>
  <c r="G130"/>
  <c r="H130"/>
  <c r="I130"/>
  <c r="J130"/>
  <c r="K130"/>
  <c r="L130"/>
  <c r="L131"/>
  <c r="M130"/>
  <c r="O130"/>
  <c r="O131"/>
  <c r="C131"/>
  <c r="E131"/>
  <c r="G131"/>
  <c r="I131"/>
  <c r="K131"/>
  <c r="M131"/>
  <c r="P9" i="13"/>
  <c r="P10"/>
  <c r="P11"/>
  <c r="S12"/>
  <c r="D14"/>
  <c r="E14"/>
  <c r="F14"/>
  <c r="G14"/>
  <c r="H14"/>
  <c r="I14"/>
  <c r="J14"/>
  <c r="K14"/>
  <c r="L14"/>
  <c r="M14"/>
  <c r="O14"/>
  <c r="P14"/>
  <c r="S14"/>
  <c r="P18"/>
  <c r="P24"/>
  <c r="P19"/>
  <c r="P20"/>
  <c r="P21"/>
  <c r="D24"/>
  <c r="E24"/>
  <c r="G24"/>
  <c r="H24"/>
  <c r="I24"/>
  <c r="J24"/>
  <c r="L24"/>
  <c r="M24"/>
  <c r="O24"/>
  <c r="P28"/>
  <c r="P29"/>
  <c r="P30"/>
  <c r="P31"/>
  <c r="P32"/>
  <c r="D35"/>
  <c r="E35"/>
  <c r="F35"/>
  <c r="G35"/>
  <c r="H35"/>
  <c r="I35"/>
  <c r="J35"/>
  <c r="L35"/>
  <c r="O35"/>
  <c r="P35"/>
  <c r="P39"/>
  <c r="P40"/>
  <c r="P53"/>
  <c r="P41"/>
  <c r="P42"/>
  <c r="P43"/>
  <c r="P44"/>
  <c r="P45"/>
  <c r="P46"/>
  <c r="P47"/>
  <c r="P48"/>
  <c r="P49"/>
  <c r="P50"/>
  <c r="D53"/>
  <c r="E53"/>
  <c r="F53"/>
  <c r="G53"/>
  <c r="H53"/>
  <c r="I53"/>
  <c r="J53"/>
  <c r="K53"/>
  <c r="L53"/>
  <c r="O53"/>
  <c r="P57"/>
  <c r="P70"/>
  <c r="P58"/>
  <c r="P59"/>
  <c r="P60"/>
  <c r="P61"/>
  <c r="P62"/>
  <c r="P63"/>
  <c r="P64"/>
  <c r="P65"/>
  <c r="P66"/>
  <c r="D70"/>
  <c r="E70"/>
  <c r="F70"/>
  <c r="G70"/>
  <c r="H70"/>
  <c r="I70"/>
  <c r="J70"/>
  <c r="L70"/>
  <c r="O70"/>
  <c r="P74"/>
  <c r="P79"/>
  <c r="P75"/>
  <c r="P76"/>
  <c r="P77"/>
  <c r="D79"/>
  <c r="E79"/>
  <c r="F79"/>
  <c r="G79"/>
  <c r="H79"/>
  <c r="I79"/>
  <c r="J79"/>
  <c r="M79"/>
  <c r="O79"/>
  <c r="P83"/>
  <c r="P84"/>
  <c r="P85"/>
  <c r="P86"/>
  <c r="P87"/>
  <c r="D88"/>
  <c r="E88"/>
  <c r="F88"/>
  <c r="G88"/>
  <c r="H88"/>
  <c r="I88"/>
  <c r="J88"/>
  <c r="L88"/>
  <c r="O88"/>
  <c r="P88"/>
  <c r="P92"/>
  <c r="P93"/>
  <c r="P98"/>
  <c r="P94"/>
  <c r="P95"/>
  <c r="P96"/>
  <c r="D98"/>
  <c r="E98"/>
  <c r="F98"/>
  <c r="G98"/>
  <c r="H98"/>
  <c r="I98"/>
  <c r="J98"/>
  <c r="L98"/>
  <c r="O98"/>
  <c r="P102"/>
  <c r="P103"/>
  <c r="H104"/>
  <c r="P104"/>
  <c r="P108"/>
  <c r="P105"/>
  <c r="P106"/>
  <c r="D108"/>
  <c r="E108"/>
  <c r="F108"/>
  <c r="G108"/>
  <c r="H108"/>
  <c r="I108"/>
  <c r="J108"/>
  <c r="L108"/>
  <c r="M108"/>
  <c r="M131"/>
  <c r="O108"/>
  <c r="P112"/>
  <c r="R112"/>
  <c r="S112"/>
  <c r="P113"/>
  <c r="P130"/>
  <c r="R113"/>
  <c r="S113"/>
  <c r="P114"/>
  <c r="R114"/>
  <c r="S114"/>
  <c r="P115"/>
  <c r="R115"/>
  <c r="S115"/>
  <c r="P116"/>
  <c r="R116"/>
  <c r="S116"/>
  <c r="P117"/>
  <c r="R117"/>
  <c r="S117"/>
  <c r="P118"/>
  <c r="R118"/>
  <c r="S118"/>
  <c r="P119"/>
  <c r="R119"/>
  <c r="S119"/>
  <c r="P120"/>
  <c r="R120"/>
  <c r="S120"/>
  <c r="P121"/>
  <c r="R121"/>
  <c r="S121"/>
  <c r="P122"/>
  <c r="R122"/>
  <c r="S122"/>
  <c r="P123"/>
  <c r="R123"/>
  <c r="S123"/>
  <c r="P124"/>
  <c r="R124"/>
  <c r="S124"/>
  <c r="P125"/>
  <c r="R125"/>
  <c r="S125"/>
  <c r="P126"/>
  <c r="R126"/>
  <c r="D130"/>
  <c r="E130"/>
  <c r="F130"/>
  <c r="G130"/>
  <c r="H130"/>
  <c r="I130"/>
  <c r="J130"/>
  <c r="K130"/>
  <c r="L130"/>
  <c r="M130"/>
  <c r="O130"/>
  <c r="D131"/>
  <c r="E131"/>
  <c r="F131"/>
  <c r="G131"/>
  <c r="H131"/>
  <c r="I131"/>
  <c r="J131"/>
  <c r="K131"/>
  <c r="L131"/>
  <c r="O131"/>
  <c r="P9" i="12"/>
  <c r="P10"/>
  <c r="P11"/>
  <c r="C11"/>
  <c r="D11"/>
  <c r="E11"/>
  <c r="F11"/>
  <c r="G11"/>
  <c r="H11"/>
  <c r="I11"/>
  <c r="J11"/>
  <c r="K11"/>
  <c r="L11"/>
  <c r="M11"/>
  <c r="O11"/>
  <c r="I15"/>
  <c r="P15"/>
  <c r="P18"/>
  <c r="P16"/>
  <c r="P17"/>
  <c r="C18"/>
  <c r="D18"/>
  <c r="E18"/>
  <c r="G18"/>
  <c r="H18"/>
  <c r="J18"/>
  <c r="L18"/>
  <c r="M18"/>
  <c r="O18"/>
  <c r="P22"/>
  <c r="P23"/>
  <c r="P24"/>
  <c r="C25"/>
  <c r="D25"/>
  <c r="E25"/>
  <c r="F25"/>
  <c r="G25"/>
  <c r="H25"/>
  <c r="I25"/>
  <c r="J25"/>
  <c r="L25"/>
  <c r="O25"/>
  <c r="P25"/>
  <c r="P29"/>
  <c r="P30"/>
  <c r="P38"/>
  <c r="P31"/>
  <c r="P32"/>
  <c r="P33"/>
  <c r="P34"/>
  <c r="P35"/>
  <c r="P36"/>
  <c r="P37"/>
  <c r="C38"/>
  <c r="D38"/>
  <c r="E38"/>
  <c r="F38"/>
  <c r="G38"/>
  <c r="H38"/>
  <c r="I38"/>
  <c r="J38"/>
  <c r="K38"/>
  <c r="L38"/>
  <c r="O38"/>
  <c r="P42"/>
  <c r="P49"/>
  <c r="P43"/>
  <c r="P44"/>
  <c r="P45"/>
  <c r="P46"/>
  <c r="P47"/>
  <c r="P48"/>
  <c r="C49"/>
  <c r="D49"/>
  <c r="E49"/>
  <c r="F49"/>
  <c r="G49"/>
  <c r="H49"/>
  <c r="I49"/>
  <c r="J49"/>
  <c r="L49"/>
  <c r="O49"/>
  <c r="P54"/>
  <c r="P55"/>
  <c r="C56"/>
  <c r="D56"/>
  <c r="E56"/>
  <c r="F56"/>
  <c r="G56"/>
  <c r="H56"/>
  <c r="I56"/>
  <c r="J56"/>
  <c r="M56"/>
  <c r="O56"/>
  <c r="P56"/>
  <c r="P60"/>
  <c r="P61"/>
  <c r="P62"/>
  <c r="C63"/>
  <c r="D63"/>
  <c r="E63"/>
  <c r="F63"/>
  <c r="G63"/>
  <c r="H63"/>
  <c r="I63"/>
  <c r="J63"/>
  <c r="L63"/>
  <c r="L95"/>
  <c r="O63"/>
  <c r="P63"/>
  <c r="P67"/>
  <c r="P68"/>
  <c r="P69"/>
  <c r="C70"/>
  <c r="D70"/>
  <c r="E70"/>
  <c r="F70"/>
  <c r="G70"/>
  <c r="H70"/>
  <c r="I70"/>
  <c r="J70"/>
  <c r="L70"/>
  <c r="O70"/>
  <c r="P70"/>
  <c r="P74"/>
  <c r="H75"/>
  <c r="H77"/>
  <c r="H95"/>
  <c r="I75"/>
  <c r="P75"/>
  <c r="P77"/>
  <c r="P76"/>
  <c r="C77"/>
  <c r="D77"/>
  <c r="E77"/>
  <c r="F77"/>
  <c r="G77"/>
  <c r="I77"/>
  <c r="J77"/>
  <c r="L77"/>
  <c r="M77"/>
  <c r="O77"/>
  <c r="O95"/>
  <c r="P81"/>
  <c r="P94"/>
  <c r="P82"/>
  <c r="P83"/>
  <c r="P84"/>
  <c r="P85"/>
  <c r="P86"/>
  <c r="P87"/>
  <c r="P88"/>
  <c r="P89"/>
  <c r="P90"/>
  <c r="P91"/>
  <c r="P92"/>
  <c r="P93"/>
  <c r="C94"/>
  <c r="D94"/>
  <c r="D95"/>
  <c r="E94"/>
  <c r="F94"/>
  <c r="F95"/>
  <c r="G94"/>
  <c r="H94"/>
  <c r="I94"/>
  <c r="J94"/>
  <c r="J95"/>
  <c r="K94"/>
  <c r="L94"/>
  <c r="M94"/>
  <c r="O94"/>
  <c r="C95"/>
  <c r="E95"/>
  <c r="G95"/>
  <c r="K95"/>
  <c r="M95"/>
  <c r="D6" i="4"/>
  <c r="F6"/>
  <c r="H6"/>
  <c r="D7"/>
  <c r="F7"/>
  <c r="H7"/>
  <c r="D8"/>
  <c r="F8"/>
  <c r="H8"/>
  <c r="D9"/>
  <c r="F9"/>
  <c r="G9"/>
  <c r="N9"/>
  <c r="D10"/>
  <c r="F10"/>
  <c r="H10"/>
  <c r="B11"/>
  <c r="D11"/>
  <c r="F11"/>
  <c r="M11"/>
  <c r="B12"/>
  <c r="D12"/>
  <c r="F12"/>
  <c r="B13"/>
  <c r="D13"/>
  <c r="F13"/>
  <c r="H13"/>
  <c r="M13"/>
  <c r="B14"/>
  <c r="D14"/>
  <c r="F14"/>
  <c r="H14"/>
  <c r="B15"/>
  <c r="D15"/>
  <c r="F15"/>
  <c r="M15"/>
  <c r="B16"/>
  <c r="D16"/>
  <c r="F16"/>
  <c r="M16"/>
  <c r="B17"/>
  <c r="D17"/>
  <c r="F17"/>
  <c r="B18"/>
  <c r="D18"/>
  <c r="F18"/>
  <c r="H18"/>
  <c r="B19"/>
  <c r="D19"/>
  <c r="F19"/>
  <c r="B20"/>
  <c r="D20"/>
  <c r="F20"/>
  <c r="H20"/>
  <c r="B21"/>
  <c r="D21"/>
  <c r="F21"/>
  <c r="D5" i="6"/>
  <c r="F5"/>
  <c r="D6"/>
  <c r="F6"/>
  <c r="H6"/>
  <c r="I6"/>
  <c r="L6"/>
  <c r="D7"/>
  <c r="F7"/>
  <c r="D8"/>
  <c r="F8"/>
  <c r="I8"/>
  <c r="N8"/>
  <c r="D9"/>
  <c r="F9"/>
  <c r="H9"/>
  <c r="I9"/>
  <c r="Q9"/>
  <c r="D10"/>
  <c r="F10"/>
  <c r="Q10"/>
  <c r="D11"/>
  <c r="F11"/>
  <c r="D12"/>
  <c r="F12"/>
  <c r="H12"/>
  <c r="I12"/>
  <c r="Q12"/>
  <c r="D13"/>
  <c r="F13"/>
  <c r="H13"/>
  <c r="I13"/>
  <c r="D14"/>
  <c r="F14"/>
  <c r="D15"/>
  <c r="F15"/>
  <c r="H15"/>
  <c r="I15"/>
  <c r="D16"/>
  <c r="F16"/>
  <c r="D15" i="10"/>
  <c r="D20"/>
  <c r="D21"/>
  <c r="D22"/>
  <c r="D23"/>
  <c r="D24"/>
  <c r="D25"/>
  <c r="C27"/>
  <c r="D2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C53"/>
  <c r="D53"/>
  <c r="D67"/>
  <c r="D68"/>
  <c r="D69"/>
  <c r="D70"/>
  <c r="D71"/>
  <c r="D72"/>
  <c r="D73"/>
  <c r="D74"/>
  <c r="D75"/>
  <c r="D76"/>
  <c r="D77"/>
  <c r="D78"/>
  <c r="D79"/>
  <c r="D80"/>
  <c r="D81"/>
  <c r="C83"/>
  <c r="F205" i="7"/>
  <c r="F210"/>
  <c r="F211"/>
  <c r="F212"/>
  <c r="F213"/>
  <c r="F214"/>
  <c r="F215"/>
  <c r="F216"/>
  <c r="F219"/>
  <c r="F220"/>
  <c r="F221"/>
  <c r="F222"/>
  <c r="F223"/>
  <c r="F224"/>
  <c r="F225"/>
  <c r="F226"/>
  <c r="F227"/>
  <c r="F228"/>
  <c r="F229"/>
  <c r="F230"/>
  <c r="F231"/>
  <c r="F232"/>
  <c r="F233"/>
  <c r="F234"/>
  <c r="F254"/>
  <c r="F236"/>
  <c r="F237"/>
  <c r="F238"/>
  <c r="F239"/>
  <c r="F242"/>
  <c r="F243"/>
  <c r="F244"/>
  <c r="F245"/>
  <c r="F246"/>
  <c r="F247"/>
  <c r="F248"/>
  <c r="F249"/>
  <c r="F250"/>
  <c r="F251"/>
  <c r="F252"/>
  <c r="F253"/>
  <c r="F277"/>
  <c r="F278"/>
  <c r="F279"/>
  <c r="F280"/>
  <c r="F281"/>
  <c r="F282"/>
  <c r="F283"/>
  <c r="F284"/>
  <c r="F285"/>
  <c r="F286"/>
  <c r="F287"/>
  <c r="F288"/>
  <c r="F289"/>
  <c r="F290"/>
  <c r="F291"/>
  <c r="G23" i="9"/>
  <c r="G7" i="8"/>
  <c r="J144" i="9"/>
  <c r="H13"/>
  <c r="J145"/>
  <c r="I13"/>
  <c r="J146"/>
  <c r="J13"/>
  <c r="J147"/>
  <c r="K13"/>
  <c r="E30"/>
  <c r="F30"/>
  <c r="G30"/>
  <c r="H30"/>
  <c r="I30"/>
  <c r="J30"/>
  <c r="K30"/>
  <c r="E31"/>
  <c r="F31"/>
  <c r="G31"/>
  <c r="H31"/>
  <c r="I31"/>
  <c r="J31"/>
  <c r="K31"/>
  <c r="E32"/>
  <c r="F32"/>
  <c r="G42"/>
  <c r="G8" i="8"/>
  <c r="E33" i="9"/>
  <c r="F33"/>
  <c r="G33"/>
  <c r="H33"/>
  <c r="I33"/>
  <c r="J33"/>
  <c r="K33"/>
  <c r="E34"/>
  <c r="F34"/>
  <c r="G34"/>
  <c r="H34"/>
  <c r="I34"/>
  <c r="J34"/>
  <c r="K34"/>
  <c r="E35"/>
  <c r="F35"/>
  <c r="G35"/>
  <c r="H35"/>
  <c r="I35"/>
  <c r="J35"/>
  <c r="K35"/>
  <c r="E36"/>
  <c r="F36"/>
  <c r="G36"/>
  <c r="H36"/>
  <c r="I36"/>
  <c r="J36"/>
  <c r="K36"/>
  <c r="E37"/>
  <c r="F37"/>
  <c r="G37"/>
  <c r="H37"/>
  <c r="I37"/>
  <c r="J37"/>
  <c r="K37"/>
  <c r="E38"/>
  <c r="F38"/>
  <c r="G38"/>
  <c r="H38"/>
  <c r="I38"/>
  <c r="J38"/>
  <c r="K38"/>
  <c r="E39"/>
  <c r="F39"/>
  <c r="G39"/>
  <c r="H39"/>
  <c r="I39"/>
  <c r="J39"/>
  <c r="K39"/>
  <c r="E40"/>
  <c r="F40"/>
  <c r="G40"/>
  <c r="H40"/>
  <c r="I40"/>
  <c r="J40"/>
  <c r="K40"/>
  <c r="B64"/>
  <c r="L64"/>
  <c r="K64"/>
  <c r="N68"/>
  <c r="E73"/>
  <c r="F73"/>
  <c r="G73"/>
  <c r="H73"/>
  <c r="I73"/>
  <c r="J73"/>
  <c r="K73"/>
  <c r="N74"/>
  <c r="B61"/>
  <c r="N75"/>
  <c r="B62"/>
  <c r="N77"/>
  <c r="B63"/>
  <c r="J141"/>
  <c r="J142"/>
  <c r="F150"/>
  <c r="K138"/>
  <c r="L138"/>
  <c r="G139"/>
  <c r="K139"/>
  <c r="L139"/>
  <c r="B141"/>
  <c r="G141"/>
  <c r="B142"/>
  <c r="E150"/>
  <c r="M2" i="1"/>
  <c r="N2"/>
  <c r="L3"/>
  <c r="M3"/>
  <c r="L4"/>
  <c r="M4"/>
  <c r="N4"/>
  <c r="L5"/>
  <c r="M5"/>
  <c r="N5"/>
  <c r="F6"/>
  <c r="L6"/>
  <c r="F11"/>
  <c r="F14"/>
  <c r="H17"/>
  <c r="I17"/>
  <c r="D29"/>
  <c r="E29"/>
  <c r="F29"/>
  <c r="G29"/>
  <c r="H42"/>
  <c r="H43"/>
  <c r="I44"/>
  <c r="J44"/>
  <c r="I43"/>
  <c r="E18" i="11"/>
  <c r="F18"/>
  <c r="G18"/>
  <c r="H18"/>
  <c r="I18"/>
  <c r="J18"/>
  <c r="E37"/>
  <c r="F37"/>
  <c r="G37"/>
  <c r="H37"/>
  <c r="I37"/>
  <c r="J37"/>
  <c r="K37"/>
  <c r="B15" i="20"/>
  <c r="C15"/>
  <c r="D15"/>
  <c r="E15"/>
  <c r="E19"/>
  <c r="F15"/>
  <c r="F19"/>
  <c r="G15"/>
  <c r="G19"/>
  <c r="H15"/>
  <c r="D19"/>
  <c r="H19"/>
  <c r="N6" i="1"/>
  <c r="F5"/>
  <c r="H19" i="4"/>
  <c r="I19"/>
  <c r="H21"/>
  <c r="I21"/>
  <c r="H17"/>
  <c r="I17"/>
  <c r="H16"/>
  <c r="I16"/>
  <c r="H15"/>
  <c r="I15"/>
  <c r="H12"/>
  <c r="I12"/>
  <c r="H11"/>
  <c r="I11"/>
  <c r="D83" i="10"/>
  <c r="G8" i="6"/>
  <c r="I9" i="4"/>
  <c r="I7"/>
  <c r="L7"/>
  <c r="E102" i="12"/>
  <c r="P131" i="13"/>
  <c r="Q131"/>
  <c r="P131" i="14"/>
  <c r="P131" i="15"/>
  <c r="S128" i="16"/>
  <c r="P130"/>
  <c r="R130"/>
  <c r="P131"/>
  <c r="P35" i="17"/>
  <c r="S128" i="18"/>
  <c r="S128" i="19"/>
  <c r="P131"/>
  <c r="F292" i="7"/>
  <c r="I20" i="4"/>
  <c r="I18"/>
  <c r="I14"/>
  <c r="I13"/>
  <c r="I10"/>
  <c r="I8"/>
  <c r="L8"/>
  <c r="I6"/>
  <c r="L6"/>
  <c r="P95" i="12"/>
  <c r="S126" i="13"/>
  <c r="S128" i="17"/>
  <c r="P131"/>
  <c r="P131" i="18"/>
  <c r="I18" i="12"/>
  <c r="I95"/>
  <c r="H35" i="15"/>
  <c r="H131"/>
  <c r="R128" i="16"/>
  <c r="H130" i="17"/>
  <c r="H131"/>
  <c r="R128" i="19"/>
  <c r="N142" i="9"/>
  <c r="N143"/>
  <c r="N144"/>
  <c r="N145"/>
  <c r="N146"/>
  <c r="N147"/>
  <c r="N141"/>
  <c r="N139"/>
  <c r="N140"/>
  <c r="D85" i="10"/>
  <c r="K9" i="4"/>
  <c r="M9"/>
  <c r="F29" i="10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80"/>
  <c r="F76"/>
  <c r="F72"/>
  <c r="F68"/>
  <c r="F79"/>
  <c r="F75"/>
  <c r="F71"/>
  <c r="F67"/>
  <c r="F78"/>
  <c r="F74"/>
  <c r="F70"/>
  <c r="F81"/>
  <c r="F77"/>
  <c r="F73"/>
  <c r="F69"/>
  <c r="F83"/>
  <c r="F53"/>
  <c r="P79" i="21"/>
  <c r="S112"/>
  <c r="S128"/>
  <c r="P98"/>
  <c r="C131"/>
  <c r="P130"/>
  <c r="R130"/>
  <c r="P108"/>
  <c r="P88"/>
  <c r="H131"/>
  <c r="P70"/>
  <c r="P35"/>
  <c r="P14"/>
  <c r="O131"/>
  <c r="J131"/>
  <c r="I131"/>
  <c r="P24"/>
  <c r="P131"/>
  <c r="G64" i="9"/>
  <c r="H140"/>
  <c r="K140"/>
  <c r="L140"/>
  <c r="M140"/>
  <c r="O140"/>
  <c r="B60"/>
  <c r="I64"/>
  <c r="E64"/>
  <c r="H141"/>
  <c r="J64"/>
  <c r="H64"/>
  <c r="F64"/>
  <c r="L59"/>
  <c r="E42"/>
  <c r="F24" i="1"/>
  <c r="B40" i="8"/>
  <c r="B50"/>
  <c r="J16"/>
  <c r="G30" i="1"/>
  <c r="H29"/>
  <c r="N3"/>
  <c r="I14"/>
  <c r="L16" i="8"/>
  <c r="L60" i="9"/>
  <c r="E10" i="8"/>
  <c r="F10"/>
  <c r="F62" i="9"/>
  <c r="L62"/>
  <c r="K62"/>
  <c r="I62"/>
  <c r="E62"/>
  <c r="J62"/>
  <c r="H62"/>
  <c r="G62"/>
  <c r="G36" i="8"/>
  <c r="F60" i="9"/>
  <c r="H142"/>
  <c r="G142"/>
  <c r="B143"/>
  <c r="J63"/>
  <c r="H63"/>
  <c r="F63"/>
  <c r="E63"/>
  <c r="L63"/>
  <c r="K63"/>
  <c r="I63"/>
  <c r="G63"/>
  <c r="H61"/>
  <c r="K61"/>
  <c r="F61"/>
  <c r="L61"/>
  <c r="I61"/>
  <c r="J61"/>
  <c r="E61"/>
  <c r="G61"/>
  <c r="L65"/>
  <c r="L75"/>
  <c r="L13" i="8"/>
  <c r="L43"/>
  <c r="R148" i="9"/>
  <c r="S148"/>
  <c r="T148"/>
  <c r="L49"/>
  <c r="L52"/>
  <c r="L12" i="8"/>
  <c r="L42"/>
  <c r="L13" i="9"/>
  <c r="B65"/>
  <c r="N79"/>
  <c r="J59"/>
  <c r="H59"/>
  <c r="K59"/>
  <c r="I59"/>
  <c r="G59"/>
  <c r="E59"/>
  <c r="J150"/>
  <c r="F65"/>
  <c r="F75"/>
  <c r="F13" i="8"/>
  <c r="F43"/>
  <c r="G60" i="9"/>
  <c r="G65"/>
  <c r="G75"/>
  <c r="G13" i="8"/>
  <c r="G43"/>
  <c r="K60" i="9"/>
  <c r="K65"/>
  <c r="K75"/>
  <c r="K13" i="8"/>
  <c r="K43"/>
  <c r="J60" i="9"/>
  <c r="J65"/>
  <c r="J75"/>
  <c r="J13" i="8"/>
  <c r="J43"/>
  <c r="E60" i="9"/>
  <c r="E65"/>
  <c r="E75"/>
  <c r="E13" i="8"/>
  <c r="E43"/>
  <c r="I60" i="9"/>
  <c r="I65"/>
  <c r="I75"/>
  <c r="I13" i="8"/>
  <c r="I43"/>
  <c r="H60" i="9"/>
  <c r="H65"/>
  <c r="H75"/>
  <c r="H13" i="8"/>
  <c r="H43"/>
  <c r="L32" i="9"/>
  <c r="L42"/>
  <c r="L8" i="8"/>
  <c r="L23" i="9"/>
  <c r="L7" i="8"/>
  <c r="G143" i="9"/>
  <c r="B144"/>
  <c r="H143"/>
  <c r="R158"/>
  <c r="H144"/>
  <c r="G144"/>
  <c r="B145"/>
  <c r="G145"/>
  <c r="B146"/>
  <c r="H145"/>
  <c r="H146"/>
  <c r="G146"/>
  <c r="B147"/>
  <c r="H147"/>
  <c r="G147"/>
  <c r="B148"/>
  <c r="G148"/>
  <c r="H148"/>
  <c r="L36" i="8"/>
  <c r="L10"/>
  <c r="K23" i="9"/>
  <c r="K7" i="8"/>
  <c r="K36"/>
  <c r="K32" i="9"/>
  <c r="K42"/>
  <c r="K8" i="8"/>
  <c r="I32" i="9"/>
  <c r="I42"/>
  <c r="I8" i="8"/>
  <c r="I23" i="9"/>
  <c r="I7" i="8"/>
  <c r="I10"/>
  <c r="J23" i="9"/>
  <c r="J7" i="8"/>
  <c r="J32" i="9"/>
  <c r="J42"/>
  <c r="J8" i="8"/>
  <c r="J10" s="1"/>
  <c r="J20" s="1"/>
  <c r="H32" i="9"/>
  <c r="H42"/>
  <c r="H8" i="8"/>
  <c r="H23" i="9"/>
  <c r="H7" i="8"/>
  <c r="H10"/>
  <c r="K10"/>
  <c r="J36"/>
  <c r="M15" i="6"/>
  <c r="K15"/>
  <c r="I146" i="9"/>
  <c r="K146"/>
  <c r="L146"/>
  <c r="M146"/>
  <c r="H14" i="6"/>
  <c r="I14"/>
  <c r="M12"/>
  <c r="I143" i="9"/>
  <c r="K143"/>
  <c r="L143"/>
  <c r="M143"/>
  <c r="K12" i="6"/>
  <c r="H11"/>
  <c r="I11"/>
  <c r="H10"/>
  <c r="I10"/>
  <c r="H5"/>
  <c r="I5"/>
  <c r="L5"/>
  <c r="H17"/>
  <c r="H25"/>
  <c r="F25"/>
  <c r="H16"/>
  <c r="I16"/>
  <c r="I144" i="9"/>
  <c r="K144"/>
  <c r="L144"/>
  <c r="M144"/>
  <c r="K13" i="6"/>
  <c r="M13"/>
  <c r="Q16"/>
  <c r="M8"/>
  <c r="K8"/>
  <c r="H7"/>
  <c r="I7"/>
  <c r="L7"/>
  <c r="M139" i="9"/>
  <c r="O139"/>
  <c r="F16" i="8"/>
  <c r="E16"/>
  <c r="I16"/>
  <c r="H16"/>
  <c r="K16"/>
  <c r="G16"/>
  <c r="I36"/>
  <c r="H36"/>
  <c r="G10"/>
  <c r="F42" i="9"/>
  <c r="K11" i="6"/>
  <c r="I142" i="9"/>
  <c r="K142"/>
  <c r="L142"/>
  <c r="M142"/>
  <c r="M11" i="6"/>
  <c r="Q14"/>
  <c r="M10"/>
  <c r="I141" i="9"/>
  <c r="K10" i="6"/>
  <c r="K16"/>
  <c r="M16"/>
  <c r="I147" i="9"/>
  <c r="K147"/>
  <c r="L147"/>
  <c r="M147"/>
  <c r="R152"/>
  <c r="G50"/>
  <c r="O143"/>
  <c r="R143"/>
  <c r="S143"/>
  <c r="T143"/>
  <c r="G49"/>
  <c r="G52"/>
  <c r="G12" i="8"/>
  <c r="G42"/>
  <c r="K14" i="6"/>
  <c r="M14"/>
  <c r="I145" i="9"/>
  <c r="K145"/>
  <c r="L145"/>
  <c r="M145"/>
  <c r="R146"/>
  <c r="S146"/>
  <c r="T146"/>
  <c r="J49"/>
  <c r="R155"/>
  <c r="J50"/>
  <c r="O146"/>
  <c r="Q11" i="6"/>
  <c r="R144" i="9"/>
  <c r="S144"/>
  <c r="T144"/>
  <c r="H49"/>
  <c r="R153"/>
  <c r="H50"/>
  <c r="H52" s="1"/>
  <c r="H12" i="8" s="1"/>
  <c r="O144" i="9"/>
  <c r="I17" i="6"/>
  <c r="Q15"/>
  <c r="H112" i="9"/>
  <c r="H85"/>
  <c r="H93"/>
  <c r="H121"/>
  <c r="H111"/>
  <c r="H125"/>
  <c r="H117"/>
  <c r="H115"/>
  <c r="H95"/>
  <c r="H84"/>
  <c r="H120"/>
  <c r="H107"/>
  <c r="H92"/>
  <c r="H110"/>
  <c r="H109"/>
  <c r="H97"/>
  <c r="H91"/>
  <c r="H87"/>
  <c r="H116"/>
  <c r="H86"/>
  <c r="H106"/>
  <c r="H103"/>
  <c r="H88"/>
  <c r="H113"/>
  <c r="H96"/>
  <c r="H104"/>
  <c r="H118"/>
  <c r="H114"/>
  <c r="H123"/>
  <c r="H105"/>
  <c r="H108"/>
  <c r="H90"/>
  <c r="H119"/>
  <c r="H89"/>
  <c r="H122"/>
  <c r="H124"/>
  <c r="H83"/>
  <c r="H94"/>
  <c r="R145"/>
  <c r="S145"/>
  <c r="T145"/>
  <c r="I49"/>
  <c r="R154"/>
  <c r="I50"/>
  <c r="I52" s="1"/>
  <c r="I12" i="8" s="1"/>
  <c r="O145" i="9"/>
  <c r="G86"/>
  <c r="G116"/>
  <c r="G91"/>
  <c r="G93"/>
  <c r="G85"/>
  <c r="G114"/>
  <c r="G95"/>
  <c r="G92"/>
  <c r="G83"/>
  <c r="G118"/>
  <c r="G123"/>
  <c r="G119"/>
  <c r="G96"/>
  <c r="G125"/>
  <c r="G112"/>
  <c r="G110"/>
  <c r="G87"/>
  <c r="G103"/>
  <c r="G106"/>
  <c r="G89"/>
  <c r="G90"/>
  <c r="G117"/>
  <c r="G94"/>
  <c r="G104"/>
  <c r="G111"/>
  <c r="G121"/>
  <c r="G88"/>
  <c r="G108"/>
  <c r="G97"/>
  <c r="G109"/>
  <c r="G124"/>
  <c r="G115"/>
  <c r="G84"/>
  <c r="G122"/>
  <c r="G120"/>
  <c r="G113"/>
  <c r="G107"/>
  <c r="G105"/>
  <c r="R156"/>
  <c r="K50"/>
  <c r="R147"/>
  <c r="S147"/>
  <c r="T147"/>
  <c r="K49"/>
  <c r="K52"/>
  <c r="K12" i="8"/>
  <c r="O147" i="9"/>
  <c r="K141"/>
  <c r="L141"/>
  <c r="M141"/>
  <c r="I148"/>
  <c r="K148"/>
  <c r="L148"/>
  <c r="M148"/>
  <c r="O148"/>
  <c r="K17" i="6"/>
  <c r="M17"/>
  <c r="J103" i="9"/>
  <c r="J83"/>
  <c r="J95"/>
  <c r="J110"/>
  <c r="J108"/>
  <c r="J113"/>
  <c r="J121"/>
  <c r="J123"/>
  <c r="J86"/>
  <c r="J117"/>
  <c r="J116"/>
  <c r="J119"/>
  <c r="J114"/>
  <c r="J94"/>
  <c r="J92"/>
  <c r="J109"/>
  <c r="J96"/>
  <c r="J91"/>
  <c r="J104"/>
  <c r="J125"/>
  <c r="J87"/>
  <c r="J90"/>
  <c r="J105"/>
  <c r="J106"/>
  <c r="J112"/>
  <c r="J93"/>
  <c r="J115"/>
  <c r="J122"/>
  <c r="J88"/>
  <c r="J84"/>
  <c r="J107"/>
  <c r="J85"/>
  <c r="J120"/>
  <c r="J111"/>
  <c r="J89"/>
  <c r="J124"/>
  <c r="J118"/>
  <c r="J97"/>
  <c r="R151"/>
  <c r="F50"/>
  <c r="R142"/>
  <c r="S142"/>
  <c r="T142"/>
  <c r="F49"/>
  <c r="F52"/>
  <c r="F12" i="8"/>
  <c r="O142" i="9"/>
  <c r="J52"/>
  <c r="J12" i="8"/>
  <c r="Q13" i="6"/>
  <c r="F42" i="8"/>
  <c r="L121" i="9"/>
  <c r="L125"/>
  <c r="L113"/>
  <c r="L111"/>
  <c r="L123"/>
  <c r="L114"/>
  <c r="L122"/>
  <c r="L97"/>
  <c r="L116"/>
  <c r="L118"/>
  <c r="L104"/>
  <c r="L96"/>
  <c r="L84"/>
  <c r="L103"/>
  <c r="L109"/>
  <c r="L119"/>
  <c r="L90"/>
  <c r="L115"/>
  <c r="L89"/>
  <c r="L117"/>
  <c r="L83"/>
  <c r="L85"/>
  <c r="L124"/>
  <c r="L91"/>
  <c r="L110"/>
  <c r="L88"/>
  <c r="L105"/>
  <c r="L112"/>
  <c r="L87"/>
  <c r="L93"/>
  <c r="L94"/>
  <c r="L95"/>
  <c r="L107"/>
  <c r="L106"/>
  <c r="L120"/>
  <c r="L108"/>
  <c r="L86"/>
  <c r="L92"/>
  <c r="R141"/>
  <c r="S141"/>
  <c r="T141"/>
  <c r="E49"/>
  <c r="R150"/>
  <c r="E50"/>
  <c r="E52" s="1"/>
  <c r="E12" i="8" s="1"/>
  <c r="O141" i="9"/>
  <c r="K42" i="8"/>
  <c r="I83" i="9"/>
  <c r="I117"/>
  <c r="I103"/>
  <c r="I85"/>
  <c r="I120"/>
  <c r="I119"/>
  <c r="I88"/>
  <c r="I86"/>
  <c r="I89"/>
  <c r="I105"/>
  <c r="I94"/>
  <c r="I95"/>
  <c r="I107"/>
  <c r="I123"/>
  <c r="I113"/>
  <c r="I109"/>
  <c r="I124"/>
  <c r="I122"/>
  <c r="I121"/>
  <c r="I111"/>
  <c r="I84"/>
  <c r="I112"/>
  <c r="I93"/>
  <c r="I108"/>
  <c r="I110"/>
  <c r="I97"/>
  <c r="I125"/>
  <c r="I115"/>
  <c r="I114"/>
  <c r="I91"/>
  <c r="I96"/>
  <c r="I118"/>
  <c r="I90"/>
  <c r="I104"/>
  <c r="I87"/>
  <c r="I106"/>
  <c r="I116"/>
  <c r="I92"/>
  <c r="J99"/>
  <c r="J14" i="8"/>
  <c r="J44"/>
  <c r="G127" i="9"/>
  <c r="H99"/>
  <c r="H14" i="8"/>
  <c r="J42"/>
  <c r="F115" i="9"/>
  <c r="F123"/>
  <c r="F89"/>
  <c r="F116"/>
  <c r="F112"/>
  <c r="F114"/>
  <c r="F109"/>
  <c r="F113"/>
  <c r="F124"/>
  <c r="F87"/>
  <c r="F83"/>
  <c r="F104"/>
  <c r="F106"/>
  <c r="F103"/>
  <c r="F88"/>
  <c r="F105"/>
  <c r="F86"/>
  <c r="F96"/>
  <c r="F91"/>
  <c r="F85"/>
  <c r="F121"/>
  <c r="F92"/>
  <c r="F108"/>
  <c r="F84"/>
  <c r="F119"/>
  <c r="F93"/>
  <c r="F118"/>
  <c r="F125"/>
  <c r="F111"/>
  <c r="F110"/>
  <c r="F122"/>
  <c r="F95"/>
  <c r="F90"/>
  <c r="F117"/>
  <c r="F107"/>
  <c r="F120"/>
  <c r="F94"/>
  <c r="F97"/>
  <c r="K87"/>
  <c r="K107"/>
  <c r="K93"/>
  <c r="K124"/>
  <c r="K104"/>
  <c r="K95"/>
  <c r="K118"/>
  <c r="K105"/>
  <c r="K108"/>
  <c r="K92"/>
  <c r="K85"/>
  <c r="K90"/>
  <c r="K112"/>
  <c r="K83"/>
  <c r="K117"/>
  <c r="K125"/>
  <c r="K86"/>
  <c r="K96"/>
  <c r="K94"/>
  <c r="K114"/>
  <c r="K121"/>
  <c r="K88"/>
  <c r="K116"/>
  <c r="K119"/>
  <c r="K111"/>
  <c r="K115"/>
  <c r="K110"/>
  <c r="K103"/>
  <c r="K89"/>
  <c r="K122"/>
  <c r="K123"/>
  <c r="K113"/>
  <c r="K97"/>
  <c r="K109"/>
  <c r="K84"/>
  <c r="K91"/>
  <c r="K106"/>
  <c r="K120"/>
  <c r="J127"/>
  <c r="I150"/>
  <c r="G99"/>
  <c r="G14" i="8"/>
  <c r="H127" i="9"/>
  <c r="G44" i="8"/>
  <c r="J15"/>
  <c r="J129" i="9"/>
  <c r="G129"/>
  <c r="G15" i="8"/>
  <c r="G45"/>
  <c r="E97" i="9"/>
  <c r="E90"/>
  <c r="E113"/>
  <c r="E115"/>
  <c r="E104"/>
  <c r="E87"/>
  <c r="E84"/>
  <c r="E119"/>
  <c r="E93"/>
  <c r="E95"/>
  <c r="E108"/>
  <c r="E125"/>
  <c r="E91"/>
  <c r="E85"/>
  <c r="E89"/>
  <c r="E106"/>
  <c r="E86"/>
  <c r="E120"/>
  <c r="E114"/>
  <c r="E83"/>
  <c r="E121"/>
  <c r="E123"/>
  <c r="E117"/>
  <c r="E112"/>
  <c r="E96"/>
  <c r="E111"/>
  <c r="E105"/>
  <c r="E107"/>
  <c r="E116"/>
  <c r="E110"/>
  <c r="E118"/>
  <c r="E103"/>
  <c r="E124"/>
  <c r="E92"/>
  <c r="E94"/>
  <c r="E88"/>
  <c r="E109"/>
  <c r="E122"/>
  <c r="N150"/>
  <c r="F99"/>
  <c r="F14" i="8"/>
  <c r="L99" i="9"/>
  <c r="L14" i="8"/>
  <c r="H15"/>
  <c r="H45"/>
  <c r="H129" i="9"/>
  <c r="H44" i="8"/>
  <c r="K127" i="9"/>
  <c r="K99"/>
  <c r="K14" i="8"/>
  <c r="F127" i="9"/>
  <c r="I127"/>
  <c r="I99"/>
  <c r="I14" i="8"/>
  <c r="L127" i="9"/>
  <c r="L15" i="8"/>
  <c r="L45"/>
  <c r="L129" i="9"/>
  <c r="I44" i="8"/>
  <c r="F15"/>
  <c r="F45"/>
  <c r="F129" i="9"/>
  <c r="K15" i="8"/>
  <c r="K45"/>
  <c r="K129" i="9"/>
  <c r="L44" i="8"/>
  <c r="L18"/>
  <c r="L20"/>
  <c r="J45"/>
  <c r="J18"/>
  <c r="G50"/>
  <c r="I129" i="9"/>
  <c r="I15" i="8"/>
  <c r="I45"/>
  <c r="K44"/>
  <c r="K18"/>
  <c r="K20"/>
  <c r="F44"/>
  <c r="F50"/>
  <c r="F18"/>
  <c r="F20"/>
  <c r="E127" i="9"/>
  <c r="E99"/>
  <c r="E14" i="8"/>
  <c r="G18"/>
  <c r="G20"/>
  <c r="E44"/>
  <c r="K22"/>
  <c r="K46"/>
  <c r="G24"/>
  <c r="G28"/>
  <c r="E15"/>
  <c r="E45"/>
  <c r="E129" i="9"/>
  <c r="F28" i="8"/>
  <c r="F24"/>
  <c r="L22"/>
  <c r="L46"/>
  <c r="L24"/>
  <c r="L26"/>
  <c r="K24"/>
  <c r="K26"/>
  <c r="K47"/>
  <c r="K50"/>
  <c r="K28"/>
  <c r="L47"/>
  <c r="L50"/>
  <c r="L28"/>
  <c r="E42" l="1"/>
  <c r="E50" s="1"/>
  <c r="E18"/>
  <c r="E20" s="1"/>
  <c r="I42"/>
  <c r="I18"/>
  <c r="I20" s="1"/>
  <c r="H42"/>
  <c r="H18"/>
  <c r="H20" s="1"/>
  <c r="J22"/>
  <c r="J46" s="1"/>
  <c r="J24"/>
  <c r="J26" s="1"/>
  <c r="J47" s="1"/>
  <c r="J28"/>
  <c r="H22" l="1"/>
  <c r="H46" s="1"/>
  <c r="H24"/>
  <c r="H26" s="1"/>
  <c r="H47" s="1"/>
  <c r="H28"/>
  <c r="I22"/>
  <c r="I46" s="1"/>
  <c r="I24"/>
  <c r="I26" s="1"/>
  <c r="I47" s="1"/>
  <c r="I28"/>
  <c r="E28"/>
  <c r="E24"/>
  <c r="J50"/>
  <c r="H50"/>
  <c r="H55" s="1"/>
  <c r="I50"/>
  <c r="H54" l="1"/>
</calcChain>
</file>

<file path=xl/sharedStrings.xml><?xml version="1.0" encoding="utf-8"?>
<sst xmlns="http://schemas.openxmlformats.org/spreadsheetml/2006/main" count="1685" uniqueCount="465">
  <si>
    <t>Preparación del suelo</t>
  </si>
  <si>
    <t>5 Tractores de oruga</t>
  </si>
  <si>
    <t>Cerca</t>
  </si>
  <si>
    <t>Alambre de puas</t>
  </si>
  <si>
    <t>1 linea electrificada 21 rollos</t>
  </si>
  <si>
    <t>Grapas</t>
  </si>
  <si>
    <t>Estacas cada 30 mts (335)</t>
  </si>
  <si>
    <t>Detalle Inversion Inicial Nuevo Potrero</t>
  </si>
  <si>
    <t>Curado de Estacas (Diesel + Aceite)</t>
  </si>
  <si>
    <t>Total Inversión Inicial</t>
  </si>
  <si>
    <t>Mano de Obra</t>
  </si>
  <si>
    <t>Fertilizantes (Completo 10,30,10)</t>
  </si>
  <si>
    <t>Instalaciones</t>
  </si>
  <si>
    <t>Comederos y Bebederos</t>
  </si>
  <si>
    <t>Puertas potreros</t>
  </si>
  <si>
    <t>Fumigacion</t>
  </si>
  <si>
    <t>CORPORACIÓN NOBOA</t>
  </si>
  <si>
    <t>CIA. GANADERA EL TEJANO S.A.</t>
  </si>
  <si>
    <t>Proyección de Preñez y Nacimientos Sin Inversión</t>
  </si>
  <si>
    <t>AÑO</t>
  </si>
  <si>
    <t>VACAS VIENTRE</t>
  </si>
  <si>
    <t>PREÑES %</t>
  </si>
  <si>
    <t>VACAS PREÑADAS</t>
  </si>
  <si>
    <t>ABORTOS %</t>
  </si>
  <si>
    <t>CRIAS NACIDAS</t>
  </si>
  <si>
    <t>MUERTES %</t>
  </si>
  <si>
    <t>CRIAS MUERTAS</t>
  </si>
  <si>
    <t>CRIAS DESTETE</t>
  </si>
  <si>
    <t>MACHOS %</t>
  </si>
  <si>
    <t>CRIAS MACHOS</t>
  </si>
  <si>
    <t>HEMBRAS %</t>
  </si>
  <si>
    <t>CRIAS HEMBRAS</t>
  </si>
  <si>
    <t>VENTA MACHOS</t>
  </si>
  <si>
    <t>VENTA HEMBRAS</t>
  </si>
  <si>
    <t>2009 PPTO</t>
  </si>
  <si>
    <t>ventas</t>
  </si>
  <si>
    <t>dif 3 años ant</t>
  </si>
  <si>
    <t>CIA. GANA. E</t>
  </si>
  <si>
    <t>L TEJANO          ESTADO DE PERDIDAS</t>
  </si>
  <si>
    <t>Y GANANCIAS</t>
  </si>
  <si>
    <t>23/01/2009 14:01:11</t>
  </si>
  <si>
    <t>Guayaquil -</t>
  </si>
  <si>
    <t>Ecuador             Del Periodo No. 1</t>
  </si>
  <si>
    <t>3 de 2008</t>
  </si>
  <si>
    <t>Pag.. 1</t>
  </si>
  <si>
    <t>( Expresado en d</t>
  </si>
  <si>
    <t>olares )</t>
  </si>
  <si>
    <t>Nivel : 6</t>
  </si>
  <si>
    <t>Movimiento</t>
  </si>
  <si>
    <t>Acumulado</t>
  </si>
  <si>
    <t>------------</t>
  </si>
  <si>
    <t>-------------------------------------</t>
  </si>
  <si>
    <t>--------------------</t>
  </si>
  <si>
    <t>----------------------</t>
  </si>
  <si>
    <t>RESULTADOS</t>
  </si>
  <si>
    <t>----------</t>
  </si>
  <si>
    <t>VENTA MERCADO LOCAL</t>
  </si>
  <si>
    <t>VENTAS DIRECTAS</t>
  </si>
  <si>
    <t>VENTAS DE PRODUTOS TERMINADOS</t>
  </si>
  <si>
    <t>VENTAS DE MADERA</t>
  </si>
  <si>
    <t>Ca¤a</t>
  </si>
  <si>
    <t>Cujes</t>
  </si>
  <si>
    <t>Patas De Saman</t>
  </si>
  <si>
    <t>-------------------</t>
  </si>
  <si>
    <t>OV</t>
  </si>
  <si>
    <t>OTRAS VENTAS</t>
  </si>
  <si>
    <t>Tarea Bijao</t>
  </si>
  <si>
    <t>VENTAS GANADO BOVINO</t>
  </si>
  <si>
    <t>Terneros</t>
  </si>
  <si>
    <t>G</t>
  </si>
  <si>
    <t>Vaconillas</t>
  </si>
  <si>
    <t>Vaconas</t>
  </si>
  <si>
    <t>Vacas</t>
  </si>
  <si>
    <t>Toros</t>
  </si>
  <si>
    <t>Chumbotes</t>
  </si>
  <si>
    <t>Chumbotas</t>
  </si>
  <si>
    <t>Donaciones</t>
  </si>
  <si>
    <t>VENTAS GANADO EQUINO</t>
  </si>
  <si>
    <t>Caballos</t>
  </si>
  <si>
    <t>Potros o Potrancas</t>
  </si>
  <si>
    <t>VENTAS CIAS. RELACIONADAS</t>
  </si>
  <si>
    <t>VENTAS DE PRODUCTOS TERMINADOS</t>
  </si>
  <si>
    <t>Terneras</t>
  </si>
  <si>
    <t>Toretes</t>
  </si>
  <si>
    <t>Toros Reproductores</t>
  </si>
  <si>
    <t>VENTAS VARIAS</t>
  </si>
  <si>
    <t>11,621.28_x000C_</t>
  </si>
  <si>
    <t>23/01/2009 14:01:22</t>
  </si>
  <si>
    <t>Pag.. 2</t>
  </si>
  <si>
    <t>Sal Mineralizada</t>
  </si>
  <si>
    <t>Pasto</t>
  </si>
  <si>
    <t>Otras Ventas</t>
  </si>
  <si>
    <t>Banano Ensilado</t>
  </si>
  <si>
    <t>COSTOS DE VENTAS MERCADO LOCAL</t>
  </si>
  <si>
    <t>COSTOS DE VENTAS DIRECTAS</t>
  </si>
  <si>
    <t>COSTOS DE VTAS.PRODUC.TERMINAD</t>
  </si>
  <si>
    <t>COSTOS DE VENTAS GANADO BOVINO</t>
  </si>
  <si>
    <t>CG</t>
  </si>
  <si>
    <t>COSTO DE VENTAS VARIAS</t>
  </si>
  <si>
    <t>Costo De Ventas Varias</t>
  </si>
  <si>
    <t>COV</t>
  </si>
  <si>
    <t>COSTOS DE VTAS. CIAS. RELACION</t>
  </si>
  <si>
    <t>COSTOS DE VTAS.PRODUC.TERMINA.</t>
  </si>
  <si>
    <t>GASTOS DE ADMINISTRACION</t>
  </si>
  <si>
    <t>GTOS. DE ADMINIS. GUAYAQUIL</t>
  </si>
  <si>
    <t>ADMINISTRACION GUAYAQUIL</t>
  </si>
  <si>
    <t>GASTOS DE PERSONAL</t>
  </si>
  <si>
    <t>Alimentacion</t>
  </si>
  <si>
    <t>Servicios Prestados</t>
  </si>
  <si>
    <t>Capacitacion</t>
  </si>
  <si>
    <t>23/01/2009 14:01:40</t>
  </si>
  <si>
    <t>Pag.. 3</t>
  </si>
  <si>
    <t>Movilidad</t>
  </si>
  <si>
    <t>ADG</t>
  </si>
  <si>
    <t>MOG</t>
  </si>
  <si>
    <t>COSTOS INDIRECTOS</t>
  </si>
  <si>
    <t>Rep. Y Mant. Muebles Y Enseres</t>
  </si>
  <si>
    <t>Fotocopias Y Certificaciones</t>
  </si>
  <si>
    <t>Movilizacion</t>
  </si>
  <si>
    <t>Servicios De Computacion</t>
  </si>
  <si>
    <t>Gastos Legales</t>
  </si>
  <si>
    <t>Atencion Medica</t>
  </si>
  <si>
    <t>Seguro De Vida</t>
  </si>
  <si>
    <t>Primas De Seguros</t>
  </si>
  <si>
    <t>Matriculacion De Vehiculos</t>
  </si>
  <si>
    <t>Suscripcion Y Afiliaciones</t>
  </si>
  <si>
    <t>Suministros De Oficinas</t>
  </si>
  <si>
    <t>Reparac.mant. Equipos Computac</t>
  </si>
  <si>
    <t>Auditoria Externa</t>
  </si>
  <si>
    <t>Otros Gastos Generales</t>
  </si>
  <si>
    <t>CIG</t>
  </si>
  <si>
    <t>IMPUESTOS Y CONTRIBUCIONES</t>
  </si>
  <si>
    <t>Impuestos</t>
  </si>
  <si>
    <t>IMP</t>
  </si>
  <si>
    <t>Contribuc.Super.Cias.</t>
  </si>
  <si>
    <t>Imp. Salida De Divisas</t>
  </si>
  <si>
    <t>Multas E Intereses</t>
  </si>
  <si>
    <t>OIE</t>
  </si>
  <si>
    <t>Comisiones</t>
  </si>
  <si>
    <t>DEPRECIACION Y AMORTIZACION</t>
  </si>
  <si>
    <t>Dep. Muebles Y E.Costo</t>
  </si>
  <si>
    <t>Dep.aceler.equipo De Computac.</t>
  </si>
  <si>
    <t>DEPG</t>
  </si>
  <si>
    <t>INGRESOS/EGRESOS OPERAC.</t>
  </si>
  <si>
    <t>OTROS INGRESOS</t>
  </si>
  <si>
    <t>Cambios Categor/nac/muertes</t>
  </si>
  <si>
    <t>CC</t>
  </si>
  <si>
    <t>Otros Ingresos</t>
  </si>
  <si>
    <t>OTROS EGRESOS</t>
  </si>
  <si>
    <t>GASTOS FINANCIEROS</t>
  </si>
  <si>
    <t>Otros Gastos Financieros</t>
  </si>
  <si>
    <t>GF</t>
  </si>
  <si>
    <t>_x000C_</t>
  </si>
  <si>
    <t>23/01/2009 14:01:46</t>
  </si>
  <si>
    <t>Pag.. 4</t>
  </si>
  <si>
    <t>Otros Egresos</t>
  </si>
  <si>
    <t>TOTAL RESULTADOS</t>
  </si>
  <si>
    <t>COSTOS DE PRODUCCION</t>
  </si>
  <si>
    <t>COSTO DE OPERACION GANADERA</t>
  </si>
  <si>
    <t>GANADO BOVINO</t>
  </si>
  <si>
    <t>POTREROS</t>
  </si>
  <si>
    <t>MANO DE OBRA</t>
  </si>
  <si>
    <t>Sueldos Y Salarios</t>
  </si>
  <si>
    <t>MO</t>
  </si>
  <si>
    <t>Sobretiempo</t>
  </si>
  <si>
    <t>Beneficios Legales</t>
  </si>
  <si>
    <t>Beneficios Patronales</t>
  </si>
  <si>
    <t>Alimentaci¢n</t>
  </si>
  <si>
    <t>Uniformes</t>
  </si>
  <si>
    <t>Transportes</t>
  </si>
  <si>
    <t>Jubilaci¢n Patronal</t>
  </si>
  <si>
    <t>Gastos M‚dicos</t>
  </si>
  <si>
    <t>Indemnizacion</t>
  </si>
  <si>
    <t>Roce Caminos, Mangas, Corrales</t>
  </si>
  <si>
    <t>Roce De Bosques En Poteros</t>
  </si>
  <si>
    <t>Vaquer¡a en Ganado Bovino</t>
  </si>
  <si>
    <t>Trabajos Miscelaneos</t>
  </si>
  <si>
    <t>CI</t>
  </si>
  <si>
    <t>Corte De Bijao Y Cade</t>
  </si>
  <si>
    <t>MATERIALES E INSUMOS</t>
  </si>
  <si>
    <t>Materiales Veterinarios</t>
  </si>
  <si>
    <t>VITAMINAS INYECTABLES</t>
  </si>
  <si>
    <t>IMPLANTES ANABOLICOS</t>
  </si>
  <si>
    <t>Melaza</t>
  </si>
  <si>
    <t>Acccesorios de Vaqueria</t>
  </si>
  <si>
    <t>Material Alambre</t>
  </si>
  <si>
    <t>Materiales</t>
  </si>
  <si>
    <t>Herramientas De Trabajos</t>
  </si>
  <si>
    <t>Combustibles</t>
  </si>
  <si>
    <t>Grasas y Lubricantes</t>
  </si>
  <si>
    <t>Antibi¢ticos</t>
  </si>
  <si>
    <t>Desparasitante Externo</t>
  </si>
  <si>
    <t>23/01/2009 14:01:50</t>
  </si>
  <si>
    <t>Pag.. 5</t>
  </si>
  <si>
    <t>Desinfectante</t>
  </si>
  <si>
    <t>Vacuna</t>
  </si>
  <si>
    <t>Sal Y Minerales</t>
  </si>
  <si>
    <t>Urea</t>
  </si>
  <si>
    <t>Balanceados</t>
  </si>
  <si>
    <t>Tordon</t>
  </si>
  <si>
    <t>Desparasitante Interno</t>
  </si>
  <si>
    <t>Pinturas Y Brochas</t>
  </si>
  <si>
    <t>Glifomat/500</t>
  </si>
  <si>
    <t>Trasfore(coadyuvante)</t>
  </si>
  <si>
    <t>Mascarilla Descartable</t>
  </si>
  <si>
    <t>MAT</t>
  </si>
  <si>
    <t>Reparaci¢n Y Mant. Edificios</t>
  </si>
  <si>
    <t>Reparaci¢n Y Mant. Maquinarias</t>
  </si>
  <si>
    <t>Reparaci¢n Y Mant. Muebles Y E</t>
  </si>
  <si>
    <t>Reparaci¢n Y Mant. Veh¡culos</t>
  </si>
  <si>
    <t>Repar. y Manten. Inst. Adecuac</t>
  </si>
  <si>
    <t>Repar. y Manten. Bebederos</t>
  </si>
  <si>
    <t>Repar. y Manten. Comedores</t>
  </si>
  <si>
    <t>Telefon¡a y Telecomunicaciones</t>
  </si>
  <si>
    <t>Servicios De Guardian¡a</t>
  </si>
  <si>
    <t>Suministros de Oficina</t>
  </si>
  <si>
    <t>Transporte Veh¡culos Propios</t>
  </si>
  <si>
    <t>Transporte Veh¡culos Terceros</t>
  </si>
  <si>
    <t>Rep.y Mant. De Corrales</t>
  </si>
  <si>
    <t>Vaqueria Ganado Equino</t>
  </si>
  <si>
    <t>Rep. y Mant. de cercas</t>
  </si>
  <si>
    <t>Rep. y Manten. de Potrero</t>
  </si>
  <si>
    <t>Trabajos Micelaneos</t>
  </si>
  <si>
    <t>Corte y estibada de ca¤a</t>
  </si>
  <si>
    <t>Reconstrucion De Cercas</t>
  </si>
  <si>
    <t>Reparac. Y Mant.carreta</t>
  </si>
  <si>
    <t>Potreraje</t>
  </si>
  <si>
    <t>Roce De Potreros</t>
  </si>
  <si>
    <t>Fumigaci•n De Potrero</t>
  </si>
  <si>
    <t>Gastos Generales</t>
  </si>
  <si>
    <t>Ensilaje De Banano</t>
  </si>
  <si>
    <t>Servicios Varios</t>
  </si>
  <si>
    <t>GASTOS ADMINISTRACION HACIENDA</t>
  </si>
  <si>
    <t>ADMINISTRACION HACIENDA</t>
  </si>
  <si>
    <t>23/01/2009 14:01:58</t>
  </si>
  <si>
    <t>Pag.. 6</t>
  </si>
  <si>
    <t>ADH</t>
  </si>
  <si>
    <t>MOH</t>
  </si>
  <si>
    <t>Energ¡a El‚ctrica</t>
  </si>
  <si>
    <t>Alquiler de Oficina y Vivienda</t>
  </si>
  <si>
    <t>CIH</t>
  </si>
  <si>
    <t>IMPUESTOS</t>
  </si>
  <si>
    <t>DEPRECIACION Y AMORTIZACIO</t>
  </si>
  <si>
    <t>Depreciaci¢n Edificio - Costo</t>
  </si>
  <si>
    <t>Depreciaci¢n Maquinaria - Cost</t>
  </si>
  <si>
    <t>Depreciaci¢n Muebles Y E.-Cost</t>
  </si>
  <si>
    <t>Depreciaci¢n Veh¡culos - Costo</t>
  </si>
  <si>
    <t>Deprec.Inst.y Adecuaci¢n-Costo</t>
  </si>
  <si>
    <t>Depreciacion Cultivos-Costo</t>
  </si>
  <si>
    <t>Depreciacion Bebederos Costo</t>
  </si>
  <si>
    <t>Depreciacion Mant.De Cerca Cos</t>
  </si>
  <si>
    <t>Depreciacion Corrales</t>
  </si>
  <si>
    <t>Pozo De Agua</t>
  </si>
  <si>
    <t>Galpon Para Maquinaria</t>
  </si>
  <si>
    <t>Bodega Aderezo/vaquero Costo</t>
  </si>
  <si>
    <t>Dep. Aceler. Equipos Computac</t>
  </si>
  <si>
    <t>DEP</t>
  </si>
  <si>
    <t>COSTO DE ASERRADERO</t>
  </si>
  <si>
    <t>ASERRADERO</t>
  </si>
  <si>
    <t>23/01/2009 14:02:13</t>
  </si>
  <si>
    <t>Pag.. 7</t>
  </si>
  <si>
    <t>Deprec.inst.y Adecuacion-costo</t>
  </si>
  <si>
    <t>Dep.tina Inmerc.madera-costo</t>
  </si>
  <si>
    <t>Depreciacion Piso Edif. Madera</t>
  </si>
  <si>
    <t>Deprec Ba¤o Edif. Madera Costo</t>
  </si>
  <si>
    <t>Maquinaria Y Equipo costo</t>
  </si>
  <si>
    <t>Depreciaci¢n Muebles Y Enseres</t>
  </si>
  <si>
    <t>Deprec. Edificios</t>
  </si>
  <si>
    <t>Transferencia</t>
  </si>
  <si>
    <t>TOTAL COSTOS DE PRODUCCION</t>
  </si>
  <si>
    <t>UTILIDAD DEL EJERCICIO</t>
  </si>
  <si>
    <t>===================</t>
  </si>
  <si>
    <t>CORPORACION NOBOA</t>
  </si>
  <si>
    <t>VENTAS</t>
  </si>
  <si>
    <t>NACIMIENTOS</t>
  </si>
  <si>
    <t>TOTAL</t>
  </si>
  <si>
    <t>Valor Actual Neto . . . :</t>
  </si>
  <si>
    <t xml:space="preserve">  V.A.N. .....</t>
  </si>
  <si>
    <t>Tasa interna de retorno:</t>
  </si>
  <si>
    <t xml:space="preserve">  T.I.R.  .....</t>
  </si>
  <si>
    <t>Período de Recuperación  . . . :</t>
  </si>
  <si>
    <t xml:space="preserve">  P.R.    .....</t>
  </si>
  <si>
    <t>Anexo Mantenimiento</t>
  </si>
  <si>
    <t>DETALLE</t>
  </si>
  <si>
    <t>Has.</t>
  </si>
  <si>
    <t>Costo Total</t>
  </si>
  <si>
    <t>Herbicidas:</t>
  </si>
  <si>
    <t>Litros x Has.</t>
  </si>
  <si>
    <t>Total Litros</t>
  </si>
  <si>
    <t>Costo x Lts.</t>
  </si>
  <si>
    <t>Total Mantenimiento Potrero</t>
  </si>
  <si>
    <t>MANTENIMIENTO GANADO</t>
  </si>
  <si>
    <t>Vitaminas Inyectables</t>
  </si>
  <si>
    <t>Total Mantenimiento Ganado</t>
  </si>
  <si>
    <t>Proyección Saldo Final Inventarios RESUMEN</t>
  </si>
  <si>
    <t>MOVIMIENTO GANADO ACTUAL</t>
  </si>
  <si>
    <t>MOVIMIENTO GANADO INVERSIÓN</t>
  </si>
  <si>
    <t>SALDO INICIAL</t>
  </si>
  <si>
    <t>SUBTOTAL SALDO FINAL</t>
  </si>
  <si>
    <t>TOTAL     SALDO FINAL</t>
  </si>
  <si>
    <t>INCREMENTO HATO</t>
  </si>
  <si>
    <t>COSTO TOTAL</t>
  </si>
  <si>
    <t>COSTO MANT. UNITARIO</t>
  </si>
  <si>
    <t>Implantes y Anabólicos</t>
  </si>
  <si>
    <t>Antibióticos</t>
  </si>
  <si>
    <t>40 hrs/dia * $20hr * 85 días</t>
  </si>
  <si>
    <t>Costos Indirectos</t>
  </si>
  <si>
    <t>aporte patronal año</t>
  </si>
  <si>
    <t>vacaciones</t>
  </si>
  <si>
    <t>decimo cuarto</t>
  </si>
  <si>
    <t>decimo tercero</t>
  </si>
  <si>
    <t>sueldo anual</t>
  </si>
  <si>
    <t>MANO DE OBRA 1 EMPLEADO</t>
  </si>
  <si>
    <t>Ap. Patronal Año</t>
  </si>
  <si>
    <t>Vacaciones</t>
  </si>
  <si>
    <t>Décimo Tercero</t>
  </si>
  <si>
    <t>Décimo Cuarto</t>
  </si>
  <si>
    <t>Sueldo</t>
  </si>
  <si>
    <t>1 Persona</t>
  </si>
  <si>
    <t>Ventas</t>
  </si>
  <si>
    <t>Costo de Ventas</t>
  </si>
  <si>
    <t>Utilidad Bruta</t>
  </si>
  <si>
    <t>MANO DE OBRA MANT. GAN./POTRERO</t>
  </si>
  <si>
    <t>Categoría Ganado</t>
  </si>
  <si>
    <t>Valor en Inv.</t>
  </si>
  <si>
    <t>Toros Rep.</t>
  </si>
  <si>
    <t>CIA. GANADERA EL TEJANO S. A.</t>
  </si>
  <si>
    <t>OPERACION DE GANADO DE CRIA COMERCIAL</t>
  </si>
  <si>
    <t>SEMANA 2</t>
  </si>
  <si>
    <t>REPORTE DEL</t>
  </si>
  <si>
    <t>1 DE ENERO</t>
  </si>
  <si>
    <r>
      <t xml:space="preserve">AL </t>
    </r>
    <r>
      <rPr>
        <sz val="11"/>
        <rFont val="Times New Roman"/>
        <family val="1"/>
      </rPr>
      <t xml:space="preserve"> 31 DE DIC  DEL 2,009</t>
    </r>
  </si>
  <si>
    <t>GANADO COMERCIAL</t>
  </si>
  <si>
    <t xml:space="preserve">SALDO </t>
  </si>
  <si>
    <t>CAMBIO DE SEXO</t>
  </si>
  <si>
    <t>NACI-</t>
  </si>
  <si>
    <t>PASE DE CATEGORIA</t>
  </si>
  <si>
    <t>DONA-</t>
  </si>
  <si>
    <t>TRANSFERENCIA</t>
  </si>
  <si>
    <t>SALDO</t>
  </si>
  <si>
    <t>ANTERIOR</t>
  </si>
  <si>
    <t>+</t>
  </si>
  <si>
    <t>-</t>
  </si>
  <si>
    <t>COMPRAS</t>
  </si>
  <si>
    <t>MIENTOS</t>
  </si>
  <si>
    <t>ALTAS</t>
  </si>
  <si>
    <t>BAJAS</t>
  </si>
  <si>
    <t>CIONES</t>
  </si>
  <si>
    <t>ROBOS</t>
  </si>
  <si>
    <t>MUERTES</t>
  </si>
  <si>
    <t>ACTUAL</t>
  </si>
  <si>
    <t>0 a 8 meses</t>
  </si>
  <si>
    <t>TERNEROS</t>
  </si>
  <si>
    <t>AÑO NAC.</t>
  </si>
  <si>
    <t>08</t>
  </si>
  <si>
    <t>09</t>
  </si>
  <si>
    <t>S. TOTAL</t>
  </si>
  <si>
    <t>8 a 14 meses</t>
  </si>
  <si>
    <t>CHUMBOTES</t>
  </si>
  <si>
    <t>07</t>
  </si>
  <si>
    <t>14 a 24 meses</t>
  </si>
  <si>
    <t>TORETES</t>
  </si>
  <si>
    <t>06</t>
  </si>
  <si>
    <t>Toros mas</t>
  </si>
  <si>
    <t>de 24 meses</t>
  </si>
  <si>
    <t>TOROS</t>
  </si>
  <si>
    <t>00</t>
  </si>
  <si>
    <t>01</t>
  </si>
  <si>
    <t>02</t>
  </si>
  <si>
    <t>03</t>
  </si>
  <si>
    <t>04</t>
  </si>
  <si>
    <t>05</t>
  </si>
  <si>
    <t>Toros reproductores</t>
  </si>
  <si>
    <t>mas de 24 meses</t>
  </si>
  <si>
    <t>TERNERAS</t>
  </si>
  <si>
    <t>CHUMBOTAS</t>
  </si>
  <si>
    <t xml:space="preserve">07      </t>
  </si>
  <si>
    <t xml:space="preserve">08      </t>
  </si>
  <si>
    <t xml:space="preserve">09       </t>
  </si>
  <si>
    <t>14 a 18 meses</t>
  </si>
  <si>
    <t>VACONILLAS</t>
  </si>
  <si>
    <t xml:space="preserve">                   07</t>
  </si>
  <si>
    <t xml:space="preserve">         08</t>
  </si>
  <si>
    <t xml:space="preserve">         09</t>
  </si>
  <si>
    <t>de18 a 28 meses</t>
  </si>
  <si>
    <t>VACONAS</t>
  </si>
  <si>
    <t xml:space="preserve">      06       </t>
  </si>
  <si>
    <t xml:space="preserve">      07       </t>
  </si>
  <si>
    <t xml:space="preserve">      08       </t>
  </si>
  <si>
    <t>Vacas mas</t>
  </si>
  <si>
    <t>de 28 meses</t>
  </si>
  <si>
    <t xml:space="preserve">                       00</t>
  </si>
  <si>
    <t xml:space="preserve">                       01</t>
  </si>
  <si>
    <t xml:space="preserve">                       02</t>
  </si>
  <si>
    <t xml:space="preserve">                       03</t>
  </si>
  <si>
    <t xml:space="preserve">                       04</t>
  </si>
  <si>
    <t xml:space="preserve">                       05</t>
  </si>
  <si>
    <t xml:space="preserve">                       06</t>
  </si>
  <si>
    <t xml:space="preserve">                       07</t>
  </si>
  <si>
    <t>TOTALES</t>
  </si>
  <si>
    <t>Correcto</t>
  </si>
  <si>
    <t>Jefe de Ganadería</t>
  </si>
  <si>
    <t>Superintendente de la</t>
  </si>
  <si>
    <t>FECHA: 11 de Enero del 2,009</t>
  </si>
  <si>
    <t>División Silvipecuaria</t>
  </si>
  <si>
    <t xml:space="preserve"> </t>
  </si>
  <si>
    <t>1 DE ENERO 2010</t>
  </si>
  <si>
    <t>PRENES70%</t>
  </si>
  <si>
    <t>NO PRENADAS</t>
  </si>
  <si>
    <r>
      <t xml:space="preserve">AL </t>
    </r>
    <r>
      <rPr>
        <sz val="11"/>
        <rFont val="Times New Roman"/>
        <family val="1"/>
      </rPr>
      <t xml:space="preserve"> 11 DE ENERO DEL 2,009</t>
    </r>
  </si>
  <si>
    <t>toro</t>
  </si>
  <si>
    <t>torete</t>
  </si>
  <si>
    <t>vaca</t>
  </si>
  <si>
    <t>PRENES75%</t>
  </si>
  <si>
    <t>PRENES80%</t>
  </si>
  <si>
    <t>vacona</t>
  </si>
  <si>
    <t>Toros rep.</t>
  </si>
  <si>
    <t xml:space="preserve"> + de 24 meses</t>
  </si>
  <si>
    <t>TOROS REP.</t>
  </si>
  <si>
    <t>VACAS</t>
  </si>
  <si>
    <t>VENTAS PROY. NUEVO</t>
  </si>
  <si>
    <t>COSTO DE VENTAS GANADO NUEVO</t>
  </si>
  <si>
    <t>Total Gastos</t>
  </si>
  <si>
    <t>Depreciacion</t>
  </si>
  <si>
    <t>VENTAS GANADO NUEVO</t>
  </si>
  <si>
    <t>PVP</t>
  </si>
  <si>
    <r>
      <t xml:space="preserve">AL </t>
    </r>
    <r>
      <rPr>
        <sz val="11"/>
        <rFont val="Times New Roman"/>
        <family val="1"/>
      </rPr>
      <t xml:space="preserve"> 31 DE DICIEMBRE DEL 2,010</t>
    </r>
  </si>
  <si>
    <t>1 DE ENERO 2011</t>
  </si>
  <si>
    <r>
      <t xml:space="preserve">AL </t>
    </r>
    <r>
      <rPr>
        <sz val="11"/>
        <rFont val="Times New Roman"/>
        <family val="1"/>
      </rPr>
      <t xml:space="preserve"> 31 DE DICIEMBRE  2011</t>
    </r>
  </si>
  <si>
    <t xml:space="preserve">1 DE ENERO 2014 </t>
  </si>
  <si>
    <r>
      <t xml:space="preserve">AL </t>
    </r>
    <r>
      <rPr>
        <sz val="11"/>
        <rFont val="Times New Roman"/>
        <family val="1"/>
      </rPr>
      <t xml:space="preserve"> 31 DE DICIEMBRE DEL 2014</t>
    </r>
  </si>
  <si>
    <t>Participacion empleados</t>
  </si>
  <si>
    <t>Impuesto a la renta</t>
  </si>
  <si>
    <t>Utilidad o Perdida</t>
  </si>
  <si>
    <t>Suplemento Alimenticio</t>
  </si>
  <si>
    <t>dolares</t>
  </si>
  <si>
    <t>toneladas</t>
  </si>
  <si>
    <t>libras</t>
  </si>
  <si>
    <t>banano</t>
  </si>
  <si>
    <t>Banano</t>
  </si>
  <si>
    <t>Tamo de Avena</t>
  </si>
  <si>
    <t>3 lbs/dia</t>
  </si>
  <si>
    <t>10 lbs/dia</t>
  </si>
  <si>
    <t>Suplementos</t>
  </si>
  <si>
    <t>Inv. Inicial</t>
  </si>
  <si>
    <t>Generación de Flujo</t>
  </si>
  <si>
    <t>RESUMEN VENTAS DE GANADO</t>
  </si>
  <si>
    <t>(-) PROG. VTAS. SIN INV.</t>
  </si>
  <si>
    <t>Utilidad Antes de Int. e Imp.</t>
  </si>
  <si>
    <t>Utilidad aportable</t>
  </si>
  <si>
    <t>Semilla</t>
  </si>
  <si>
    <t>Fondo de Reserva</t>
  </si>
  <si>
    <t>Costo de Oportunidad</t>
  </si>
  <si>
    <t>INGRESOS</t>
  </si>
  <si>
    <t>EGRESOS</t>
  </si>
  <si>
    <t>COSTO DE VENTAS TOTAL GANADO</t>
  </si>
  <si>
    <t>COSTO DE VENTAS  UNICAMENTE GANADO NUEVO</t>
  </si>
  <si>
    <t>Transformador</t>
  </si>
  <si>
    <t>Tasa de descuento</t>
  </si>
  <si>
    <t>Amortización prestamo Propio</t>
  </si>
  <si>
    <t>Prestamo Propio</t>
  </si>
  <si>
    <t>FLUJO DE CAJA PROYECTADO</t>
  </si>
  <si>
    <t>ESTADO DE RESULTADOS PROYECTADO</t>
  </si>
  <si>
    <t>Proyección de Preñez y Nacimientos Con Inversion de Rehab. 637 Hcts.</t>
  </si>
  <si>
    <t>Divisiones Potreros (50 rollos)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</si>
</sst>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7" formatCode="_-* #,##0\ _P_t_s_-;\-* #,##0\ _P_t_s_-;_-* &quot;-&quot;\ _P_t_s_-;_-@_-"/>
    <numFmt numFmtId="180" formatCode="_-* #,##0.00\ _P_t_s_-;\-* #,##0.00\ _P_t_s_-;_-* &quot;-&quot;??\ _P_t_s_-;_-@_-"/>
    <numFmt numFmtId="194" formatCode="_-[$$-409]* #,##0.00_ ;_-[$$-409]* \-#,##0.00\ ;_-[$$-409]* &quot;-&quot;??_ ;_-@_ "/>
    <numFmt numFmtId="195" formatCode="&quot;$&quot;#,##0"/>
    <numFmt numFmtId="201" formatCode="_([$$-409]* #,##0.00_);_([$$-409]* \(#,##0.00\);_([$$-409]* &quot;-&quot;??_);_(@_)"/>
    <numFmt numFmtId="203" formatCode="_(* #,##0_);_(* \(#,##0\);_(* &quot;-&quot;??_);_(@_)"/>
    <numFmt numFmtId="204" formatCode="_-* #,##0\ _P_t_s_-;\-* #,##0\ _P_t_s_-;_-* &quot;-&quot;??\ _P_t_s_-;_-@_-"/>
    <numFmt numFmtId="205" formatCode="_-* #._P_t_s_-;\-* #._P_t_s_-;_-* &quot;-&quot;??\ _P_t_s_-;_-@_ⴆ"/>
    <numFmt numFmtId="206" formatCode="_-* #.#.\ _P_t_s_-;\-* #.#.\ _P_t_s_-;_-* &quot;-&quot;??\ _P_t_s_-;_-@_ⴆ"/>
    <numFmt numFmtId="209" formatCode="_-* #,##0.00\ _P_t_s_-;\-* #,##0.00\ _P_t_s_-;_-* &quot;-&quot;\ _P_t_s_-;_-@_-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3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b/>
      <sz val="22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71" fontId="24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2">
    <xf numFmtId="0" fontId="0" fillId="0" borderId="0" xfId="0"/>
    <xf numFmtId="173" fontId="24" fillId="0" borderId="0" xfId="1" applyNumberFormat="1" applyFont="1"/>
    <xf numFmtId="172" fontId="24" fillId="0" borderId="0" xfId="1" applyNumberFormat="1" applyFont="1"/>
    <xf numFmtId="171" fontId="24" fillId="0" borderId="0" xfId="1" applyFont="1"/>
    <xf numFmtId="171" fontId="0" fillId="0" borderId="0" xfId="0" applyNumberFormat="1"/>
    <xf numFmtId="0" fontId="2" fillId="0" borderId="0" xfId="20" applyFont="1"/>
    <xf numFmtId="0" fontId="1" fillId="0" borderId="0" xfId="20"/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1" fillId="0" borderId="4" xfId="20" applyBorder="1" applyAlignment="1">
      <alignment horizontal="center"/>
    </xf>
    <xf numFmtId="0" fontId="1" fillId="0" borderId="5" xfId="20" applyBorder="1" applyAlignment="1">
      <alignment horizontal="center"/>
    </xf>
    <xf numFmtId="9" fontId="1" fillId="0" borderId="5" xfId="22" applyBorder="1" applyAlignment="1">
      <alignment horizontal="center"/>
    </xf>
    <xf numFmtId="1" fontId="1" fillId="0" borderId="5" xfId="20" applyNumberFormat="1" applyBorder="1" applyAlignment="1">
      <alignment horizontal="center"/>
    </xf>
    <xf numFmtId="0" fontId="1" fillId="0" borderId="6" xfId="20" applyBorder="1" applyAlignment="1">
      <alignment horizontal="center"/>
    </xf>
    <xf numFmtId="9" fontId="1" fillId="0" borderId="5" xfId="22" applyNumberFormat="1" applyBorder="1" applyAlignment="1">
      <alignment horizontal="center"/>
    </xf>
    <xf numFmtId="0" fontId="1" fillId="0" borderId="4" xfId="20" applyFill="1" applyBorder="1" applyAlignment="1">
      <alignment horizontal="center"/>
    </xf>
    <xf numFmtId="9" fontId="1" fillId="0" borderId="5" xfId="22" applyFill="1" applyBorder="1" applyAlignment="1">
      <alignment horizontal="center"/>
    </xf>
    <xf numFmtId="1" fontId="1" fillId="0" borderId="5" xfId="20" applyNumberFormat="1" applyFill="1" applyBorder="1" applyAlignment="1">
      <alignment horizontal="center"/>
    </xf>
    <xf numFmtId="0" fontId="1" fillId="0" borderId="6" xfId="20" applyFill="1" applyBorder="1" applyAlignment="1">
      <alignment horizontal="center"/>
    </xf>
    <xf numFmtId="0" fontId="1" fillId="0" borderId="0" xfId="20" applyFill="1"/>
    <xf numFmtId="0" fontId="1" fillId="0" borderId="7" xfId="20" applyBorder="1" applyAlignment="1">
      <alignment horizontal="center"/>
    </xf>
    <xf numFmtId="9" fontId="1" fillId="0" borderId="8" xfId="22" applyBorder="1" applyAlignment="1">
      <alignment horizontal="center"/>
    </xf>
    <xf numFmtId="1" fontId="1" fillId="0" borderId="8" xfId="20" applyNumberFormat="1" applyBorder="1" applyAlignment="1">
      <alignment horizontal="center"/>
    </xf>
    <xf numFmtId="1" fontId="1" fillId="0" borderId="9" xfId="20" applyNumberFormat="1" applyBorder="1" applyAlignment="1">
      <alignment horizontal="center"/>
    </xf>
    <xf numFmtId="0" fontId="1" fillId="0" borderId="9" xfId="20" applyBorder="1" applyAlignment="1">
      <alignment horizontal="center"/>
    </xf>
    <xf numFmtId="2" fontId="1" fillId="0" borderId="0" xfId="20" applyNumberFormat="1"/>
    <xf numFmtId="0" fontId="1" fillId="0" borderId="8" xfId="20" applyBorder="1" applyAlignment="1">
      <alignment horizontal="center"/>
    </xf>
    <xf numFmtId="1" fontId="1" fillId="0" borderId="8" xfId="20" applyNumberFormat="1" applyFill="1" applyBorder="1" applyAlignment="1">
      <alignment horizontal="center"/>
    </xf>
    <xf numFmtId="0" fontId="1" fillId="0" borderId="10" xfId="20" applyBorder="1" applyAlignment="1">
      <alignment horizontal="center"/>
    </xf>
    <xf numFmtId="0" fontId="1" fillId="0" borderId="11" xfId="20" applyBorder="1" applyAlignment="1">
      <alignment horizontal="center"/>
    </xf>
    <xf numFmtId="9" fontId="1" fillId="0" borderId="11" xfId="22" applyBorder="1" applyAlignment="1">
      <alignment horizontal="center"/>
    </xf>
    <xf numFmtId="1" fontId="1" fillId="0" borderId="11" xfId="20" applyNumberFormat="1" applyFill="1" applyBorder="1" applyAlignment="1">
      <alignment horizontal="center"/>
    </xf>
    <xf numFmtId="1" fontId="1" fillId="0" borderId="11" xfId="20" applyNumberFormat="1" applyBorder="1" applyAlignment="1">
      <alignment horizontal="center"/>
    </xf>
    <xf numFmtId="0" fontId="1" fillId="0" borderId="12" xfId="20" applyBorder="1" applyAlignment="1">
      <alignment horizontal="center"/>
    </xf>
    <xf numFmtId="1" fontId="1" fillId="0" borderId="6" xfId="20" applyNumberFormat="1" applyFill="1" applyBorder="1" applyAlignment="1">
      <alignment horizontal="center"/>
    </xf>
    <xf numFmtId="9" fontId="1" fillId="2" borderId="5" xfId="22" applyFill="1" applyBorder="1" applyAlignment="1">
      <alignment horizontal="center"/>
    </xf>
    <xf numFmtId="1" fontId="1" fillId="2" borderId="5" xfId="20" applyNumberFormat="1" applyFill="1" applyBorder="1" applyAlignment="1">
      <alignment horizontal="center"/>
    </xf>
    <xf numFmtId="0" fontId="1" fillId="2" borderId="6" xfId="20" applyFill="1" applyBorder="1" applyAlignment="1">
      <alignment horizontal="center"/>
    </xf>
    <xf numFmtId="9" fontId="1" fillId="0" borderId="11" xfId="21" applyFont="1" applyFill="1" applyBorder="1" applyAlignment="1">
      <alignment horizontal="center"/>
    </xf>
    <xf numFmtId="1" fontId="1" fillId="0" borderId="12" xfId="20" applyNumberFormat="1" applyBorder="1" applyAlignment="1">
      <alignment horizontal="center"/>
    </xf>
    <xf numFmtId="9" fontId="1" fillId="2" borderId="8" xfId="22" applyFill="1" applyBorder="1" applyAlignment="1">
      <alignment horizontal="center"/>
    </xf>
    <xf numFmtId="1" fontId="1" fillId="2" borderId="8" xfId="20" applyNumberFormat="1" applyFill="1" applyBorder="1" applyAlignment="1">
      <alignment horizontal="center"/>
    </xf>
    <xf numFmtId="1" fontId="1" fillId="2" borderId="9" xfId="20" applyNumberFormat="1" applyFill="1" applyBorder="1" applyAlignment="1">
      <alignment horizontal="center"/>
    </xf>
    <xf numFmtId="1" fontId="1" fillId="0" borderId="0" xfId="20" applyNumberFormat="1"/>
    <xf numFmtId="0" fontId="1" fillId="3" borderId="0" xfId="20" applyFill="1"/>
    <xf numFmtId="4" fontId="1" fillId="0" borderId="0" xfId="20" applyNumberFormat="1"/>
    <xf numFmtId="171" fontId="24" fillId="0" borderId="0" xfId="12" applyFont="1"/>
    <xf numFmtId="4" fontId="4" fillId="0" borderId="0" xfId="20" applyNumberFormat="1" applyFont="1"/>
    <xf numFmtId="43" fontId="1" fillId="0" borderId="0" xfId="20" applyNumberFormat="1" applyAlignment="1"/>
    <xf numFmtId="4" fontId="1" fillId="3" borderId="0" xfId="20" applyNumberFormat="1" applyFill="1"/>
    <xf numFmtId="1" fontId="4" fillId="0" borderId="0" xfId="20" applyNumberFormat="1" applyFont="1"/>
    <xf numFmtId="0" fontId="5" fillId="0" borderId="0" xfId="20" applyFont="1"/>
    <xf numFmtId="0" fontId="6" fillId="0" borderId="0" xfId="20" applyFont="1"/>
    <xf numFmtId="0" fontId="1" fillId="0" borderId="0" xfId="20" applyAlignment="1">
      <alignment horizontal="center"/>
    </xf>
    <xf numFmtId="0" fontId="1" fillId="0" borderId="13" xfId="20" applyBorder="1"/>
    <xf numFmtId="0" fontId="1" fillId="0" borderId="0" xfId="20" applyBorder="1"/>
    <xf numFmtId="0" fontId="4" fillId="0" borderId="0" xfId="20" applyFont="1"/>
    <xf numFmtId="0" fontId="1" fillId="0" borderId="0" xfId="20" applyFill="1" applyBorder="1"/>
    <xf numFmtId="3" fontId="8" fillId="0" borderId="0" xfId="20" applyNumberFormat="1" applyFont="1" applyFill="1" applyBorder="1" applyAlignment="1">
      <alignment horizontal="center"/>
    </xf>
    <xf numFmtId="0" fontId="9" fillId="4" borderId="14" xfId="20" applyFont="1" applyFill="1" applyBorder="1"/>
    <xf numFmtId="0" fontId="9" fillId="4" borderId="15" xfId="20" applyFont="1" applyFill="1" applyBorder="1"/>
    <xf numFmtId="195" fontId="10" fillId="4" borderId="16" xfId="20" applyNumberFormat="1" applyFont="1" applyFill="1" applyBorder="1" applyAlignment="1">
      <alignment horizontal="center"/>
    </xf>
    <xf numFmtId="0" fontId="7" fillId="5" borderId="17" xfId="20" applyFont="1" applyFill="1" applyBorder="1"/>
    <xf numFmtId="0" fontId="7" fillId="5" borderId="18" xfId="20" applyFont="1" applyFill="1" applyBorder="1"/>
    <xf numFmtId="10" fontId="7" fillId="5" borderId="19" xfId="20" applyNumberFormat="1" applyFont="1" applyFill="1" applyBorder="1" applyAlignment="1">
      <alignment horizontal="center"/>
    </xf>
    <xf numFmtId="0" fontId="9" fillId="3" borderId="14" xfId="20" applyFont="1" applyFill="1" applyBorder="1"/>
    <xf numFmtId="0" fontId="9" fillId="3" borderId="15" xfId="20" applyFont="1" applyFill="1" applyBorder="1"/>
    <xf numFmtId="195" fontId="10" fillId="3" borderId="16" xfId="20" applyNumberFormat="1" applyFont="1" applyFill="1" applyBorder="1" applyAlignment="1">
      <alignment horizontal="center"/>
    </xf>
    <xf numFmtId="195" fontId="11" fillId="3" borderId="15" xfId="20" applyNumberFormat="1" applyFont="1" applyFill="1" applyBorder="1" applyAlignment="1">
      <alignment horizontal="center"/>
    </xf>
    <xf numFmtId="0" fontId="4" fillId="0" borderId="13" xfId="20" applyFont="1" applyBorder="1"/>
    <xf numFmtId="0" fontId="12" fillId="0" borderId="13" xfId="20" applyFont="1" applyBorder="1"/>
    <xf numFmtId="3" fontId="1" fillId="0" borderId="0" xfId="20" applyNumberFormat="1"/>
    <xf numFmtId="2" fontId="1" fillId="3" borderId="0" xfId="20" applyNumberFormat="1" applyFill="1"/>
    <xf numFmtId="10" fontId="1" fillId="0" borderId="0" xfId="21" applyNumberFormat="1" applyFont="1"/>
    <xf numFmtId="10" fontId="1" fillId="0" borderId="0" xfId="20" applyNumberFormat="1"/>
    <xf numFmtId="2" fontId="0" fillId="0" borderId="0" xfId="0" applyNumberFormat="1"/>
    <xf numFmtId="2" fontId="1" fillId="0" borderId="0" xfId="20" applyNumberFormat="1" applyFill="1"/>
    <xf numFmtId="4" fontId="1" fillId="0" borderId="0" xfId="20" applyNumberFormat="1" applyFill="1"/>
    <xf numFmtId="2" fontId="13" fillId="6" borderId="0" xfId="20" applyNumberFormat="1" applyFont="1" applyFill="1"/>
    <xf numFmtId="10" fontId="1" fillId="3" borderId="0" xfId="21" applyNumberFormat="1" applyFont="1" applyFill="1"/>
    <xf numFmtId="0" fontId="1" fillId="0" borderId="20" xfId="20" applyBorder="1"/>
    <xf numFmtId="0" fontId="1" fillId="0" borderId="21" xfId="20" applyBorder="1"/>
    <xf numFmtId="2" fontId="1" fillId="0" borderId="22" xfId="20" applyNumberFormat="1" applyBorder="1"/>
    <xf numFmtId="2" fontId="1" fillId="0" borderId="23" xfId="20" applyNumberFormat="1" applyBorder="1"/>
    <xf numFmtId="2" fontId="1" fillId="0" borderId="24" xfId="20" applyNumberFormat="1" applyBorder="1"/>
    <xf numFmtId="203" fontId="10" fillId="3" borderId="16" xfId="1" applyNumberFormat="1" applyFont="1" applyFill="1" applyBorder="1" applyAlignment="1">
      <alignment horizontal="right"/>
    </xf>
    <xf numFmtId="195" fontId="10" fillId="4" borderId="16" xfId="20" applyNumberFormat="1" applyFont="1" applyFill="1" applyBorder="1" applyAlignment="1">
      <alignment horizontal="right"/>
    </xf>
    <xf numFmtId="10" fontId="7" fillId="5" borderId="19" xfId="20" applyNumberFormat="1" applyFont="1" applyFill="1" applyBorder="1" applyAlignment="1">
      <alignment horizontal="right"/>
    </xf>
    <xf numFmtId="0" fontId="14" fillId="0" borderId="0" xfId="20" applyFont="1"/>
    <xf numFmtId="0" fontId="15" fillId="0" borderId="0" xfId="20" applyFont="1"/>
    <xf numFmtId="0" fontId="16" fillId="0" borderId="0" xfId="20" applyFont="1"/>
    <xf numFmtId="0" fontId="17" fillId="0" borderId="0" xfId="20" applyFont="1"/>
    <xf numFmtId="0" fontId="18" fillId="0" borderId="18" xfId="20" applyFont="1" applyBorder="1"/>
    <xf numFmtId="0" fontId="14" fillId="0" borderId="18" xfId="20" applyFont="1" applyBorder="1"/>
    <xf numFmtId="0" fontId="19" fillId="0" borderId="18" xfId="20" applyFont="1" applyBorder="1"/>
    <xf numFmtId="0" fontId="18" fillId="0" borderId="25" xfId="20" applyFont="1" applyBorder="1"/>
    <xf numFmtId="0" fontId="14" fillId="0" borderId="26" xfId="20" applyFont="1" applyBorder="1"/>
    <xf numFmtId="0" fontId="20" fillId="0" borderId="27" xfId="20" applyFont="1" applyBorder="1" applyAlignment="1">
      <alignment horizontal="center"/>
    </xf>
    <xf numFmtId="0" fontId="20" fillId="0" borderId="28" xfId="20" applyFont="1" applyBorder="1" applyAlignment="1"/>
    <xf numFmtId="0" fontId="20" fillId="0" borderId="28" xfId="20" applyFont="1" applyBorder="1"/>
    <xf numFmtId="0" fontId="20" fillId="0" borderId="27" xfId="20" applyFont="1" applyBorder="1"/>
    <xf numFmtId="0" fontId="20" fillId="0" borderId="29" xfId="20" applyFont="1" applyBorder="1"/>
    <xf numFmtId="0" fontId="20" fillId="0" borderId="30" xfId="20" applyFont="1" applyBorder="1"/>
    <xf numFmtId="0" fontId="20" fillId="0" borderId="31" xfId="20" applyFont="1" applyBorder="1" applyAlignment="1"/>
    <xf numFmtId="0" fontId="20" fillId="0" borderId="31" xfId="20" applyFont="1" applyBorder="1" applyAlignment="1">
      <alignment horizontal="center"/>
    </xf>
    <xf numFmtId="0" fontId="20" fillId="0" borderId="32" xfId="20" applyFont="1" applyBorder="1" applyAlignment="1">
      <alignment horizontal="center"/>
    </xf>
    <xf numFmtId="0" fontId="14" fillId="0" borderId="33" xfId="20" applyFont="1" applyBorder="1"/>
    <xf numFmtId="0" fontId="14" fillId="0" borderId="19" xfId="20" applyFont="1" applyBorder="1"/>
    <xf numFmtId="0" fontId="20" fillId="0" borderId="34" xfId="20" applyFont="1" applyBorder="1" applyAlignment="1">
      <alignment horizontal="center"/>
    </xf>
    <xf numFmtId="0" fontId="20" fillId="0" borderId="19" xfId="20" quotePrefix="1" applyFont="1" applyBorder="1" applyAlignment="1">
      <alignment horizontal="center"/>
    </xf>
    <xf numFmtId="0" fontId="20" fillId="0" borderId="18" xfId="20" quotePrefix="1" applyFont="1" applyBorder="1" applyAlignment="1">
      <alignment horizontal="center"/>
    </xf>
    <xf numFmtId="0" fontId="20" fillId="0" borderId="19" xfId="20" applyFont="1" applyBorder="1" applyAlignment="1">
      <alignment horizontal="center"/>
    </xf>
    <xf numFmtId="0" fontId="20" fillId="0" borderId="18" xfId="20" applyFont="1" applyBorder="1" applyAlignment="1">
      <alignment horizontal="center"/>
    </xf>
    <xf numFmtId="0" fontId="20" fillId="0" borderId="34" xfId="20" quotePrefix="1" applyFont="1" applyBorder="1" applyAlignment="1">
      <alignment horizontal="center"/>
    </xf>
    <xf numFmtId="0" fontId="20" fillId="0" borderId="35" xfId="20" applyFont="1" applyBorder="1" applyAlignment="1">
      <alignment horizontal="center"/>
    </xf>
    <xf numFmtId="0" fontId="20" fillId="0" borderId="36" xfId="20" applyFont="1" applyBorder="1"/>
    <xf numFmtId="0" fontId="20" fillId="0" borderId="37" xfId="20" applyFont="1" applyBorder="1"/>
    <xf numFmtId="0" fontId="14" fillId="0" borderId="37" xfId="20" applyFont="1" applyBorder="1"/>
    <xf numFmtId="177" fontId="14" fillId="0" borderId="38" xfId="2" applyNumberFormat="1" applyFont="1" applyBorder="1"/>
    <xf numFmtId="177" fontId="14" fillId="0" borderId="0" xfId="2" applyNumberFormat="1" applyFont="1" applyBorder="1"/>
    <xf numFmtId="177" fontId="14" fillId="0" borderId="37" xfId="2" applyNumberFormat="1" applyFont="1" applyBorder="1"/>
    <xf numFmtId="177" fontId="14" fillId="0" borderId="39" xfId="2" applyNumberFormat="1" applyFont="1" applyBorder="1"/>
    <xf numFmtId="0" fontId="20" fillId="0" borderId="37" xfId="20" quotePrefix="1" applyFont="1" applyBorder="1" applyAlignment="1">
      <alignment horizontal="center"/>
    </xf>
    <xf numFmtId="0" fontId="20" fillId="0" borderId="17" xfId="20" quotePrefix="1" applyFont="1" applyBorder="1" applyAlignment="1">
      <alignment horizontal="center"/>
    </xf>
    <xf numFmtId="177" fontId="14" fillId="0" borderId="34" xfId="2" applyNumberFormat="1" applyFont="1" applyBorder="1"/>
    <xf numFmtId="177" fontId="14" fillId="0" borderId="19" xfId="2" applyNumberFormat="1" applyFont="1" applyBorder="1"/>
    <xf numFmtId="177" fontId="14" fillId="0" borderId="18" xfId="2" applyNumberFormat="1" applyFont="1" applyBorder="1"/>
    <xf numFmtId="177" fontId="14" fillId="0" borderId="35" xfId="2" applyNumberFormat="1" applyFont="1" applyBorder="1"/>
    <xf numFmtId="0" fontId="20" fillId="0" borderId="33" xfId="20" applyFont="1" applyBorder="1"/>
    <xf numFmtId="0" fontId="20" fillId="0" borderId="34" xfId="20" applyFont="1" applyBorder="1"/>
    <xf numFmtId="0" fontId="20" fillId="0" borderId="37" xfId="20" applyFont="1" applyBorder="1" applyAlignment="1">
      <alignment horizontal="center"/>
    </xf>
    <xf numFmtId="0" fontId="20" fillId="0" borderId="0" xfId="20" applyFont="1" applyBorder="1"/>
    <xf numFmtId="177" fontId="20" fillId="0" borderId="37" xfId="2" quotePrefix="1" applyNumberFormat="1" applyFont="1" applyBorder="1" applyAlignment="1">
      <alignment horizontal="center"/>
    </xf>
    <xf numFmtId="177" fontId="20" fillId="0" borderId="34" xfId="2" quotePrefix="1" applyNumberFormat="1" applyFont="1" applyBorder="1" applyAlignment="1">
      <alignment horizontal="center"/>
    </xf>
    <xf numFmtId="177" fontId="20" fillId="0" borderId="37" xfId="2" quotePrefix="1" applyNumberFormat="1" applyFont="1" applyBorder="1" applyAlignment="1">
      <alignment horizontal="right"/>
    </xf>
    <xf numFmtId="177" fontId="20" fillId="0" borderId="34" xfId="2" quotePrefix="1" applyNumberFormat="1" applyFont="1" applyBorder="1" applyAlignment="1">
      <alignment horizontal="right"/>
    </xf>
    <xf numFmtId="177" fontId="20" fillId="0" borderId="37" xfId="2" quotePrefix="1" applyNumberFormat="1" applyFont="1" applyBorder="1" applyAlignment="1">
      <alignment horizontal="left"/>
    </xf>
    <xf numFmtId="0" fontId="1" fillId="0" borderId="18" xfId="20" applyBorder="1"/>
    <xf numFmtId="0" fontId="1" fillId="0" borderId="34" xfId="20" applyBorder="1"/>
    <xf numFmtId="180" fontId="20" fillId="0" borderId="37" xfId="14" quotePrefix="1" applyNumberFormat="1" applyFont="1" applyBorder="1" applyAlignment="1">
      <alignment horizontal="right"/>
    </xf>
    <xf numFmtId="180" fontId="20" fillId="0" borderId="34" xfId="14" quotePrefix="1" applyNumberFormat="1" applyFont="1" applyBorder="1" applyAlignment="1">
      <alignment horizontal="right"/>
    </xf>
    <xf numFmtId="177" fontId="20" fillId="0" borderId="37" xfId="2" applyNumberFormat="1" applyFont="1" applyBorder="1"/>
    <xf numFmtId="177" fontId="20" fillId="0" borderId="37" xfId="2" quotePrefix="1" applyNumberFormat="1" applyFont="1" applyBorder="1"/>
    <xf numFmtId="0" fontId="21" fillId="0" borderId="0" xfId="20" applyFont="1" applyBorder="1"/>
    <xf numFmtId="0" fontId="21" fillId="0" borderId="0" xfId="20" applyFont="1"/>
    <xf numFmtId="177" fontId="20" fillId="0" borderId="34" xfId="2" quotePrefix="1" applyNumberFormat="1" applyFont="1" applyBorder="1"/>
    <xf numFmtId="0" fontId="20" fillId="0" borderId="40" xfId="20" applyFont="1" applyBorder="1"/>
    <xf numFmtId="0" fontId="20" fillId="0" borderId="41" xfId="20" applyFont="1" applyBorder="1"/>
    <xf numFmtId="177" fontId="14" fillId="0" borderId="41" xfId="2" applyNumberFormat="1" applyFont="1" applyBorder="1"/>
    <xf numFmtId="177" fontId="14" fillId="0" borderId="42" xfId="2" applyNumberFormat="1" applyFont="1" applyBorder="1"/>
    <xf numFmtId="0" fontId="22" fillId="0" borderId="0" xfId="20" applyFont="1"/>
    <xf numFmtId="0" fontId="14" fillId="0" borderId="0" xfId="20" applyFont="1" applyBorder="1"/>
    <xf numFmtId="177" fontId="14" fillId="0" borderId="0" xfId="20" applyNumberFormat="1" applyFont="1"/>
    <xf numFmtId="0" fontId="14" fillId="0" borderId="38" xfId="20" applyFont="1" applyBorder="1"/>
    <xf numFmtId="0" fontId="20" fillId="0" borderId="8" xfId="20" applyFont="1" applyBorder="1"/>
    <xf numFmtId="0" fontId="23" fillId="0" borderId="8" xfId="20" applyFont="1" applyBorder="1"/>
    <xf numFmtId="0" fontId="23" fillId="0" borderId="43" xfId="20" applyFont="1" applyBorder="1"/>
    <xf numFmtId="0" fontId="23" fillId="0" borderId="37" xfId="20" applyFont="1" applyBorder="1"/>
    <xf numFmtId="0" fontId="23" fillId="0" borderId="44" xfId="20" applyFont="1" applyBorder="1"/>
    <xf numFmtId="0" fontId="23" fillId="0" borderId="37" xfId="20" quotePrefix="1" applyFont="1" applyBorder="1" applyAlignment="1">
      <alignment horizontal="center"/>
    </xf>
    <xf numFmtId="0" fontId="23" fillId="0" borderId="44" xfId="20" quotePrefix="1" applyFont="1" applyBorder="1" applyAlignment="1">
      <alignment horizontal="center"/>
    </xf>
    <xf numFmtId="0" fontId="23" fillId="0" borderId="34" xfId="20" quotePrefix="1" applyFont="1" applyBorder="1" applyAlignment="1">
      <alignment horizontal="center"/>
    </xf>
    <xf numFmtId="0" fontId="23" fillId="0" borderId="45" xfId="20" quotePrefix="1" applyFont="1" applyBorder="1" applyAlignment="1">
      <alignment horizontal="center"/>
    </xf>
    <xf numFmtId="177" fontId="14" fillId="0" borderId="34" xfId="3" applyNumberFormat="1" applyFont="1" applyBorder="1"/>
    <xf numFmtId="177" fontId="14" fillId="0" borderId="35" xfId="3" applyNumberFormat="1" applyFont="1" applyBorder="1"/>
    <xf numFmtId="177" fontId="14" fillId="0" borderId="37" xfId="3" applyNumberFormat="1" applyFont="1" applyBorder="1"/>
    <xf numFmtId="0" fontId="20" fillId="0" borderId="46" xfId="20" applyFont="1" applyBorder="1"/>
    <xf numFmtId="177" fontId="14" fillId="0" borderId="8" xfId="3" applyNumberFormat="1" applyFont="1" applyBorder="1"/>
    <xf numFmtId="177" fontId="14" fillId="0" borderId="43" xfId="3" applyNumberFormat="1" applyFont="1" applyBorder="1"/>
    <xf numFmtId="0" fontId="20" fillId="0" borderId="47" xfId="20" applyFont="1" applyBorder="1"/>
    <xf numFmtId="177" fontId="14" fillId="0" borderId="44" xfId="3" applyNumberFormat="1" applyFont="1" applyBorder="1"/>
    <xf numFmtId="0" fontId="20" fillId="0" borderId="47" xfId="20" quotePrefix="1" applyFont="1" applyBorder="1" applyAlignment="1">
      <alignment horizontal="center"/>
    </xf>
    <xf numFmtId="177" fontId="14" fillId="0" borderId="45" xfId="3" applyNumberFormat="1" applyFont="1" applyBorder="1"/>
    <xf numFmtId="0" fontId="20" fillId="0" borderId="43" xfId="20" applyFont="1" applyBorder="1"/>
    <xf numFmtId="0" fontId="20" fillId="0" borderId="44" xfId="20" applyFont="1" applyBorder="1"/>
    <xf numFmtId="0" fontId="23" fillId="0" borderId="37" xfId="20" applyFont="1" applyBorder="1" applyAlignment="1">
      <alignment horizontal="center"/>
    </xf>
    <xf numFmtId="0" fontId="23" fillId="0" borderId="44" xfId="20" applyFont="1" applyBorder="1" applyAlignment="1">
      <alignment horizontal="center"/>
    </xf>
    <xf numFmtId="0" fontId="20" fillId="0" borderId="45" xfId="20" quotePrefix="1" applyFont="1" applyBorder="1" applyAlignment="1">
      <alignment horizontal="center"/>
    </xf>
    <xf numFmtId="177" fontId="14" fillId="0" borderId="38" xfId="3" applyNumberFormat="1" applyFont="1" applyBorder="1"/>
    <xf numFmtId="177" fontId="14" fillId="0" borderId="0" xfId="3" applyNumberFormat="1" applyFont="1" applyBorder="1"/>
    <xf numFmtId="177" fontId="14" fillId="0" borderId="39" xfId="3" applyNumberFormat="1" applyFont="1" applyBorder="1"/>
    <xf numFmtId="0" fontId="20" fillId="0" borderId="8" xfId="20" applyFont="1" applyBorder="1" applyAlignment="1">
      <alignment horizontal="center"/>
    </xf>
    <xf numFmtId="0" fontId="23" fillId="0" borderId="8" xfId="20" applyFont="1" applyBorder="1" applyAlignment="1">
      <alignment horizontal="center"/>
    </xf>
    <xf numFmtId="0" fontId="23" fillId="0" borderId="43" xfId="20" applyFont="1" applyBorder="1" applyAlignment="1">
      <alignment horizontal="center"/>
    </xf>
    <xf numFmtId="177" fontId="20" fillId="0" borderId="37" xfId="3" quotePrefix="1" applyNumberFormat="1" applyFont="1" applyBorder="1" applyAlignment="1">
      <alignment horizontal="center"/>
    </xf>
    <xf numFmtId="177" fontId="23" fillId="0" borderId="37" xfId="3" quotePrefix="1" applyNumberFormat="1" applyFont="1" applyBorder="1" applyAlignment="1">
      <alignment horizontal="center"/>
    </xf>
    <xf numFmtId="177" fontId="23" fillId="0" borderId="44" xfId="3" quotePrefix="1" applyNumberFormat="1" applyFont="1" applyBorder="1" applyAlignment="1">
      <alignment horizontal="center"/>
    </xf>
    <xf numFmtId="177" fontId="20" fillId="0" borderId="34" xfId="3" quotePrefix="1" applyNumberFormat="1" applyFont="1" applyBorder="1" applyAlignment="1">
      <alignment horizontal="center"/>
    </xf>
    <xf numFmtId="177" fontId="23" fillId="0" borderId="34" xfId="3" quotePrefix="1" applyNumberFormat="1" applyFont="1" applyBorder="1" applyAlignment="1">
      <alignment horizontal="center"/>
    </xf>
    <xf numFmtId="177" fontId="23" fillId="0" borderId="45" xfId="3" quotePrefix="1" applyNumberFormat="1" applyFont="1" applyBorder="1" applyAlignment="1">
      <alignment horizontal="center"/>
    </xf>
    <xf numFmtId="177" fontId="20" fillId="0" borderId="47" xfId="3" quotePrefix="1" applyNumberFormat="1" applyFont="1" applyBorder="1" applyAlignment="1">
      <alignment horizontal="right"/>
    </xf>
    <xf numFmtId="177" fontId="20" fillId="0" borderId="47" xfId="3" quotePrefix="1" applyNumberFormat="1" applyFont="1" applyBorder="1" applyAlignment="1">
      <alignment horizontal="left"/>
    </xf>
    <xf numFmtId="177" fontId="20" fillId="0" borderId="47" xfId="3" quotePrefix="1" applyNumberFormat="1" applyFont="1" applyBorder="1" applyAlignment="1">
      <alignment horizontal="center"/>
    </xf>
    <xf numFmtId="177" fontId="20" fillId="0" borderId="17" xfId="3" quotePrefix="1" applyNumberFormat="1" applyFont="1" applyBorder="1" applyAlignment="1">
      <alignment horizontal="center"/>
    </xf>
    <xf numFmtId="204" fontId="20" fillId="0" borderId="37" xfId="15" quotePrefix="1" applyNumberFormat="1" applyFont="1" applyBorder="1" applyAlignment="1">
      <alignment horizontal="right"/>
    </xf>
    <xf numFmtId="180" fontId="23" fillId="0" borderId="37" xfId="15" quotePrefix="1" applyNumberFormat="1" applyFont="1" applyBorder="1" applyAlignment="1">
      <alignment horizontal="right"/>
    </xf>
    <xf numFmtId="180" fontId="23" fillId="0" borderId="44" xfId="15" quotePrefix="1" applyNumberFormat="1" applyFont="1" applyBorder="1" applyAlignment="1">
      <alignment horizontal="right"/>
    </xf>
    <xf numFmtId="204" fontId="23" fillId="0" borderId="37" xfId="15" quotePrefix="1" applyNumberFormat="1" applyFont="1" applyBorder="1" applyAlignment="1">
      <alignment horizontal="right"/>
    </xf>
    <xf numFmtId="204" fontId="23" fillId="0" borderId="44" xfId="15" quotePrefix="1" applyNumberFormat="1" applyFont="1" applyBorder="1" applyAlignment="1">
      <alignment horizontal="right"/>
    </xf>
    <xf numFmtId="204" fontId="20" fillId="0" borderId="34" xfId="15" quotePrefix="1" applyNumberFormat="1" applyFont="1" applyBorder="1" applyAlignment="1">
      <alignment horizontal="right"/>
    </xf>
    <xf numFmtId="204" fontId="23" fillId="0" borderId="34" xfId="15" quotePrefix="1" applyNumberFormat="1" applyFont="1" applyBorder="1" applyAlignment="1">
      <alignment horizontal="right"/>
    </xf>
    <xf numFmtId="204" fontId="23" fillId="0" borderId="45" xfId="15" quotePrefix="1" applyNumberFormat="1" applyFont="1" applyBorder="1" applyAlignment="1">
      <alignment horizontal="right"/>
    </xf>
    <xf numFmtId="177" fontId="20" fillId="0" borderId="37" xfId="3" applyNumberFormat="1" applyFont="1" applyBorder="1"/>
    <xf numFmtId="177" fontId="23" fillId="0" borderId="37" xfId="3" applyNumberFormat="1" applyFont="1" applyBorder="1"/>
    <xf numFmtId="177" fontId="23" fillId="0" borderId="44" xfId="3" applyNumberFormat="1" applyFont="1" applyBorder="1"/>
    <xf numFmtId="177" fontId="1" fillId="0" borderId="0" xfId="20" applyNumberFormat="1"/>
    <xf numFmtId="177" fontId="23" fillId="0" borderId="37" xfId="3" quotePrefix="1" applyNumberFormat="1" applyFont="1" applyBorder="1"/>
    <xf numFmtId="177" fontId="23" fillId="0" borderId="44" xfId="3" quotePrefix="1" applyNumberFormat="1" applyFont="1" applyBorder="1"/>
    <xf numFmtId="177" fontId="14" fillId="0" borderId="19" xfId="3" applyNumberFormat="1" applyFont="1" applyBorder="1"/>
    <xf numFmtId="177" fontId="14" fillId="0" borderId="18" xfId="3" applyNumberFormat="1" applyFont="1" applyBorder="1"/>
    <xf numFmtId="177" fontId="20" fillId="0" borderId="34" xfId="3" quotePrefix="1" applyNumberFormat="1" applyFont="1" applyBorder="1"/>
    <xf numFmtId="177" fontId="23" fillId="0" borderId="34" xfId="3" quotePrefix="1" applyNumberFormat="1" applyFont="1" applyBorder="1"/>
    <xf numFmtId="177" fontId="23" fillId="0" borderId="45" xfId="3" quotePrefix="1" applyNumberFormat="1" applyFont="1" applyBorder="1"/>
    <xf numFmtId="177" fontId="14" fillId="0" borderId="41" xfId="3" applyNumberFormat="1" applyFont="1" applyBorder="1"/>
    <xf numFmtId="177" fontId="14" fillId="0" borderId="42" xfId="3" applyNumberFormat="1" applyFont="1" applyBorder="1"/>
    <xf numFmtId="177" fontId="14" fillId="0" borderId="34" xfId="4" applyNumberFormat="1" applyFont="1" applyBorder="1"/>
    <xf numFmtId="177" fontId="14" fillId="0" borderId="35" xfId="4" applyNumberFormat="1" applyFont="1" applyBorder="1"/>
    <xf numFmtId="177" fontId="14" fillId="0" borderId="37" xfId="4" applyNumberFormat="1" applyFont="1" applyBorder="1"/>
    <xf numFmtId="177" fontId="14" fillId="0" borderId="8" xfId="4" applyNumberFormat="1" applyFont="1" applyBorder="1"/>
    <xf numFmtId="177" fontId="14" fillId="0" borderId="43" xfId="4" applyNumberFormat="1" applyFont="1" applyBorder="1"/>
    <xf numFmtId="177" fontId="14" fillId="0" borderId="44" xfId="4" applyNumberFormat="1" applyFont="1" applyBorder="1"/>
    <xf numFmtId="177" fontId="14" fillId="0" borderId="45" xfId="4" applyNumberFormat="1" applyFont="1" applyBorder="1"/>
    <xf numFmtId="177" fontId="14" fillId="0" borderId="38" xfId="4" applyNumberFormat="1" applyFont="1" applyBorder="1"/>
    <xf numFmtId="177" fontId="14" fillId="0" borderId="0" xfId="4" applyNumberFormat="1" applyFont="1" applyBorder="1"/>
    <xf numFmtId="177" fontId="14" fillId="0" borderId="39" xfId="4" applyNumberFormat="1" applyFont="1" applyBorder="1"/>
    <xf numFmtId="177" fontId="23" fillId="0" borderId="37" xfId="4" quotePrefix="1" applyNumberFormat="1" applyFont="1" applyBorder="1" applyAlignment="1">
      <alignment horizontal="center"/>
    </xf>
    <xf numFmtId="177" fontId="23" fillId="0" borderId="44" xfId="4" quotePrefix="1" applyNumberFormat="1" applyFont="1" applyBorder="1" applyAlignment="1">
      <alignment horizontal="center"/>
    </xf>
    <xf numFmtId="177" fontId="20" fillId="0" borderId="34" xfId="4" quotePrefix="1" applyNumberFormat="1" applyFont="1" applyBorder="1" applyAlignment="1">
      <alignment horizontal="center"/>
    </xf>
    <xf numFmtId="177" fontId="23" fillId="0" borderId="34" xfId="4" quotePrefix="1" applyNumberFormat="1" applyFont="1" applyBorder="1" applyAlignment="1">
      <alignment horizontal="center"/>
    </xf>
    <xf numFmtId="177" fontId="23" fillId="0" borderId="45" xfId="4" quotePrefix="1" applyNumberFormat="1" applyFont="1" applyBorder="1" applyAlignment="1">
      <alignment horizontal="center"/>
    </xf>
    <xf numFmtId="177" fontId="20" fillId="0" borderId="17" xfId="4" quotePrefix="1" applyNumberFormat="1" applyFont="1" applyBorder="1" applyAlignment="1">
      <alignment horizontal="center"/>
    </xf>
    <xf numFmtId="180" fontId="23" fillId="0" borderId="37" xfId="16" quotePrefix="1" applyNumberFormat="1" applyFont="1" applyBorder="1" applyAlignment="1">
      <alignment horizontal="right"/>
    </xf>
    <xf numFmtId="180" fontId="23" fillId="0" borderId="44" xfId="16" quotePrefix="1" applyNumberFormat="1" applyFont="1" applyBorder="1" applyAlignment="1">
      <alignment horizontal="right"/>
    </xf>
    <xf numFmtId="204" fontId="23" fillId="0" borderId="37" xfId="16" quotePrefix="1" applyNumberFormat="1" applyFont="1" applyBorder="1" applyAlignment="1">
      <alignment horizontal="right"/>
    </xf>
    <xf numFmtId="204" fontId="23" fillId="0" borderId="44" xfId="16" quotePrefix="1" applyNumberFormat="1" applyFont="1" applyBorder="1" applyAlignment="1">
      <alignment horizontal="right"/>
    </xf>
    <xf numFmtId="204" fontId="23" fillId="0" borderId="34" xfId="16" quotePrefix="1" applyNumberFormat="1" applyFont="1" applyBorder="1" applyAlignment="1">
      <alignment horizontal="right"/>
    </xf>
    <xf numFmtId="204" fontId="23" fillId="0" borderId="45" xfId="16" quotePrefix="1" applyNumberFormat="1" applyFont="1" applyBorder="1" applyAlignment="1">
      <alignment horizontal="right"/>
    </xf>
    <xf numFmtId="177" fontId="20" fillId="0" borderId="37" xfId="4" applyNumberFormat="1" applyFont="1" applyBorder="1"/>
    <xf numFmtId="177" fontId="23" fillId="0" borderId="37" xfId="4" applyNumberFormat="1" applyFont="1" applyBorder="1"/>
    <xf numFmtId="177" fontId="23" fillId="0" borderId="44" xfId="4" applyNumberFormat="1" applyFont="1" applyBorder="1"/>
    <xf numFmtId="177" fontId="23" fillId="0" borderId="37" xfId="4" quotePrefix="1" applyNumberFormat="1" applyFont="1" applyBorder="1"/>
    <xf numFmtId="177" fontId="23" fillId="0" borderId="44" xfId="4" quotePrefix="1" applyNumberFormat="1" applyFont="1" applyBorder="1"/>
    <xf numFmtId="177" fontId="20" fillId="0" borderId="36" xfId="20" applyNumberFormat="1" applyFont="1" applyBorder="1"/>
    <xf numFmtId="177" fontId="20" fillId="0" borderId="34" xfId="4" quotePrefix="1" applyNumberFormat="1" applyFont="1" applyBorder="1"/>
    <xf numFmtId="177" fontId="23" fillId="0" borderId="34" xfId="4" quotePrefix="1" applyNumberFormat="1" applyFont="1" applyBorder="1"/>
    <xf numFmtId="177" fontId="23" fillId="0" borderId="45" xfId="4" quotePrefix="1" applyNumberFormat="1" applyFont="1" applyBorder="1"/>
    <xf numFmtId="177" fontId="14" fillId="0" borderId="41" xfId="4" applyNumberFormat="1" applyFont="1" applyBorder="1"/>
    <xf numFmtId="177" fontId="14" fillId="0" borderId="42" xfId="4" applyNumberFormat="1" applyFont="1" applyBorder="1"/>
    <xf numFmtId="177" fontId="14" fillId="0" borderId="34" xfId="5" applyNumberFormat="1" applyFont="1" applyBorder="1"/>
    <xf numFmtId="177" fontId="14" fillId="0" borderId="35" xfId="5" applyNumberFormat="1" applyFont="1" applyBorder="1"/>
    <xf numFmtId="177" fontId="14" fillId="0" borderId="37" xfId="5" applyNumberFormat="1" applyFont="1" applyBorder="1"/>
    <xf numFmtId="177" fontId="14" fillId="0" borderId="8" xfId="5" applyNumberFormat="1" applyFont="1" applyBorder="1"/>
    <xf numFmtId="177" fontId="14" fillId="0" borderId="43" xfId="5" applyNumberFormat="1" applyFont="1" applyBorder="1"/>
    <xf numFmtId="177" fontId="14" fillId="0" borderId="44" xfId="5" applyNumberFormat="1" applyFont="1" applyBorder="1"/>
    <xf numFmtId="177" fontId="14" fillId="0" borderId="45" xfId="5" applyNumberFormat="1" applyFont="1" applyBorder="1"/>
    <xf numFmtId="177" fontId="14" fillId="0" borderId="38" xfId="5" applyNumberFormat="1" applyFont="1" applyBorder="1"/>
    <xf numFmtId="177" fontId="14" fillId="0" borderId="0" xfId="5" applyNumberFormat="1" applyFont="1" applyBorder="1"/>
    <xf numFmtId="177" fontId="14" fillId="0" borderId="39" xfId="5" applyNumberFormat="1" applyFont="1" applyBorder="1"/>
    <xf numFmtId="177" fontId="23" fillId="0" borderId="37" xfId="5" quotePrefix="1" applyNumberFormat="1" applyFont="1" applyBorder="1" applyAlignment="1">
      <alignment horizontal="center"/>
    </xf>
    <xf numFmtId="177" fontId="23" fillId="0" borderId="44" xfId="5" quotePrefix="1" applyNumberFormat="1" applyFont="1" applyBorder="1" applyAlignment="1">
      <alignment horizontal="center"/>
    </xf>
    <xf numFmtId="177" fontId="20" fillId="0" borderId="34" xfId="5" quotePrefix="1" applyNumberFormat="1" applyFont="1" applyBorder="1" applyAlignment="1">
      <alignment horizontal="center"/>
    </xf>
    <xf numFmtId="177" fontId="23" fillId="0" borderId="34" xfId="5" quotePrefix="1" applyNumberFormat="1" applyFont="1" applyBorder="1" applyAlignment="1">
      <alignment horizontal="center"/>
    </xf>
    <xf numFmtId="177" fontId="20" fillId="0" borderId="17" xfId="5" quotePrefix="1" applyNumberFormat="1" applyFont="1" applyBorder="1" applyAlignment="1">
      <alignment horizontal="right"/>
    </xf>
    <xf numFmtId="177" fontId="20" fillId="0" borderId="17" xfId="5" quotePrefix="1" applyNumberFormat="1" applyFont="1" applyBorder="1" applyAlignment="1">
      <alignment horizontal="center"/>
    </xf>
    <xf numFmtId="180" fontId="23" fillId="0" borderId="37" xfId="17" quotePrefix="1" applyNumberFormat="1" applyFont="1" applyBorder="1" applyAlignment="1">
      <alignment horizontal="right"/>
    </xf>
    <xf numFmtId="180" fontId="23" fillId="0" borderId="44" xfId="17" quotePrefix="1" applyNumberFormat="1" applyFont="1" applyBorder="1" applyAlignment="1">
      <alignment horizontal="right"/>
    </xf>
    <xf numFmtId="204" fontId="23" fillId="0" borderId="37" xfId="17" quotePrefix="1" applyNumberFormat="1" applyFont="1" applyBorder="1" applyAlignment="1">
      <alignment horizontal="right"/>
    </xf>
    <xf numFmtId="204" fontId="23" fillId="0" borderId="44" xfId="17" quotePrefix="1" applyNumberFormat="1" applyFont="1" applyBorder="1" applyAlignment="1">
      <alignment horizontal="right"/>
    </xf>
    <xf numFmtId="204" fontId="20" fillId="0" borderId="34" xfId="17" quotePrefix="1" applyNumberFormat="1" applyFont="1" applyBorder="1" applyAlignment="1">
      <alignment horizontal="right"/>
    </xf>
    <xf numFmtId="204" fontId="23" fillId="0" borderId="34" xfId="17" quotePrefix="1" applyNumberFormat="1" applyFont="1" applyBorder="1" applyAlignment="1">
      <alignment horizontal="right"/>
    </xf>
    <xf numFmtId="204" fontId="23" fillId="0" borderId="45" xfId="17" quotePrefix="1" applyNumberFormat="1" applyFont="1" applyBorder="1" applyAlignment="1">
      <alignment horizontal="right"/>
    </xf>
    <xf numFmtId="177" fontId="20" fillId="0" borderId="37" xfId="5" quotePrefix="1" applyNumberFormat="1" applyFont="1" applyBorder="1"/>
    <xf numFmtId="177" fontId="23" fillId="0" borderId="37" xfId="5" quotePrefix="1" applyNumberFormat="1" applyFont="1" applyBorder="1"/>
    <xf numFmtId="177" fontId="23" fillId="0" borderId="37" xfId="5" applyNumberFormat="1" applyFont="1" applyBorder="1"/>
    <xf numFmtId="177" fontId="23" fillId="0" borderId="44" xfId="5" applyNumberFormat="1" applyFont="1" applyBorder="1"/>
    <xf numFmtId="177" fontId="23" fillId="0" borderId="44" xfId="5" quotePrefix="1" applyNumberFormat="1" applyFont="1" applyBorder="1"/>
    <xf numFmtId="177" fontId="20" fillId="0" borderId="34" xfId="5" quotePrefix="1" applyNumberFormat="1" applyFont="1" applyBorder="1"/>
    <xf numFmtId="177" fontId="23" fillId="0" borderId="34" xfId="5" quotePrefix="1" applyNumberFormat="1" applyFont="1" applyBorder="1"/>
    <xf numFmtId="177" fontId="23" fillId="0" borderId="45" xfId="5" quotePrefix="1" applyNumberFormat="1" applyFont="1" applyBorder="1"/>
    <xf numFmtId="177" fontId="14" fillId="0" borderId="41" xfId="5" applyNumberFormat="1" applyFont="1" applyBorder="1"/>
    <xf numFmtId="177" fontId="14" fillId="0" borderId="42" xfId="5" applyNumberFormat="1" applyFont="1" applyBorder="1"/>
    <xf numFmtId="177" fontId="14" fillId="0" borderId="34" xfId="6" applyNumberFormat="1" applyFont="1" applyBorder="1"/>
    <xf numFmtId="177" fontId="14" fillId="0" borderId="35" xfId="6" applyNumberFormat="1" applyFont="1" applyBorder="1"/>
    <xf numFmtId="177" fontId="14" fillId="0" borderId="37" xfId="6" applyNumberFormat="1" applyFont="1" applyBorder="1"/>
    <xf numFmtId="177" fontId="14" fillId="0" borderId="8" xfId="6" applyNumberFormat="1" applyFont="1" applyBorder="1"/>
    <xf numFmtId="177" fontId="14" fillId="0" borderId="43" xfId="6" applyNumberFormat="1" applyFont="1" applyBorder="1"/>
    <xf numFmtId="177" fontId="14" fillId="0" borderId="44" xfId="6" applyNumberFormat="1" applyFont="1" applyBorder="1"/>
    <xf numFmtId="177" fontId="14" fillId="0" borderId="45" xfId="6" applyNumberFormat="1" applyFont="1" applyBorder="1"/>
    <xf numFmtId="177" fontId="14" fillId="0" borderId="38" xfId="6" applyNumberFormat="1" applyFont="1" applyBorder="1"/>
    <xf numFmtId="177" fontId="14" fillId="0" borderId="0" xfId="6" applyNumberFormat="1" applyFont="1" applyBorder="1"/>
    <xf numFmtId="177" fontId="14" fillId="0" borderId="39" xfId="6" applyNumberFormat="1" applyFont="1" applyBorder="1"/>
    <xf numFmtId="177" fontId="20" fillId="0" borderId="37" xfId="6" quotePrefix="1" applyNumberFormat="1" applyFont="1" applyBorder="1" applyAlignment="1">
      <alignment horizontal="center"/>
    </xf>
    <xf numFmtId="177" fontId="23" fillId="0" borderId="37" xfId="6" quotePrefix="1" applyNumberFormat="1" applyFont="1" applyBorder="1" applyAlignment="1">
      <alignment horizontal="center"/>
    </xf>
    <xf numFmtId="177" fontId="23" fillId="0" borderId="44" xfId="6" quotePrefix="1" applyNumberFormat="1" applyFont="1" applyBorder="1" applyAlignment="1">
      <alignment horizontal="center"/>
    </xf>
    <xf numFmtId="177" fontId="20" fillId="0" borderId="34" xfId="6" quotePrefix="1" applyNumberFormat="1" applyFont="1" applyBorder="1" applyAlignment="1">
      <alignment horizontal="center"/>
    </xf>
    <xf numFmtId="177" fontId="23" fillId="0" borderId="34" xfId="6" quotePrefix="1" applyNumberFormat="1" applyFont="1" applyBorder="1" applyAlignment="1">
      <alignment horizontal="center"/>
    </xf>
    <xf numFmtId="177" fontId="23" fillId="0" borderId="45" xfId="6" quotePrefix="1" applyNumberFormat="1" applyFont="1" applyBorder="1" applyAlignment="1">
      <alignment horizontal="center"/>
    </xf>
    <xf numFmtId="177" fontId="20" fillId="0" borderId="47" xfId="6" quotePrefix="1" applyNumberFormat="1" applyFont="1" applyBorder="1" applyAlignment="1">
      <alignment horizontal="right"/>
    </xf>
    <xf numFmtId="177" fontId="20" fillId="0" borderId="17" xfId="6" quotePrefix="1" applyNumberFormat="1" applyFont="1" applyBorder="1" applyAlignment="1">
      <alignment horizontal="right"/>
    </xf>
    <xf numFmtId="177" fontId="20" fillId="0" borderId="47" xfId="6" quotePrefix="1" applyNumberFormat="1" applyFont="1" applyBorder="1" applyAlignment="1">
      <alignment horizontal="center"/>
    </xf>
    <xf numFmtId="177" fontId="20" fillId="0" borderId="17" xfId="6" quotePrefix="1" applyNumberFormat="1" applyFont="1" applyBorder="1" applyAlignment="1">
      <alignment horizontal="center"/>
    </xf>
    <xf numFmtId="180" fontId="23" fillId="0" borderId="37" xfId="18" quotePrefix="1" applyNumberFormat="1" applyFont="1" applyBorder="1" applyAlignment="1">
      <alignment horizontal="right"/>
    </xf>
    <xf numFmtId="180" fontId="23" fillId="0" borderId="44" xfId="18" quotePrefix="1" applyNumberFormat="1" applyFont="1" applyBorder="1" applyAlignment="1">
      <alignment horizontal="right"/>
    </xf>
    <xf numFmtId="204" fontId="23" fillId="0" borderId="37" xfId="18" quotePrefix="1" applyNumberFormat="1" applyFont="1" applyBorder="1" applyAlignment="1">
      <alignment horizontal="right"/>
    </xf>
    <xf numFmtId="204" fontId="23" fillId="0" borderId="44" xfId="18" quotePrefix="1" applyNumberFormat="1" applyFont="1" applyBorder="1" applyAlignment="1">
      <alignment horizontal="right"/>
    </xf>
    <xf numFmtId="204" fontId="20" fillId="0" borderId="34" xfId="18" quotePrefix="1" applyNumberFormat="1" applyFont="1" applyBorder="1" applyAlignment="1">
      <alignment horizontal="right"/>
    </xf>
    <xf numFmtId="204" fontId="23" fillId="0" borderId="34" xfId="18" quotePrefix="1" applyNumberFormat="1" applyFont="1" applyBorder="1" applyAlignment="1">
      <alignment horizontal="right"/>
    </xf>
    <xf numFmtId="204" fontId="23" fillId="0" borderId="45" xfId="18" quotePrefix="1" applyNumberFormat="1" applyFont="1" applyBorder="1" applyAlignment="1">
      <alignment horizontal="right"/>
    </xf>
    <xf numFmtId="177" fontId="20" fillId="0" borderId="37" xfId="6" quotePrefix="1" applyNumberFormat="1" applyFont="1" applyBorder="1"/>
    <xf numFmtId="177" fontId="23" fillId="0" borderId="37" xfId="6" quotePrefix="1" applyNumberFormat="1" applyFont="1" applyBorder="1"/>
    <xf numFmtId="177" fontId="23" fillId="0" borderId="37" xfId="6" applyNumberFormat="1" applyFont="1" applyBorder="1"/>
    <xf numFmtId="177" fontId="23" fillId="0" borderId="44" xfId="6" applyNumberFormat="1" applyFont="1" applyBorder="1"/>
    <xf numFmtId="177" fontId="23" fillId="0" borderId="44" xfId="6" quotePrefix="1" applyNumberFormat="1" applyFont="1" applyBorder="1"/>
    <xf numFmtId="177" fontId="20" fillId="0" borderId="34" xfId="6" quotePrefix="1" applyNumberFormat="1" applyFont="1" applyBorder="1"/>
    <xf numFmtId="177" fontId="23" fillId="0" borderId="34" xfId="6" quotePrefix="1" applyNumberFormat="1" applyFont="1" applyBorder="1"/>
    <xf numFmtId="177" fontId="23" fillId="0" borderId="45" xfId="6" quotePrefix="1" applyNumberFormat="1" applyFont="1" applyBorder="1"/>
    <xf numFmtId="177" fontId="14" fillId="0" borderId="41" xfId="6" applyNumberFormat="1" applyFont="1" applyBorder="1"/>
    <xf numFmtId="177" fontId="14" fillId="0" borderId="42" xfId="6" applyNumberFormat="1" applyFont="1" applyBorder="1"/>
    <xf numFmtId="177" fontId="14" fillId="0" borderId="34" xfId="7" applyNumberFormat="1" applyFont="1" applyBorder="1"/>
    <xf numFmtId="177" fontId="14" fillId="0" borderId="35" xfId="7" applyNumberFormat="1" applyFont="1" applyBorder="1"/>
    <xf numFmtId="177" fontId="23" fillId="0" borderId="37" xfId="20" applyNumberFormat="1" applyFont="1" applyBorder="1" applyAlignment="1">
      <alignment horizontal="center"/>
    </xf>
    <xf numFmtId="177" fontId="14" fillId="0" borderId="37" xfId="7" applyNumberFormat="1" applyFont="1" applyBorder="1"/>
    <xf numFmtId="177" fontId="14" fillId="0" borderId="8" xfId="7" applyNumberFormat="1" applyFont="1" applyBorder="1"/>
    <xf numFmtId="177" fontId="14" fillId="0" borderId="43" xfId="7" applyNumberFormat="1" applyFont="1" applyBorder="1"/>
    <xf numFmtId="177" fontId="14" fillId="0" borderId="44" xfId="7" applyNumberFormat="1" applyFont="1" applyBorder="1"/>
    <xf numFmtId="177" fontId="14" fillId="0" borderId="45" xfId="7" applyNumberFormat="1" applyFont="1" applyBorder="1"/>
    <xf numFmtId="177" fontId="14" fillId="0" borderId="38" xfId="7" applyNumberFormat="1" applyFont="1" applyBorder="1"/>
    <xf numFmtId="177" fontId="14" fillId="0" borderId="0" xfId="7" applyNumberFormat="1" applyFont="1" applyBorder="1"/>
    <xf numFmtId="177" fontId="14" fillId="0" borderId="39" xfId="7" applyNumberFormat="1" applyFont="1" applyBorder="1"/>
    <xf numFmtId="177" fontId="23" fillId="0" borderId="37" xfId="7" quotePrefix="1" applyNumberFormat="1" applyFont="1" applyBorder="1" applyAlignment="1">
      <alignment horizontal="center"/>
    </xf>
    <xf numFmtId="177" fontId="23" fillId="0" borderId="44" xfId="7" quotePrefix="1" applyNumberFormat="1" applyFont="1" applyBorder="1" applyAlignment="1">
      <alignment horizontal="center"/>
    </xf>
    <xf numFmtId="177" fontId="20" fillId="0" borderId="34" xfId="7" quotePrefix="1" applyNumberFormat="1" applyFont="1" applyBorder="1" applyAlignment="1">
      <alignment horizontal="center"/>
    </xf>
    <xf numFmtId="177" fontId="23" fillId="0" borderId="34" xfId="7" quotePrefix="1" applyNumberFormat="1" applyFont="1" applyBorder="1" applyAlignment="1">
      <alignment horizontal="center"/>
    </xf>
    <xf numFmtId="177" fontId="23" fillId="0" borderId="45" xfId="7" quotePrefix="1" applyNumberFormat="1" applyFont="1" applyBorder="1" applyAlignment="1">
      <alignment horizontal="center"/>
    </xf>
    <xf numFmtId="177" fontId="20" fillId="0" borderId="17" xfId="7" quotePrefix="1" applyNumberFormat="1" applyFont="1" applyBorder="1" applyAlignment="1">
      <alignment horizontal="right"/>
    </xf>
    <xf numFmtId="177" fontId="20" fillId="0" borderId="17" xfId="7" quotePrefix="1" applyNumberFormat="1" applyFont="1" applyBorder="1" applyAlignment="1">
      <alignment horizontal="center"/>
    </xf>
    <xf numFmtId="180" fontId="23" fillId="0" borderId="37" xfId="19" quotePrefix="1" applyNumberFormat="1" applyFont="1" applyBorder="1" applyAlignment="1">
      <alignment horizontal="right"/>
    </xf>
    <xf numFmtId="180" fontId="23" fillId="0" borderId="44" xfId="19" quotePrefix="1" applyNumberFormat="1" applyFont="1" applyBorder="1" applyAlignment="1">
      <alignment horizontal="right"/>
    </xf>
    <xf numFmtId="204" fontId="23" fillId="0" borderId="37" xfId="19" quotePrefix="1" applyNumberFormat="1" applyFont="1" applyBorder="1" applyAlignment="1">
      <alignment horizontal="right"/>
    </xf>
    <xf numFmtId="205" fontId="23" fillId="0" borderId="37" xfId="19" quotePrefix="1" applyNumberFormat="1" applyFont="1" applyBorder="1" applyAlignment="1">
      <alignment horizontal="right"/>
    </xf>
    <xf numFmtId="204" fontId="23" fillId="0" borderId="44" xfId="19" quotePrefix="1" applyNumberFormat="1" applyFont="1" applyBorder="1" applyAlignment="1">
      <alignment horizontal="right"/>
    </xf>
    <xf numFmtId="204" fontId="20" fillId="0" borderId="34" xfId="19" quotePrefix="1" applyNumberFormat="1" applyFont="1" applyBorder="1" applyAlignment="1">
      <alignment horizontal="right"/>
    </xf>
    <xf numFmtId="204" fontId="23" fillId="0" borderId="34" xfId="19" quotePrefix="1" applyNumberFormat="1" applyFont="1" applyBorder="1" applyAlignment="1">
      <alignment horizontal="right"/>
    </xf>
    <xf numFmtId="204" fontId="23" fillId="0" borderId="45" xfId="19" quotePrefix="1" applyNumberFormat="1" applyFont="1" applyBorder="1" applyAlignment="1">
      <alignment horizontal="right"/>
    </xf>
    <xf numFmtId="177" fontId="20" fillId="0" borderId="37" xfId="7" quotePrefix="1" applyNumberFormat="1" applyFont="1" applyBorder="1"/>
    <xf numFmtId="177" fontId="23" fillId="0" borderId="37" xfId="7" quotePrefix="1" applyNumberFormat="1" applyFont="1" applyBorder="1"/>
    <xf numFmtId="177" fontId="23" fillId="0" borderId="37" xfId="7" applyNumberFormat="1" applyFont="1" applyBorder="1"/>
    <xf numFmtId="177" fontId="23" fillId="0" borderId="44" xfId="7" applyNumberFormat="1" applyFont="1" applyBorder="1"/>
    <xf numFmtId="177" fontId="23" fillId="0" borderId="44" xfId="7" quotePrefix="1" applyNumberFormat="1" applyFont="1" applyBorder="1"/>
    <xf numFmtId="177" fontId="20" fillId="0" borderId="34" xfId="7" quotePrefix="1" applyNumberFormat="1" applyFont="1" applyBorder="1"/>
    <xf numFmtId="177" fontId="23" fillId="0" borderId="34" xfId="7" quotePrefix="1" applyNumberFormat="1" applyFont="1" applyBorder="1"/>
    <xf numFmtId="177" fontId="23" fillId="0" borderId="45" xfId="7" quotePrefix="1" applyNumberFormat="1" applyFont="1" applyBorder="1"/>
    <xf numFmtId="177" fontId="14" fillId="0" borderId="41" xfId="7" applyNumberFormat="1" applyFont="1" applyBorder="1"/>
    <xf numFmtId="177" fontId="14" fillId="0" borderId="42" xfId="7" applyNumberFormat="1" applyFont="1" applyBorder="1"/>
    <xf numFmtId="177" fontId="14" fillId="0" borderId="34" xfId="8" applyNumberFormat="1" applyFont="1" applyBorder="1"/>
    <xf numFmtId="177" fontId="14" fillId="0" borderId="35" xfId="8" applyNumberFormat="1" applyFont="1" applyBorder="1"/>
    <xf numFmtId="177" fontId="14" fillId="0" borderId="37" xfId="8" applyNumberFormat="1" applyFont="1" applyBorder="1"/>
    <xf numFmtId="177" fontId="14" fillId="0" borderId="8" xfId="8" applyNumberFormat="1" applyFont="1" applyBorder="1"/>
    <xf numFmtId="177" fontId="14" fillId="0" borderId="43" xfId="8" applyNumberFormat="1" applyFont="1" applyBorder="1"/>
    <xf numFmtId="177" fontId="14" fillId="0" borderId="44" xfId="8" applyNumberFormat="1" applyFont="1" applyBorder="1"/>
    <xf numFmtId="177" fontId="14" fillId="0" borderId="45" xfId="8" applyNumberFormat="1" applyFont="1" applyBorder="1"/>
    <xf numFmtId="177" fontId="14" fillId="0" borderId="38" xfId="8" applyNumberFormat="1" applyFont="1" applyBorder="1"/>
    <xf numFmtId="177" fontId="14" fillId="0" borderId="0" xfId="8" applyNumberFormat="1" applyFont="1" applyBorder="1"/>
    <xf numFmtId="177" fontId="14" fillId="0" borderId="39" xfId="8" applyNumberFormat="1" applyFont="1" applyBorder="1"/>
    <xf numFmtId="177" fontId="23" fillId="0" borderId="37" xfId="8" quotePrefix="1" applyNumberFormat="1" applyFont="1" applyBorder="1" applyAlignment="1">
      <alignment horizontal="center"/>
    </xf>
    <xf numFmtId="177" fontId="23" fillId="0" borderId="44" xfId="8" quotePrefix="1" applyNumberFormat="1" applyFont="1" applyBorder="1" applyAlignment="1">
      <alignment horizontal="center"/>
    </xf>
    <xf numFmtId="177" fontId="20" fillId="0" borderId="34" xfId="8" quotePrefix="1" applyNumberFormat="1" applyFont="1" applyBorder="1" applyAlignment="1">
      <alignment horizontal="center"/>
    </xf>
    <xf numFmtId="177" fontId="23" fillId="0" borderId="34" xfId="8" quotePrefix="1" applyNumberFormat="1" applyFont="1" applyBorder="1" applyAlignment="1">
      <alignment horizontal="center"/>
    </xf>
    <xf numFmtId="177" fontId="23" fillId="0" borderId="45" xfId="8" quotePrefix="1" applyNumberFormat="1" applyFont="1" applyBorder="1" applyAlignment="1">
      <alignment horizontal="center"/>
    </xf>
    <xf numFmtId="177" fontId="20" fillId="0" borderId="17" xfId="8" quotePrefix="1" applyNumberFormat="1" applyFont="1" applyBorder="1" applyAlignment="1">
      <alignment horizontal="right"/>
    </xf>
    <xf numFmtId="177" fontId="20" fillId="0" borderId="17" xfId="8" quotePrefix="1" applyNumberFormat="1" applyFont="1" applyBorder="1" applyAlignment="1">
      <alignment horizontal="center"/>
    </xf>
    <xf numFmtId="180" fontId="23" fillId="0" borderId="37" xfId="10" quotePrefix="1" applyNumberFormat="1" applyFont="1" applyBorder="1" applyAlignment="1">
      <alignment horizontal="right"/>
    </xf>
    <xf numFmtId="180" fontId="23" fillId="0" borderId="44" xfId="10" quotePrefix="1" applyNumberFormat="1" applyFont="1" applyBorder="1" applyAlignment="1">
      <alignment horizontal="right"/>
    </xf>
    <xf numFmtId="204" fontId="23" fillId="0" borderId="37" xfId="10" quotePrefix="1" applyNumberFormat="1" applyFont="1" applyBorder="1" applyAlignment="1">
      <alignment horizontal="right"/>
    </xf>
    <xf numFmtId="205" fontId="23" fillId="0" borderId="37" xfId="10" quotePrefix="1" applyNumberFormat="1" applyFont="1" applyBorder="1" applyAlignment="1">
      <alignment horizontal="right"/>
    </xf>
    <xf numFmtId="206" fontId="23" fillId="0" borderId="37" xfId="10" quotePrefix="1" applyNumberFormat="1" applyFont="1" applyBorder="1" applyAlignment="1">
      <alignment horizontal="right"/>
    </xf>
    <xf numFmtId="204" fontId="23" fillId="0" borderId="44" xfId="10" quotePrefix="1" applyNumberFormat="1" applyFont="1" applyBorder="1" applyAlignment="1">
      <alignment horizontal="right"/>
    </xf>
    <xf numFmtId="204" fontId="20" fillId="0" borderId="34" xfId="10" quotePrefix="1" applyNumberFormat="1" applyFont="1" applyBorder="1" applyAlignment="1">
      <alignment horizontal="right"/>
    </xf>
    <xf numFmtId="204" fontId="23" fillId="0" borderId="34" xfId="10" quotePrefix="1" applyNumberFormat="1" applyFont="1" applyBorder="1" applyAlignment="1">
      <alignment horizontal="right"/>
    </xf>
    <xf numFmtId="204" fontId="23" fillId="0" borderId="45" xfId="10" quotePrefix="1" applyNumberFormat="1" applyFont="1" applyBorder="1" applyAlignment="1">
      <alignment horizontal="right"/>
    </xf>
    <xf numFmtId="177" fontId="20" fillId="0" borderId="37" xfId="8" quotePrefix="1" applyNumberFormat="1" applyFont="1" applyBorder="1"/>
    <xf numFmtId="177" fontId="23" fillId="0" borderId="37" xfId="8" quotePrefix="1" applyNumberFormat="1" applyFont="1" applyBorder="1"/>
    <xf numFmtId="177" fontId="23" fillId="0" borderId="37" xfId="8" applyNumberFormat="1" applyFont="1" applyBorder="1"/>
    <xf numFmtId="177" fontId="23" fillId="0" borderId="44" xfId="8" applyNumberFormat="1" applyFont="1" applyBorder="1"/>
    <xf numFmtId="177" fontId="23" fillId="0" borderId="44" xfId="8" quotePrefix="1" applyNumberFormat="1" applyFont="1" applyBorder="1"/>
    <xf numFmtId="177" fontId="20" fillId="0" borderId="34" xfId="8" quotePrefix="1" applyNumberFormat="1" applyFont="1" applyBorder="1"/>
    <xf numFmtId="177" fontId="23" fillId="0" borderId="34" xfId="8" quotePrefix="1" applyNumberFormat="1" applyFont="1" applyBorder="1"/>
    <xf numFmtId="177" fontId="23" fillId="0" borderId="45" xfId="8" quotePrefix="1" applyNumberFormat="1" applyFont="1" applyBorder="1"/>
    <xf numFmtId="177" fontId="14" fillId="0" borderId="41" xfId="8" applyNumberFormat="1" applyFont="1" applyBorder="1"/>
    <xf numFmtId="177" fontId="14" fillId="0" borderId="42" xfId="8" applyNumberFormat="1" applyFont="1" applyBorder="1"/>
    <xf numFmtId="177" fontId="14" fillId="0" borderId="34" xfId="9" applyNumberFormat="1" applyFont="1" applyBorder="1"/>
    <xf numFmtId="177" fontId="14" fillId="0" borderId="35" xfId="9" applyNumberFormat="1" applyFont="1" applyBorder="1"/>
    <xf numFmtId="177" fontId="23" fillId="0" borderId="37" xfId="20" quotePrefix="1" applyNumberFormat="1" applyFont="1" applyBorder="1" applyAlignment="1">
      <alignment horizontal="center"/>
    </xf>
    <xf numFmtId="177" fontId="14" fillId="0" borderId="37" xfId="9" applyNumberFormat="1" applyFont="1" applyBorder="1"/>
    <xf numFmtId="177" fontId="14" fillId="0" borderId="8" xfId="9" applyNumberFormat="1" applyFont="1" applyBorder="1"/>
    <xf numFmtId="177" fontId="14" fillId="0" borderId="43" xfId="9" applyNumberFormat="1" applyFont="1" applyBorder="1"/>
    <xf numFmtId="177" fontId="14" fillId="0" borderId="44" xfId="9" applyNumberFormat="1" applyFont="1" applyBorder="1"/>
    <xf numFmtId="177" fontId="14" fillId="0" borderId="45" xfId="9" applyNumberFormat="1" applyFont="1" applyBorder="1"/>
    <xf numFmtId="177" fontId="14" fillId="0" borderId="38" xfId="9" applyNumberFormat="1" applyFont="1" applyBorder="1"/>
    <xf numFmtId="177" fontId="14" fillId="0" borderId="0" xfId="9" applyNumberFormat="1" applyFont="1" applyBorder="1"/>
    <xf numFmtId="177" fontId="14" fillId="0" borderId="39" xfId="9" applyNumberFormat="1" applyFont="1" applyBorder="1"/>
    <xf numFmtId="177" fontId="20" fillId="0" borderId="37" xfId="9" quotePrefix="1" applyNumberFormat="1" applyFont="1" applyBorder="1" applyAlignment="1">
      <alignment horizontal="center"/>
    </xf>
    <xf numFmtId="177" fontId="23" fillId="0" borderId="37" xfId="9" quotePrefix="1" applyNumberFormat="1" applyFont="1" applyBorder="1" applyAlignment="1">
      <alignment horizontal="center"/>
    </xf>
    <xf numFmtId="177" fontId="23" fillId="0" borderId="44" xfId="9" quotePrefix="1" applyNumberFormat="1" applyFont="1" applyBorder="1" applyAlignment="1">
      <alignment horizontal="center"/>
    </xf>
    <xf numFmtId="177" fontId="20" fillId="0" borderId="34" xfId="9" quotePrefix="1" applyNumberFormat="1" applyFont="1" applyBorder="1" applyAlignment="1">
      <alignment horizontal="center"/>
    </xf>
    <xf numFmtId="177" fontId="23" fillId="0" borderId="34" xfId="9" quotePrefix="1" applyNumberFormat="1" applyFont="1" applyBorder="1" applyAlignment="1">
      <alignment horizontal="center"/>
    </xf>
    <xf numFmtId="177" fontId="23" fillId="0" borderId="45" xfId="9" quotePrefix="1" applyNumberFormat="1" applyFont="1" applyBorder="1" applyAlignment="1">
      <alignment horizontal="center"/>
    </xf>
    <xf numFmtId="177" fontId="20" fillId="0" borderId="47" xfId="9" quotePrefix="1" applyNumberFormat="1" applyFont="1" applyBorder="1" applyAlignment="1">
      <alignment horizontal="right"/>
    </xf>
    <xf numFmtId="177" fontId="20" fillId="0" borderId="17" xfId="9" quotePrefix="1" applyNumberFormat="1" applyFont="1" applyBorder="1" applyAlignment="1">
      <alignment horizontal="right"/>
    </xf>
    <xf numFmtId="177" fontId="20" fillId="0" borderId="47" xfId="9" quotePrefix="1" applyNumberFormat="1" applyFont="1" applyBorder="1" applyAlignment="1">
      <alignment horizontal="center"/>
    </xf>
    <xf numFmtId="177" fontId="20" fillId="0" borderId="17" xfId="9" quotePrefix="1" applyNumberFormat="1" applyFont="1" applyBorder="1" applyAlignment="1">
      <alignment horizontal="center"/>
    </xf>
    <xf numFmtId="204" fontId="23" fillId="0" borderId="37" xfId="11" quotePrefix="1" applyNumberFormat="1" applyFont="1" applyBorder="1" applyAlignment="1">
      <alignment horizontal="right"/>
    </xf>
    <xf numFmtId="180" fontId="23" fillId="0" borderId="37" xfId="11" quotePrefix="1" applyNumberFormat="1" applyFont="1" applyBorder="1" applyAlignment="1">
      <alignment horizontal="right"/>
    </xf>
    <xf numFmtId="180" fontId="23" fillId="0" borderId="44" xfId="11" quotePrefix="1" applyNumberFormat="1" applyFont="1" applyBorder="1" applyAlignment="1">
      <alignment horizontal="right"/>
    </xf>
    <xf numFmtId="206" fontId="23" fillId="0" borderId="37" xfId="11" quotePrefix="1" applyNumberFormat="1" applyFont="1" applyBorder="1" applyAlignment="1">
      <alignment horizontal="right"/>
    </xf>
    <xf numFmtId="204" fontId="23" fillId="0" borderId="44" xfId="11" quotePrefix="1" applyNumberFormat="1" applyFont="1" applyBorder="1" applyAlignment="1">
      <alignment horizontal="right"/>
    </xf>
    <xf numFmtId="204" fontId="20" fillId="0" borderId="34" xfId="11" quotePrefix="1" applyNumberFormat="1" applyFont="1" applyBorder="1" applyAlignment="1">
      <alignment horizontal="right"/>
    </xf>
    <xf numFmtId="204" fontId="23" fillId="0" borderId="34" xfId="11" quotePrefix="1" applyNumberFormat="1" applyFont="1" applyBorder="1" applyAlignment="1">
      <alignment horizontal="right"/>
    </xf>
    <xf numFmtId="204" fontId="23" fillId="0" borderId="45" xfId="11" quotePrefix="1" applyNumberFormat="1" applyFont="1" applyBorder="1" applyAlignment="1">
      <alignment horizontal="right"/>
    </xf>
    <xf numFmtId="177" fontId="20" fillId="0" borderId="37" xfId="9" quotePrefix="1" applyNumberFormat="1" applyFont="1" applyBorder="1"/>
    <xf numFmtId="177" fontId="23" fillId="0" borderId="37" xfId="9" quotePrefix="1" applyNumberFormat="1" applyFont="1" applyBorder="1"/>
    <xf numFmtId="177" fontId="23" fillId="0" borderId="37" xfId="9" applyNumberFormat="1" applyFont="1" applyBorder="1"/>
    <xf numFmtId="177" fontId="23" fillId="0" borderId="44" xfId="9" applyNumberFormat="1" applyFont="1" applyBorder="1"/>
    <xf numFmtId="177" fontId="23" fillId="0" borderId="44" xfId="9" quotePrefix="1" applyNumberFormat="1" applyFont="1" applyBorder="1"/>
    <xf numFmtId="177" fontId="20" fillId="0" borderId="34" xfId="9" quotePrefix="1" applyNumberFormat="1" applyFont="1" applyBorder="1"/>
    <xf numFmtId="177" fontId="23" fillId="0" borderId="34" xfId="9" quotePrefix="1" applyNumberFormat="1" applyFont="1" applyBorder="1"/>
    <xf numFmtId="177" fontId="23" fillId="0" borderId="45" xfId="9" quotePrefix="1" applyNumberFormat="1" applyFont="1" applyBorder="1"/>
    <xf numFmtId="177" fontId="14" fillId="0" borderId="41" xfId="9" applyNumberFormat="1" applyFont="1" applyBorder="1"/>
    <xf numFmtId="177" fontId="14" fillId="0" borderId="42" xfId="9" applyNumberFormat="1" applyFont="1" applyBorder="1"/>
    <xf numFmtId="0" fontId="23" fillId="0" borderId="48" xfId="20" applyFont="1" applyBorder="1" applyAlignment="1">
      <alignment horizontal="center"/>
    </xf>
    <xf numFmtId="0" fontId="23" fillId="0" borderId="38" xfId="20" applyFont="1" applyBorder="1" applyAlignment="1">
      <alignment horizontal="center"/>
    </xf>
    <xf numFmtId="0" fontId="23" fillId="0" borderId="38" xfId="20" quotePrefix="1" applyFont="1" applyBorder="1" applyAlignment="1">
      <alignment horizontal="center"/>
    </xf>
    <xf numFmtId="0" fontId="23" fillId="0" borderId="19" xfId="20" quotePrefix="1" applyFont="1" applyBorder="1" applyAlignment="1">
      <alignment horizontal="center"/>
    </xf>
    <xf numFmtId="209" fontId="14" fillId="0" borderId="0" xfId="20" applyNumberFormat="1" applyFont="1"/>
    <xf numFmtId="0" fontId="1" fillId="0" borderId="0" xfId="20" applyFont="1"/>
    <xf numFmtId="49" fontId="1" fillId="0" borderId="0" xfId="20" applyNumberFormat="1" applyFont="1"/>
    <xf numFmtId="0" fontId="4" fillId="0" borderId="22" xfId="20" applyFont="1" applyBorder="1"/>
    <xf numFmtId="0" fontId="4" fillId="0" borderId="24" xfId="20" applyFont="1" applyBorder="1"/>
    <xf numFmtId="171" fontId="1" fillId="0" borderId="49" xfId="1" applyFont="1" applyBorder="1"/>
    <xf numFmtId="171" fontId="1" fillId="0" borderId="24" xfId="1" applyFont="1" applyBorder="1"/>
    <xf numFmtId="0" fontId="1" fillId="0" borderId="50" xfId="20" applyBorder="1"/>
    <xf numFmtId="0" fontId="1" fillId="0" borderId="51" xfId="20" applyBorder="1"/>
    <xf numFmtId="171" fontId="1" fillId="0" borderId="13" xfId="1" applyFont="1" applyBorder="1"/>
    <xf numFmtId="171" fontId="1" fillId="0" borderId="0" xfId="1" applyFont="1" applyBorder="1"/>
    <xf numFmtId="171" fontId="1" fillId="0" borderId="52" xfId="1" applyFont="1" applyBorder="1"/>
    <xf numFmtId="0" fontId="1" fillId="0" borderId="52" xfId="20" applyBorder="1"/>
    <xf numFmtId="0" fontId="1" fillId="0" borderId="53" xfId="20" applyBorder="1"/>
    <xf numFmtId="0" fontId="1" fillId="0" borderId="49" xfId="20" applyBorder="1"/>
    <xf numFmtId="0" fontId="4" fillId="0" borderId="22" xfId="20" applyFont="1" applyBorder="1" applyAlignment="1">
      <alignment horizontal="center"/>
    </xf>
    <xf numFmtId="0" fontId="4" fillId="0" borderId="54" xfId="20" applyFont="1" applyBorder="1" applyAlignment="1">
      <alignment horizontal="center"/>
    </xf>
    <xf numFmtId="171" fontId="44" fillId="0" borderId="55" xfId="1" applyFont="1" applyBorder="1"/>
    <xf numFmtId="171" fontId="44" fillId="0" borderId="56" xfId="1" applyFont="1" applyBorder="1"/>
    <xf numFmtId="171" fontId="44" fillId="0" borderId="57" xfId="1" applyFont="1" applyBorder="1"/>
    <xf numFmtId="171" fontId="1" fillId="0" borderId="50" xfId="1" applyFont="1" applyBorder="1"/>
    <xf numFmtId="171" fontId="1" fillId="0" borderId="20" xfId="1" applyFont="1" applyBorder="1"/>
    <xf numFmtId="0" fontId="4" fillId="0" borderId="49" xfId="20" applyFont="1" applyBorder="1"/>
    <xf numFmtId="0" fontId="4" fillId="0" borderId="54" xfId="20" applyFont="1" applyBorder="1"/>
    <xf numFmtId="0" fontId="4" fillId="0" borderId="51" xfId="20" applyFont="1" applyBorder="1" applyAlignment="1">
      <alignment horizontal="center"/>
    </xf>
    <xf numFmtId="171" fontId="4" fillId="0" borderId="20" xfId="1" applyFont="1" applyBorder="1" applyAlignment="1">
      <alignment horizontal="center"/>
    </xf>
    <xf numFmtId="0" fontId="4" fillId="0" borderId="53" xfId="20" applyFont="1" applyBorder="1"/>
    <xf numFmtId="177" fontId="23" fillId="0" borderId="44" xfId="20" quotePrefix="1" applyNumberFormat="1" applyFont="1" applyBorder="1" applyAlignment="1">
      <alignment horizontal="center"/>
    </xf>
    <xf numFmtId="0" fontId="1" fillId="7" borderId="7" xfId="20" applyFill="1" applyBorder="1" applyAlignment="1">
      <alignment horizontal="center"/>
    </xf>
    <xf numFmtId="0" fontId="1" fillId="7" borderId="8" xfId="20" applyFill="1" applyBorder="1" applyAlignment="1">
      <alignment horizontal="center"/>
    </xf>
    <xf numFmtId="9" fontId="1" fillId="7" borderId="8" xfId="22" applyFill="1" applyBorder="1" applyAlignment="1">
      <alignment horizontal="center"/>
    </xf>
    <xf numFmtId="1" fontId="1" fillId="7" borderId="5" xfId="20" applyNumberFormat="1" applyFill="1" applyBorder="1" applyAlignment="1">
      <alignment horizontal="center"/>
    </xf>
    <xf numFmtId="1" fontId="1" fillId="7" borderId="8" xfId="20" applyNumberFormat="1" applyFill="1" applyBorder="1" applyAlignment="1">
      <alignment horizontal="center"/>
    </xf>
    <xf numFmtId="0" fontId="1" fillId="7" borderId="9" xfId="20" applyFill="1" applyBorder="1" applyAlignment="1">
      <alignment horizontal="center"/>
    </xf>
    <xf numFmtId="1" fontId="1" fillId="7" borderId="0" xfId="20" applyNumberFormat="1" applyFill="1"/>
    <xf numFmtId="0" fontId="1" fillId="7" borderId="0" xfId="20" applyFill="1"/>
    <xf numFmtId="9" fontId="1" fillId="8" borderId="8" xfId="22" applyFill="1" applyBorder="1" applyAlignment="1">
      <alignment horizontal="center"/>
    </xf>
    <xf numFmtId="1" fontId="1" fillId="8" borderId="8" xfId="20" applyNumberFormat="1" applyFill="1" applyBorder="1" applyAlignment="1">
      <alignment horizontal="center"/>
    </xf>
    <xf numFmtId="1" fontId="1" fillId="8" borderId="9" xfId="20" applyNumberFormat="1" applyFill="1" applyBorder="1" applyAlignment="1">
      <alignment horizontal="center"/>
    </xf>
    <xf numFmtId="0" fontId="26" fillId="0" borderId="0" xfId="20" applyFont="1"/>
    <xf numFmtId="0" fontId="27" fillId="0" borderId="0" xfId="20" applyFont="1"/>
    <xf numFmtId="0" fontId="27" fillId="0" borderId="0" xfId="20" applyFont="1" applyBorder="1"/>
    <xf numFmtId="0" fontId="28" fillId="0" borderId="0" xfId="20" applyFont="1"/>
    <xf numFmtId="203" fontId="28" fillId="0" borderId="0" xfId="1" applyNumberFormat="1" applyFont="1"/>
    <xf numFmtId="171" fontId="1" fillId="0" borderId="0" xfId="20" applyNumberFormat="1" applyBorder="1"/>
    <xf numFmtId="0" fontId="29" fillId="0" borderId="13" xfId="20" applyFont="1" applyBorder="1"/>
    <xf numFmtId="171" fontId="29" fillId="0" borderId="13" xfId="1" applyFont="1" applyBorder="1"/>
    <xf numFmtId="171" fontId="29" fillId="0" borderId="0" xfId="1" applyFont="1" applyBorder="1"/>
    <xf numFmtId="171" fontId="29" fillId="0" borderId="52" xfId="1" applyFont="1" applyBorder="1"/>
    <xf numFmtId="0" fontId="13" fillId="0" borderId="0" xfId="20" applyFont="1" applyBorder="1"/>
    <xf numFmtId="0" fontId="13" fillId="0" borderId="0" xfId="20" applyFont="1"/>
    <xf numFmtId="0" fontId="28" fillId="0" borderId="0" xfId="20" applyFont="1" applyBorder="1"/>
    <xf numFmtId="0" fontId="30" fillId="0" borderId="0" xfId="20" applyFont="1" applyBorder="1"/>
    <xf numFmtId="0" fontId="30" fillId="0" borderId="0" xfId="20" applyFont="1"/>
    <xf numFmtId="0" fontId="31" fillId="0" borderId="54" xfId="20" applyFont="1" applyBorder="1"/>
    <xf numFmtId="0" fontId="31" fillId="0" borderId="54" xfId="20" applyFont="1" applyBorder="1" applyAlignment="1">
      <alignment horizontal="center"/>
    </xf>
    <xf numFmtId="0" fontId="28" fillId="0" borderId="23" xfId="20" applyFont="1" applyBorder="1"/>
    <xf numFmtId="203" fontId="31" fillId="0" borderId="23" xfId="1" applyNumberFormat="1" applyFont="1" applyBorder="1"/>
    <xf numFmtId="203" fontId="30" fillId="0" borderId="23" xfId="1" applyNumberFormat="1" applyFont="1" applyBorder="1"/>
    <xf numFmtId="203" fontId="31" fillId="0" borderId="23" xfId="1" applyNumberFormat="1" applyFont="1" applyBorder="1" applyAlignment="1">
      <alignment horizontal="center"/>
    </xf>
    <xf numFmtId="0" fontId="28" fillId="0" borderId="24" xfId="20" applyFont="1" applyBorder="1"/>
    <xf numFmtId="203" fontId="31" fillId="0" borderId="24" xfId="1" applyNumberFormat="1" applyFont="1" applyBorder="1"/>
    <xf numFmtId="203" fontId="30" fillId="0" borderId="24" xfId="1" applyNumberFormat="1" applyFont="1" applyBorder="1"/>
    <xf numFmtId="0" fontId="31" fillId="0" borderId="0" xfId="20" applyFont="1"/>
    <xf numFmtId="203" fontId="28" fillId="0" borderId="54" xfId="1" applyNumberFormat="1" applyFont="1" applyBorder="1"/>
    <xf numFmtId="203" fontId="31" fillId="0" borderId="0" xfId="1" applyNumberFormat="1" applyFont="1" applyBorder="1"/>
    <xf numFmtId="203" fontId="31" fillId="0" borderId="0" xfId="1" applyNumberFormat="1" applyFont="1"/>
    <xf numFmtId="203" fontId="30" fillId="0" borderId="0" xfId="1" applyNumberFormat="1" applyFont="1"/>
    <xf numFmtId="0" fontId="32" fillId="0" borderId="0" xfId="20" applyFont="1"/>
    <xf numFmtId="0" fontId="5" fillId="0" borderId="0" xfId="20" applyFont="1" applyAlignment="1"/>
    <xf numFmtId="0" fontId="5" fillId="0" borderId="58" xfId="20" applyFont="1" applyBorder="1" applyAlignment="1">
      <alignment horizontal="center"/>
    </xf>
    <xf numFmtId="0" fontId="33" fillId="0" borderId="13" xfId="20" applyFont="1" applyBorder="1"/>
    <xf numFmtId="0" fontId="5" fillId="0" borderId="0" xfId="20" applyFont="1" applyBorder="1"/>
    <xf numFmtId="4" fontId="13" fillId="0" borderId="23" xfId="20" applyNumberFormat="1" applyFont="1" applyBorder="1"/>
    <xf numFmtId="0" fontId="5" fillId="0" borderId="0" xfId="20" applyFont="1" applyBorder="1" applyAlignment="1">
      <alignment horizontal="center"/>
    </xf>
    <xf numFmtId="0" fontId="13" fillId="0" borderId="13" xfId="20" applyFont="1" applyBorder="1"/>
    <xf numFmtId="2" fontId="13" fillId="0" borderId="0" xfId="20" applyNumberFormat="1" applyFont="1" applyBorder="1"/>
    <xf numFmtId="0" fontId="5" fillId="0" borderId="13" xfId="20" applyFont="1" applyBorder="1"/>
    <xf numFmtId="3" fontId="5" fillId="0" borderId="0" xfId="20" applyNumberFormat="1" applyFont="1" applyBorder="1"/>
    <xf numFmtId="0" fontId="5" fillId="0" borderId="55" xfId="20" applyFont="1" applyBorder="1"/>
    <xf numFmtId="0" fontId="13" fillId="0" borderId="56" xfId="20" applyFont="1" applyBorder="1"/>
    <xf numFmtId="194" fontId="5" fillId="0" borderId="54" xfId="20" applyNumberFormat="1" applyFont="1" applyBorder="1"/>
    <xf numFmtId="0" fontId="34" fillId="0" borderId="0" xfId="0" applyFont="1"/>
    <xf numFmtId="0" fontId="45" fillId="0" borderId="0" xfId="0" applyFont="1"/>
    <xf numFmtId="171" fontId="35" fillId="0" borderId="0" xfId="1" applyFont="1"/>
    <xf numFmtId="0" fontId="46" fillId="0" borderId="0" xfId="0" applyFont="1"/>
    <xf numFmtId="171" fontId="36" fillId="0" borderId="0" xfId="1" applyFont="1"/>
    <xf numFmtId="0" fontId="38" fillId="0" borderId="0" xfId="20" applyFont="1" applyAlignment="1"/>
    <xf numFmtId="0" fontId="27" fillId="0" borderId="0" xfId="20" applyFont="1" applyAlignment="1">
      <alignment horizontal="center"/>
    </xf>
    <xf numFmtId="0" fontId="38" fillId="0" borderId="58" xfId="20" applyFont="1" applyBorder="1" applyAlignment="1">
      <alignment horizontal="center"/>
    </xf>
    <xf numFmtId="0" fontId="39" fillId="0" borderId="13" xfId="20" applyFont="1" applyBorder="1"/>
    <xf numFmtId="0" fontId="38" fillId="0" borderId="0" xfId="20" applyFont="1" applyBorder="1" applyAlignment="1">
      <alignment horizontal="center"/>
    </xf>
    <xf numFmtId="4" fontId="27" fillId="0" borderId="23" xfId="20" applyNumberFormat="1" applyFont="1" applyBorder="1"/>
    <xf numFmtId="0" fontId="27" fillId="0" borderId="13" xfId="20" applyFont="1" applyBorder="1"/>
    <xf numFmtId="2" fontId="27" fillId="0" borderId="0" xfId="20" applyNumberFormat="1" applyFont="1" applyBorder="1"/>
    <xf numFmtId="3" fontId="27" fillId="0" borderId="23" xfId="20" applyNumberFormat="1" applyFont="1" applyBorder="1"/>
    <xf numFmtId="0" fontId="38" fillId="0" borderId="13" xfId="20" applyFont="1" applyBorder="1"/>
    <xf numFmtId="3" fontId="38" fillId="0" borderId="0" xfId="20" applyNumberFormat="1" applyFont="1" applyBorder="1"/>
    <xf numFmtId="0" fontId="38" fillId="0" borderId="55" xfId="20" applyFont="1" applyBorder="1"/>
    <xf numFmtId="0" fontId="27" fillId="0" borderId="56" xfId="20" applyFont="1" applyBorder="1"/>
    <xf numFmtId="171" fontId="38" fillId="0" borderId="54" xfId="1" applyFont="1" applyBorder="1"/>
    <xf numFmtId="0" fontId="40" fillId="0" borderId="0" xfId="20" applyFont="1"/>
    <xf numFmtId="0" fontId="38" fillId="0" borderId="0" xfId="20" applyFont="1" applyBorder="1"/>
    <xf numFmtId="171" fontId="38" fillId="0" borderId="0" xfId="1" applyFont="1" applyBorder="1"/>
    <xf numFmtId="4" fontId="38" fillId="0" borderId="59" xfId="20" applyNumberFormat="1" applyFont="1" applyBorder="1"/>
    <xf numFmtId="4" fontId="38" fillId="0" borderId="60" xfId="20" applyNumberFormat="1" applyFont="1" applyBorder="1"/>
    <xf numFmtId="4" fontId="38" fillId="0" borderId="0" xfId="20" applyNumberFormat="1" applyFont="1" applyBorder="1"/>
    <xf numFmtId="3" fontId="27" fillId="0" borderId="0" xfId="20" applyNumberFormat="1" applyFont="1" applyBorder="1"/>
    <xf numFmtId="3" fontId="27" fillId="0" borderId="18" xfId="20" applyNumberFormat="1" applyFont="1" applyBorder="1"/>
    <xf numFmtId="4" fontId="27" fillId="0" borderId="18" xfId="20" applyNumberFormat="1" applyFont="1" applyBorder="1"/>
    <xf numFmtId="10" fontId="27" fillId="0" borderId="0" xfId="21" applyNumberFormat="1" applyFont="1" applyBorder="1"/>
    <xf numFmtId="9" fontId="27" fillId="0" borderId="0" xfId="22" applyFont="1" applyBorder="1"/>
    <xf numFmtId="10" fontId="27" fillId="0" borderId="0" xfId="22" applyNumberFormat="1" applyFont="1" applyBorder="1"/>
    <xf numFmtId="0" fontId="38" fillId="0" borderId="59" xfId="20" applyFont="1" applyBorder="1"/>
    <xf numFmtId="0" fontId="27" fillId="0" borderId="59" xfId="20" applyFont="1" applyBorder="1"/>
    <xf numFmtId="0" fontId="38" fillId="0" borderId="1" xfId="20" applyFont="1" applyBorder="1" applyAlignment="1">
      <alignment horizontal="center" vertical="center" wrapText="1"/>
    </xf>
    <xf numFmtId="0" fontId="38" fillId="0" borderId="61" xfId="20" applyFont="1" applyBorder="1" applyAlignment="1">
      <alignment horizontal="center" vertical="center" wrapText="1"/>
    </xf>
    <xf numFmtId="0" fontId="38" fillId="0" borderId="2" xfId="20" applyFont="1" applyBorder="1" applyAlignment="1">
      <alignment horizontal="center" vertical="center" wrapText="1"/>
    </xf>
    <xf numFmtId="0" fontId="38" fillId="0" borderId="3" xfId="20" applyFont="1" applyBorder="1" applyAlignment="1">
      <alignment horizontal="center" vertical="center" wrapText="1"/>
    </xf>
    <xf numFmtId="0" fontId="38" fillId="3" borderId="58" xfId="20" applyFont="1" applyFill="1" applyBorder="1" applyAlignment="1">
      <alignment horizontal="center" vertical="center" wrapText="1"/>
    </xf>
    <xf numFmtId="0" fontId="38" fillId="0" borderId="58" xfId="20" applyFont="1" applyFill="1" applyBorder="1" applyAlignment="1">
      <alignment horizontal="center" vertical="center" wrapText="1"/>
    </xf>
    <xf numFmtId="0" fontId="38" fillId="0" borderId="4" xfId="20" applyFont="1" applyBorder="1" applyAlignment="1">
      <alignment horizontal="center"/>
    </xf>
    <xf numFmtId="0" fontId="27" fillId="0" borderId="4" xfId="20" applyFont="1" applyBorder="1" applyAlignment="1"/>
    <xf numFmtId="0" fontId="27" fillId="0" borderId="16" xfId="20" applyFont="1" applyBorder="1" applyAlignment="1"/>
    <xf numFmtId="0" fontId="27" fillId="0" borderId="5" xfId="20" applyFont="1" applyBorder="1" applyAlignment="1"/>
    <xf numFmtId="3" fontId="27" fillId="0" borderId="6" xfId="20" applyNumberFormat="1" applyFont="1" applyFill="1" applyBorder="1" applyAlignment="1"/>
    <xf numFmtId="3" fontId="38" fillId="3" borderId="62" xfId="20" applyNumberFormat="1" applyFont="1" applyFill="1" applyBorder="1" applyAlignment="1"/>
    <xf numFmtId="3" fontId="38" fillId="0" borderId="62" xfId="20" applyNumberFormat="1" applyFont="1" applyFill="1" applyBorder="1" applyAlignment="1"/>
    <xf numFmtId="0" fontId="38" fillId="0" borderId="4" xfId="20" applyFont="1" applyFill="1" applyBorder="1" applyAlignment="1">
      <alignment horizontal="center"/>
    </xf>
    <xf numFmtId="3" fontId="27" fillId="0" borderId="4" xfId="20" applyNumberFormat="1" applyFont="1" applyFill="1" applyBorder="1" applyAlignment="1"/>
    <xf numFmtId="3" fontId="27" fillId="0" borderId="16" xfId="20" applyNumberFormat="1" applyFont="1" applyFill="1" applyBorder="1" applyAlignment="1"/>
    <xf numFmtId="3" fontId="27" fillId="0" borderId="5" xfId="20" applyNumberFormat="1" applyFont="1" applyFill="1" applyBorder="1" applyAlignment="1"/>
    <xf numFmtId="3" fontId="27" fillId="0" borderId="62" xfId="20" applyNumberFormat="1" applyFont="1" applyFill="1" applyBorder="1" applyAlignment="1"/>
    <xf numFmtId="4" fontId="27" fillId="0" borderId="62" xfId="20" applyNumberFormat="1" applyFont="1" applyFill="1" applyBorder="1" applyAlignment="1"/>
    <xf numFmtId="4" fontId="38" fillId="3" borderId="62" xfId="20" applyNumberFormat="1" applyFont="1" applyFill="1" applyBorder="1" applyAlignment="1"/>
    <xf numFmtId="3" fontId="27" fillId="0" borderId="4" xfId="20" applyNumberFormat="1" applyFont="1" applyBorder="1" applyAlignment="1"/>
    <xf numFmtId="3" fontId="27" fillId="0" borderId="16" xfId="20" applyNumberFormat="1" applyFont="1" applyBorder="1" applyAlignment="1"/>
    <xf numFmtId="3" fontId="27" fillId="0" borderId="5" xfId="20" applyNumberFormat="1" applyFont="1" applyBorder="1" applyAlignment="1"/>
    <xf numFmtId="3" fontId="27" fillId="0" borderId="6" xfId="20" applyNumberFormat="1" applyFont="1" applyBorder="1" applyAlignment="1"/>
    <xf numFmtId="0" fontId="38" fillId="0" borderId="7" xfId="20" applyFont="1" applyBorder="1" applyAlignment="1">
      <alignment horizontal="center"/>
    </xf>
    <xf numFmtId="3" fontId="27" fillId="0" borderId="7" xfId="20" applyNumberFormat="1" applyFont="1" applyBorder="1" applyAlignment="1"/>
    <xf numFmtId="3" fontId="27" fillId="0" borderId="48" xfId="20" applyNumberFormat="1" applyFont="1" applyBorder="1" applyAlignment="1"/>
    <xf numFmtId="3" fontId="27" fillId="0" borderId="8" xfId="20" applyNumberFormat="1" applyFont="1" applyBorder="1" applyAlignment="1"/>
    <xf numFmtId="3" fontId="27" fillId="0" borderId="9" xfId="20" applyNumberFormat="1" applyFont="1" applyBorder="1" applyAlignment="1"/>
    <xf numFmtId="3" fontId="38" fillId="3" borderId="63" xfId="20" applyNumberFormat="1" applyFont="1" applyFill="1" applyBorder="1" applyAlignment="1"/>
    <xf numFmtId="4" fontId="38" fillId="3" borderId="63" xfId="20" applyNumberFormat="1" applyFont="1" applyFill="1" applyBorder="1" applyAlignment="1"/>
    <xf numFmtId="0" fontId="38" fillId="0" borderId="10" xfId="20" applyFont="1" applyBorder="1" applyAlignment="1">
      <alignment horizontal="center"/>
    </xf>
    <xf numFmtId="3" fontId="27" fillId="0" borderId="10" xfId="20" applyNumberFormat="1" applyFont="1" applyBorder="1" applyAlignment="1"/>
    <xf numFmtId="3" fontId="27" fillId="0" borderId="11" xfId="20" applyNumberFormat="1" applyFont="1" applyBorder="1" applyAlignment="1"/>
    <xf numFmtId="3" fontId="27" fillId="0" borderId="12" xfId="20" applyNumberFormat="1" applyFont="1" applyBorder="1" applyAlignment="1"/>
    <xf numFmtId="3" fontId="38" fillId="3" borderId="64" xfId="20" applyNumberFormat="1" applyFont="1" applyFill="1" applyBorder="1" applyAlignment="1"/>
    <xf numFmtId="3" fontId="27" fillId="0" borderId="64" xfId="20" applyNumberFormat="1" applyFont="1" applyFill="1" applyBorder="1" applyAlignment="1"/>
    <xf numFmtId="4" fontId="38" fillId="3" borderId="64" xfId="20" applyNumberFormat="1" applyFont="1" applyFill="1" applyBorder="1" applyAlignment="1"/>
    <xf numFmtId="3" fontId="38" fillId="0" borderId="54" xfId="20" applyNumberFormat="1" applyFont="1" applyBorder="1"/>
    <xf numFmtId="171" fontId="27" fillId="0" borderId="0" xfId="1" applyFont="1"/>
    <xf numFmtId="171" fontId="38" fillId="0" borderId="59" xfId="1" applyFont="1" applyBorder="1"/>
    <xf numFmtId="171" fontId="13" fillId="0" borderId="55" xfId="1" applyFont="1" applyBorder="1" applyAlignment="1">
      <alignment horizontal="center"/>
    </xf>
    <xf numFmtId="171" fontId="13" fillId="0" borderId="56" xfId="1" applyFont="1" applyBorder="1" applyAlignment="1">
      <alignment horizontal="center"/>
    </xf>
    <xf numFmtId="171" fontId="13" fillId="0" borderId="57" xfId="1" applyFont="1" applyBorder="1" applyAlignment="1">
      <alignment horizontal="center"/>
    </xf>
    <xf numFmtId="171" fontId="13" fillId="0" borderId="13" xfId="1" applyFont="1" applyBorder="1"/>
    <xf numFmtId="171" fontId="13" fillId="0" borderId="0" xfId="1" applyFont="1" applyBorder="1"/>
    <xf numFmtId="171" fontId="13" fillId="0" borderId="52" xfId="1" applyFont="1" applyBorder="1"/>
    <xf numFmtId="171" fontId="13" fillId="0" borderId="53" xfId="1" applyFont="1" applyBorder="1"/>
    <xf numFmtId="171" fontId="13" fillId="0" borderId="21" xfId="1" applyFont="1" applyBorder="1"/>
    <xf numFmtId="171" fontId="13" fillId="0" borderId="49" xfId="1" applyFont="1" applyBorder="1"/>
    <xf numFmtId="171" fontId="13" fillId="0" borderId="0" xfId="1" applyFont="1"/>
    <xf numFmtId="171" fontId="27" fillId="0" borderId="23" xfId="1" applyFont="1" applyBorder="1"/>
    <xf numFmtId="171" fontId="1" fillId="0" borderId="0" xfId="20" applyNumberFormat="1"/>
    <xf numFmtId="3" fontId="38" fillId="0" borderId="24" xfId="20" applyNumberFormat="1" applyFont="1" applyBorder="1"/>
    <xf numFmtId="4" fontId="38" fillId="0" borderId="24" xfId="20" applyNumberFormat="1" applyFont="1" applyBorder="1"/>
    <xf numFmtId="4" fontId="27" fillId="0" borderId="64" xfId="20" applyNumberFormat="1" applyFont="1" applyFill="1" applyBorder="1" applyAlignment="1"/>
    <xf numFmtId="171" fontId="1" fillId="0" borderId="0" xfId="1" applyFont="1"/>
    <xf numFmtId="194" fontId="5" fillId="0" borderId="0" xfId="20" applyNumberFormat="1" applyFont="1" applyBorder="1"/>
    <xf numFmtId="10" fontId="10" fillId="3" borderId="16" xfId="21" applyNumberFormat="1" applyFont="1" applyFill="1" applyBorder="1" applyAlignment="1">
      <alignment horizontal="right"/>
    </xf>
    <xf numFmtId="0" fontId="42" fillId="0" borderId="0" xfId="20" applyFont="1"/>
    <xf numFmtId="205" fontId="20" fillId="0" borderId="37" xfId="16" quotePrefix="1" applyNumberFormat="1" applyFont="1" applyBorder="1" applyAlignment="1">
      <alignment horizontal="right"/>
    </xf>
    <xf numFmtId="205" fontId="20" fillId="0" borderId="37" xfId="11" quotePrefix="1" applyNumberFormat="1" applyFont="1" applyBorder="1" applyAlignment="1">
      <alignment horizontal="right"/>
    </xf>
    <xf numFmtId="171" fontId="35" fillId="0" borderId="0" xfId="1" applyFont="1" applyFill="1"/>
    <xf numFmtId="0" fontId="41" fillId="0" borderId="0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43" fillId="0" borderId="0" xfId="20" applyFont="1" applyAlignment="1">
      <alignment horizontal="center"/>
    </xf>
    <xf numFmtId="0" fontId="43" fillId="0" borderId="55" xfId="20" applyFont="1" applyBorder="1" applyAlignment="1">
      <alignment horizontal="center"/>
    </xf>
    <xf numFmtId="0" fontId="43" fillId="0" borderId="56" xfId="20" applyFont="1" applyBorder="1" applyAlignment="1">
      <alignment horizontal="center"/>
    </xf>
    <xf numFmtId="0" fontId="43" fillId="0" borderId="57" xfId="2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3" fillId="0" borderId="50" xfId="20" applyFont="1" applyBorder="1" applyAlignment="1">
      <alignment horizontal="center"/>
    </xf>
    <xf numFmtId="0" fontId="13" fillId="0" borderId="20" xfId="20" applyFont="1" applyBorder="1" applyAlignment="1">
      <alignment horizontal="center"/>
    </xf>
    <xf numFmtId="0" fontId="13" fillId="0" borderId="51" xfId="20" applyFont="1" applyBorder="1" applyAlignment="1">
      <alignment horizontal="center"/>
    </xf>
    <xf numFmtId="0" fontId="38" fillId="0" borderId="55" xfId="20" applyFont="1" applyBorder="1" applyAlignment="1">
      <alignment horizontal="center" vertical="center" wrapText="1"/>
    </xf>
    <xf numFmtId="0" fontId="38" fillId="0" borderId="56" xfId="20" applyFont="1" applyBorder="1" applyAlignment="1">
      <alignment horizontal="center" vertical="center" wrapText="1"/>
    </xf>
    <xf numFmtId="0" fontId="38" fillId="0" borderId="57" xfId="20" applyFont="1" applyBorder="1" applyAlignment="1">
      <alignment horizontal="center" vertical="center" wrapText="1"/>
    </xf>
    <xf numFmtId="0" fontId="1" fillId="0" borderId="22" xfId="20" applyBorder="1" applyAlignment="1">
      <alignment horizontal="center" vertical="center" wrapText="1"/>
    </xf>
    <xf numFmtId="0" fontId="1" fillId="0" borderId="23" xfId="20" applyBorder="1" applyAlignment="1">
      <alignment horizontal="center" vertical="center" wrapText="1"/>
    </xf>
    <xf numFmtId="0" fontId="1" fillId="0" borderId="24" xfId="20" applyBorder="1" applyAlignment="1">
      <alignment horizontal="center" vertical="center" wrapText="1"/>
    </xf>
    <xf numFmtId="0" fontId="38" fillId="0" borderId="1" xfId="20" applyFont="1" applyBorder="1" applyAlignment="1">
      <alignment horizontal="center"/>
    </xf>
    <xf numFmtId="0" fontId="38" fillId="0" borderId="2" xfId="20" applyFont="1" applyBorder="1" applyAlignment="1">
      <alignment horizontal="center"/>
    </xf>
    <xf numFmtId="0" fontId="42" fillId="0" borderId="0" xfId="20" applyFont="1" applyAlignment="1">
      <alignment horizontal="center"/>
    </xf>
  </cellXfs>
  <cellStyles count="23">
    <cellStyle name="Millares" xfId="1" builtinId="3"/>
    <cellStyle name="Millares [0] 2" xfId="2"/>
    <cellStyle name="Millares [0] 3" xfId="3"/>
    <cellStyle name="Millares [0] 4" xfId="4"/>
    <cellStyle name="Millares [0] 5" xfId="5"/>
    <cellStyle name="Millares [0] 6" xfId="6"/>
    <cellStyle name="Millares [0] 7" xfId="7"/>
    <cellStyle name="Millares [0] 8" xfId="8"/>
    <cellStyle name="Millares [0] 9" xfId="9"/>
    <cellStyle name="Millares 10" xfId="10"/>
    <cellStyle name="Millares 11" xfId="11"/>
    <cellStyle name="Millares 2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9" xfId="19"/>
    <cellStyle name="Normal" xfId="0" builtinId="0"/>
    <cellStyle name="Normal 2" xfId="20"/>
    <cellStyle name="Porcentual" xfId="21" builtinId="5"/>
    <cellStyle name="Porcentual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76</xdr:row>
      <xdr:rowOff>0</xdr:rowOff>
    </xdr:from>
    <xdr:to>
      <xdr:col>8</xdr:col>
      <xdr:colOff>762000</xdr:colOff>
      <xdr:row>76</xdr:row>
      <xdr:rowOff>0</xdr:rowOff>
    </xdr:to>
    <xdr:pic>
      <xdr:nvPicPr>
        <xdr:cNvPr id="73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617" t="2605" r="62500" b="76302"/>
        <a:stretch>
          <a:fillRect/>
        </a:stretch>
      </xdr:blipFill>
      <xdr:spPr bwMode="auto">
        <a:xfrm>
          <a:off x="7477125" y="1590675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3:M607"/>
  <sheetViews>
    <sheetView showGridLines="0" topLeftCell="A381" workbookViewId="0">
      <selection activeCell="E395" sqref="E395"/>
    </sheetView>
  </sheetViews>
  <sheetFormatPr baseColWidth="10" defaultRowHeight="12.75"/>
  <cols>
    <col min="1" max="1" width="14.42578125" style="44" customWidth="1"/>
    <col min="2" max="2" width="36.42578125" style="6" customWidth="1"/>
    <col min="3" max="4" width="22.7109375" style="6" customWidth="1"/>
    <col min="5" max="6" width="11.42578125" style="45" customWidth="1"/>
    <col min="7" max="12" width="11.42578125" style="6" customWidth="1"/>
    <col min="13" max="13" width="11.85546875" style="6" bestFit="1" customWidth="1"/>
    <col min="14" max="16384" width="11.42578125" style="6"/>
  </cols>
  <sheetData>
    <row r="3" spans="1:4">
      <c r="A3" s="44" t="s">
        <v>37</v>
      </c>
      <c r="B3" s="6" t="s">
        <v>38</v>
      </c>
      <c r="C3" s="6" t="s">
        <v>39</v>
      </c>
      <c r="D3" s="6" t="s">
        <v>40</v>
      </c>
    </row>
    <row r="4" spans="1:4">
      <c r="A4" s="44" t="s">
        <v>41</v>
      </c>
      <c r="B4" s="6" t="s">
        <v>42</v>
      </c>
      <c r="C4" s="6" t="s">
        <v>43</v>
      </c>
      <c r="D4" s="6" t="s">
        <v>44</v>
      </c>
    </row>
    <row r="6" spans="1:4">
      <c r="B6" s="6" t="s">
        <v>45</v>
      </c>
      <c r="C6" s="6" t="s">
        <v>46</v>
      </c>
    </row>
    <row r="9" spans="1:4">
      <c r="A9" s="44" t="s">
        <v>47</v>
      </c>
      <c r="C9" s="6" t="s">
        <v>48</v>
      </c>
      <c r="D9" s="6" t="s">
        <v>49</v>
      </c>
    </row>
    <row r="10" spans="1:4">
      <c r="A10" s="44" t="s">
        <v>50</v>
      </c>
      <c r="B10" s="6" t="s">
        <v>51</v>
      </c>
      <c r="C10" s="6" t="s">
        <v>52</v>
      </c>
      <c r="D10" s="6" t="s">
        <v>53</v>
      </c>
    </row>
    <row r="12" spans="1:4">
      <c r="A12" s="44">
        <v>4</v>
      </c>
      <c r="B12" s="6" t="s">
        <v>54</v>
      </c>
    </row>
    <row r="13" spans="1:4">
      <c r="B13" s="6" t="s">
        <v>55</v>
      </c>
    </row>
    <row r="14" spans="1:4">
      <c r="A14" s="44">
        <v>402</v>
      </c>
      <c r="B14" s="6" t="s">
        <v>56</v>
      </c>
    </row>
    <row r="15" spans="1:4">
      <c r="A15" s="44">
        <v>40201</v>
      </c>
      <c r="B15" s="6" t="s">
        <v>57</v>
      </c>
    </row>
    <row r="16" spans="1:4">
      <c r="A16" s="44">
        <v>4020101</v>
      </c>
      <c r="B16" s="6" t="s">
        <v>58</v>
      </c>
    </row>
    <row r="17" spans="1:13" ht="15">
      <c r="A17" s="44">
        <v>402010108</v>
      </c>
      <c r="B17" s="6" t="s">
        <v>59</v>
      </c>
      <c r="J17" s="46"/>
      <c r="L17" s="47"/>
    </row>
    <row r="18" spans="1:13" ht="15">
      <c r="A18" s="44">
        <v>402010108002</v>
      </c>
      <c r="B18" s="6" t="s">
        <v>60</v>
      </c>
      <c r="C18" s="46">
        <v>2330.46</v>
      </c>
      <c r="D18" s="46">
        <v>15093.42</v>
      </c>
      <c r="J18" s="46"/>
      <c r="L18" s="47"/>
    </row>
    <row r="19" spans="1:13">
      <c r="A19" s="44">
        <v>402010108017</v>
      </c>
      <c r="B19" s="6" t="s">
        <v>61</v>
      </c>
      <c r="C19" s="6">
        <v>234</v>
      </c>
      <c r="D19" s="46">
        <v>1110.8</v>
      </c>
      <c r="J19" s="48"/>
      <c r="L19" s="48"/>
    </row>
    <row r="20" spans="1:13">
      <c r="A20" s="44">
        <v>402010108020</v>
      </c>
      <c r="B20" s="6" t="s">
        <v>62</v>
      </c>
      <c r="C20" s="46">
        <v>3749.99</v>
      </c>
      <c r="D20" s="46">
        <v>3749.99</v>
      </c>
    </row>
    <row r="21" spans="1:13" ht="15">
      <c r="C21" s="6" t="s">
        <v>63</v>
      </c>
      <c r="D21" s="6" t="s">
        <v>63</v>
      </c>
      <c r="J21" s="46"/>
      <c r="K21" s="46"/>
      <c r="L21" s="47"/>
      <c r="M21" s="49"/>
    </row>
    <row r="22" spans="1:13" ht="15">
      <c r="C22" s="46">
        <v>6314.45</v>
      </c>
      <c r="D22" s="46">
        <v>19954.21</v>
      </c>
      <c r="E22" s="45" t="s">
        <v>64</v>
      </c>
      <c r="J22" s="46"/>
      <c r="K22" s="46"/>
      <c r="L22" s="47"/>
      <c r="M22" s="49"/>
    </row>
    <row r="23" spans="1:13">
      <c r="A23" s="44">
        <v>402010121</v>
      </c>
      <c r="B23" s="6" t="s">
        <v>65</v>
      </c>
      <c r="J23" s="48"/>
      <c r="K23" s="48"/>
      <c r="L23" s="46"/>
    </row>
    <row r="24" spans="1:13">
      <c r="A24" s="44">
        <v>402010121002</v>
      </c>
      <c r="B24" s="6" t="s">
        <v>66</v>
      </c>
      <c r="C24" s="6">
        <v>0</v>
      </c>
      <c r="D24" s="6">
        <v>55</v>
      </c>
    </row>
    <row r="25" spans="1:13">
      <c r="C25" s="6" t="s">
        <v>63</v>
      </c>
      <c r="D25" s="6" t="s">
        <v>63</v>
      </c>
    </row>
    <row r="26" spans="1:13">
      <c r="C26" s="6">
        <v>0</v>
      </c>
      <c r="D26" s="6">
        <v>55</v>
      </c>
      <c r="E26" s="45" t="s">
        <v>64</v>
      </c>
    </row>
    <row r="27" spans="1:13">
      <c r="A27" s="44">
        <v>402010130</v>
      </c>
      <c r="B27" s="6" t="s">
        <v>67</v>
      </c>
    </row>
    <row r="28" spans="1:13">
      <c r="A28" s="44">
        <v>402010130001</v>
      </c>
      <c r="B28" s="6" t="s">
        <v>68</v>
      </c>
      <c r="C28" s="6">
        <v>30</v>
      </c>
      <c r="D28" s="6">
        <v>540</v>
      </c>
      <c r="E28" s="45" t="s">
        <v>69</v>
      </c>
    </row>
    <row r="29" spans="1:13">
      <c r="A29" s="44">
        <v>402010130003</v>
      </c>
      <c r="B29" s="6" t="s">
        <v>70</v>
      </c>
      <c r="C29" s="6">
        <v>0</v>
      </c>
      <c r="D29" s="6">
        <v>175</v>
      </c>
      <c r="E29" s="45" t="s">
        <v>69</v>
      </c>
    </row>
    <row r="30" spans="1:13">
      <c r="A30" s="44">
        <v>402010130005</v>
      </c>
      <c r="B30" s="6" t="s">
        <v>71</v>
      </c>
      <c r="C30" s="6">
        <v>0</v>
      </c>
      <c r="D30" s="46">
        <v>5001.75</v>
      </c>
      <c r="E30" s="45" t="s">
        <v>69</v>
      </c>
    </row>
    <row r="31" spans="1:13">
      <c r="A31" s="44">
        <v>402010130006</v>
      </c>
      <c r="B31" s="6" t="s">
        <v>72</v>
      </c>
      <c r="C31" s="46">
        <v>1911.06</v>
      </c>
      <c r="D31" s="46">
        <v>254208.25</v>
      </c>
      <c r="E31" s="45" t="s">
        <v>69</v>
      </c>
    </row>
    <row r="32" spans="1:13">
      <c r="A32" s="44">
        <v>402010130007</v>
      </c>
      <c r="B32" s="6" t="s">
        <v>73</v>
      </c>
      <c r="C32" s="6">
        <v>0</v>
      </c>
      <c r="D32" s="46">
        <v>621057.06999999995</v>
      </c>
      <c r="E32" s="45" t="s">
        <v>69</v>
      </c>
    </row>
    <row r="33" spans="1:5">
      <c r="A33" s="44">
        <v>402010130009</v>
      </c>
      <c r="B33" s="6" t="s">
        <v>74</v>
      </c>
      <c r="C33" s="6">
        <v>0</v>
      </c>
      <c r="D33" s="6">
        <v>180</v>
      </c>
      <c r="E33" s="45" t="s">
        <v>69</v>
      </c>
    </row>
    <row r="34" spans="1:5">
      <c r="A34" s="44">
        <v>402010130010</v>
      </c>
      <c r="B34" s="6" t="s">
        <v>75</v>
      </c>
      <c r="C34" s="6">
        <v>0</v>
      </c>
      <c r="D34" s="6">
        <v>280</v>
      </c>
      <c r="E34" s="45" t="s">
        <v>69</v>
      </c>
    </row>
    <row r="35" spans="1:5">
      <c r="A35" s="44">
        <v>402010130012</v>
      </c>
      <c r="B35" s="6" t="s">
        <v>76</v>
      </c>
      <c r="C35" s="6">
        <v>175</v>
      </c>
      <c r="D35" s="6">
        <v>289.75</v>
      </c>
      <c r="E35" s="45" t="s">
        <v>64</v>
      </c>
    </row>
    <row r="36" spans="1:5">
      <c r="C36" s="6" t="s">
        <v>63</v>
      </c>
      <c r="D36" s="6" t="s">
        <v>63</v>
      </c>
    </row>
    <row r="37" spans="1:5">
      <c r="C37" s="46">
        <v>2116.06</v>
      </c>
      <c r="D37" s="46">
        <v>881731.82</v>
      </c>
    </row>
    <row r="38" spans="1:5">
      <c r="A38" s="44">
        <v>402010131</v>
      </c>
      <c r="B38" s="6" t="s">
        <v>77</v>
      </c>
    </row>
    <row r="39" spans="1:5">
      <c r="A39" s="44">
        <v>402010131001</v>
      </c>
      <c r="B39" s="6" t="s">
        <v>78</v>
      </c>
      <c r="C39" s="6">
        <v>0</v>
      </c>
      <c r="D39" s="46">
        <v>4414.8</v>
      </c>
    </row>
    <row r="40" spans="1:5">
      <c r="A40" s="44">
        <v>402010131006</v>
      </c>
      <c r="B40" s="6" t="s">
        <v>79</v>
      </c>
      <c r="C40" s="6">
        <v>0</v>
      </c>
      <c r="D40" s="46">
        <v>4000</v>
      </c>
    </row>
    <row r="41" spans="1:5">
      <c r="C41" s="6" t="s">
        <v>63</v>
      </c>
      <c r="D41" s="6" t="s">
        <v>63</v>
      </c>
    </row>
    <row r="42" spans="1:5">
      <c r="C42" s="6">
        <v>0</v>
      </c>
      <c r="D42" s="46">
        <v>8414.7999999999993</v>
      </c>
      <c r="E42" s="45" t="s">
        <v>64</v>
      </c>
    </row>
    <row r="43" spans="1:5">
      <c r="A43" s="44">
        <v>40203</v>
      </c>
      <c r="B43" s="6" t="s">
        <v>80</v>
      </c>
    </row>
    <row r="44" spans="1:5">
      <c r="A44" s="44">
        <v>4020301</v>
      </c>
      <c r="B44" s="6" t="s">
        <v>81</v>
      </c>
    </row>
    <row r="45" spans="1:5">
      <c r="A45" s="44">
        <v>402030130</v>
      </c>
      <c r="B45" s="6" t="s">
        <v>67</v>
      </c>
    </row>
    <row r="46" spans="1:5">
      <c r="A46" s="44">
        <v>402030130002</v>
      </c>
      <c r="B46" s="6" t="s">
        <v>82</v>
      </c>
      <c r="C46" s="6">
        <v>0</v>
      </c>
      <c r="D46" s="6">
        <v>108.9</v>
      </c>
    </row>
    <row r="47" spans="1:5">
      <c r="A47" s="44">
        <v>402030130004</v>
      </c>
      <c r="B47" s="6" t="s">
        <v>83</v>
      </c>
      <c r="C47" s="6">
        <v>205.64</v>
      </c>
      <c r="D47" s="46">
        <v>1391.78</v>
      </c>
    </row>
    <row r="48" spans="1:5">
      <c r="A48" s="44">
        <v>402030130005</v>
      </c>
      <c r="B48" s="6" t="s">
        <v>71</v>
      </c>
      <c r="C48" s="6">
        <v>318.14999999999998</v>
      </c>
      <c r="D48" s="46">
        <v>2175.9299999999998</v>
      </c>
    </row>
    <row r="49" spans="1:5">
      <c r="A49" s="44">
        <v>402030130006</v>
      </c>
      <c r="B49" s="6" t="s">
        <v>72</v>
      </c>
      <c r="C49" s="46">
        <v>18684.45</v>
      </c>
      <c r="D49" s="46">
        <v>159620.71</v>
      </c>
    </row>
    <row r="50" spans="1:5">
      <c r="A50" s="44">
        <v>402030130007</v>
      </c>
      <c r="B50" s="6" t="s">
        <v>73</v>
      </c>
      <c r="C50" s="6">
        <v>497.7</v>
      </c>
      <c r="D50" s="46">
        <v>13168.81</v>
      </c>
    </row>
    <row r="51" spans="1:5">
      <c r="A51" s="44">
        <v>402030130008</v>
      </c>
      <c r="B51" s="6" t="s">
        <v>75</v>
      </c>
      <c r="C51" s="6">
        <v>0</v>
      </c>
      <c r="D51" s="6">
        <v>145.80000000000001</v>
      </c>
    </row>
    <row r="52" spans="1:5">
      <c r="A52" s="44">
        <v>402030130010</v>
      </c>
      <c r="B52" s="6" t="s">
        <v>84</v>
      </c>
      <c r="C52" s="6">
        <v>0</v>
      </c>
      <c r="D52" s="46">
        <v>4011.57</v>
      </c>
    </row>
    <row r="53" spans="1:5">
      <c r="C53" s="6" t="s">
        <v>63</v>
      </c>
      <c r="D53" s="6" t="s">
        <v>63</v>
      </c>
    </row>
    <row r="54" spans="1:5">
      <c r="C54" s="46">
        <v>19705.939999999999</v>
      </c>
      <c r="D54" s="46">
        <v>180623.5</v>
      </c>
      <c r="E54" s="45" t="s">
        <v>69</v>
      </c>
    </row>
    <row r="55" spans="1:5">
      <c r="A55" s="44">
        <v>402030153</v>
      </c>
      <c r="B55" s="6" t="s">
        <v>85</v>
      </c>
    </row>
    <row r="56" spans="1:5">
      <c r="A56" s="44">
        <v>402030153002</v>
      </c>
      <c r="B56" s="6" t="s">
        <v>60</v>
      </c>
      <c r="C56" s="46">
        <v>1056</v>
      </c>
      <c r="D56" s="6" t="s">
        <v>86</v>
      </c>
    </row>
    <row r="59" spans="1:5">
      <c r="A59" s="44" t="s">
        <v>37</v>
      </c>
      <c r="B59" s="6" t="s">
        <v>38</v>
      </c>
      <c r="C59" s="6" t="s">
        <v>39</v>
      </c>
      <c r="D59" s="6" t="s">
        <v>87</v>
      </c>
    </row>
    <row r="60" spans="1:5">
      <c r="A60" s="44" t="s">
        <v>41</v>
      </c>
      <c r="B60" s="6" t="s">
        <v>42</v>
      </c>
      <c r="C60" s="6" t="s">
        <v>43</v>
      </c>
      <c r="D60" s="6" t="s">
        <v>88</v>
      </c>
    </row>
    <row r="62" spans="1:5">
      <c r="B62" s="6" t="s">
        <v>45</v>
      </c>
      <c r="C62" s="6" t="s">
        <v>46</v>
      </c>
    </row>
    <row r="65" spans="1:5">
      <c r="A65" s="44" t="s">
        <v>47</v>
      </c>
      <c r="C65" s="6" t="s">
        <v>48</v>
      </c>
      <c r="D65" s="6" t="s">
        <v>49</v>
      </c>
    </row>
    <row r="66" spans="1:5">
      <c r="A66" s="44" t="s">
        <v>50</v>
      </c>
      <c r="B66" s="6" t="s">
        <v>51</v>
      </c>
      <c r="C66" s="6" t="s">
        <v>52</v>
      </c>
      <c r="D66" s="6" t="s">
        <v>53</v>
      </c>
    </row>
    <row r="68" spans="1:5">
      <c r="A68" s="44">
        <v>402030153007</v>
      </c>
      <c r="B68" s="6" t="s">
        <v>89</v>
      </c>
      <c r="C68" s="6">
        <v>0</v>
      </c>
      <c r="D68" s="46">
        <v>7046.7</v>
      </c>
    </row>
    <row r="69" spans="1:5">
      <c r="A69" s="44">
        <v>402030153016</v>
      </c>
      <c r="B69" s="6" t="s">
        <v>61</v>
      </c>
      <c r="C69" s="46">
        <v>3541.68</v>
      </c>
      <c r="D69" s="46">
        <v>8709.08</v>
      </c>
    </row>
    <row r="70" spans="1:5">
      <c r="A70" s="44">
        <v>402030153018</v>
      </c>
      <c r="B70" s="6" t="s">
        <v>90</v>
      </c>
      <c r="C70" s="6">
        <v>188.1</v>
      </c>
      <c r="D70" s="6">
        <v>857.7</v>
      </c>
    </row>
    <row r="71" spans="1:5">
      <c r="A71" s="44">
        <v>402030153020</v>
      </c>
      <c r="B71" s="6" t="s">
        <v>91</v>
      </c>
      <c r="C71" s="46">
        <v>2136.12</v>
      </c>
      <c r="D71" s="46">
        <v>26999.91</v>
      </c>
    </row>
    <row r="72" spans="1:5">
      <c r="A72" s="44">
        <v>402030153021</v>
      </c>
      <c r="B72" s="6" t="s">
        <v>92</v>
      </c>
      <c r="C72" s="6">
        <v>0</v>
      </c>
      <c r="D72" s="6">
        <v>178.1</v>
      </c>
    </row>
    <row r="73" spans="1:5">
      <c r="C73" s="6" t="s">
        <v>63</v>
      </c>
      <c r="D73" s="6" t="s">
        <v>63</v>
      </c>
    </row>
    <row r="74" spans="1:5">
      <c r="C74" s="46">
        <v>6921.9</v>
      </c>
      <c r="D74" s="46">
        <v>55412.77</v>
      </c>
      <c r="E74" s="45" t="s">
        <v>64</v>
      </c>
    </row>
    <row r="75" spans="1:5">
      <c r="A75" s="44">
        <v>406</v>
      </c>
      <c r="B75" s="6" t="s">
        <v>93</v>
      </c>
    </row>
    <row r="76" spans="1:5">
      <c r="A76" s="44">
        <v>40601</v>
      </c>
      <c r="B76" s="6" t="s">
        <v>94</v>
      </c>
    </row>
    <row r="77" spans="1:5">
      <c r="A77" s="44">
        <v>4060101</v>
      </c>
      <c r="B77" s="6" t="s">
        <v>95</v>
      </c>
    </row>
    <row r="78" spans="1:5">
      <c r="A78" s="44">
        <v>406010130</v>
      </c>
      <c r="B78" s="6" t="s">
        <v>96</v>
      </c>
    </row>
    <row r="79" spans="1:5">
      <c r="A79" s="44">
        <v>406010130001</v>
      </c>
      <c r="B79" s="6" t="s">
        <v>72</v>
      </c>
      <c r="C79" s="6">
        <v>-364.8</v>
      </c>
      <c r="D79" s="46">
        <v>-90203.15</v>
      </c>
    </row>
    <row r="80" spans="1:5">
      <c r="A80" s="44">
        <v>406010130002</v>
      </c>
      <c r="B80" s="6" t="s">
        <v>73</v>
      </c>
      <c r="C80" s="6">
        <v>0</v>
      </c>
      <c r="D80" s="46">
        <v>-150807.69</v>
      </c>
    </row>
    <row r="81" spans="1:7">
      <c r="A81" s="44">
        <v>406010130003</v>
      </c>
      <c r="B81" s="6" t="s">
        <v>71</v>
      </c>
      <c r="C81" s="6">
        <v>0</v>
      </c>
      <c r="D81" s="6">
        <v>-362.25</v>
      </c>
      <c r="G81" s="46"/>
    </row>
    <row r="82" spans="1:7">
      <c r="A82" s="44">
        <v>406010130005</v>
      </c>
      <c r="B82" s="6" t="s">
        <v>82</v>
      </c>
      <c r="C82" s="6">
        <v>0</v>
      </c>
      <c r="D82" s="6">
        <v>-21.25</v>
      </c>
    </row>
    <row r="83" spans="1:7">
      <c r="A83" s="44">
        <v>406010130006</v>
      </c>
      <c r="B83" s="6" t="s">
        <v>68</v>
      </c>
      <c r="C83" s="6">
        <v>-22.95</v>
      </c>
      <c r="D83" s="6">
        <v>-344.25</v>
      </c>
      <c r="G83" s="46"/>
    </row>
    <row r="84" spans="1:7">
      <c r="A84" s="44">
        <v>406010130007</v>
      </c>
      <c r="B84" s="6" t="s">
        <v>70</v>
      </c>
      <c r="C84" s="6">
        <v>0</v>
      </c>
      <c r="D84" s="6">
        <v>-73.5</v>
      </c>
    </row>
    <row r="85" spans="1:7">
      <c r="A85" s="44">
        <v>406010130008</v>
      </c>
      <c r="B85" s="6" t="s">
        <v>84</v>
      </c>
      <c r="C85" s="6">
        <v>0</v>
      </c>
      <c r="D85" s="46">
        <v>-1998</v>
      </c>
      <c r="G85" s="46"/>
    </row>
    <row r="86" spans="1:7">
      <c r="A86" s="44">
        <v>406010130009</v>
      </c>
      <c r="B86" s="6" t="s">
        <v>74</v>
      </c>
      <c r="C86" s="6">
        <v>0</v>
      </c>
      <c r="D86" s="6">
        <v>-153.9</v>
      </c>
    </row>
    <row r="87" spans="1:7">
      <c r="A87" s="44">
        <v>406010130010</v>
      </c>
      <c r="B87" s="6" t="s">
        <v>75</v>
      </c>
      <c r="C87" s="6">
        <v>-47.5</v>
      </c>
      <c r="D87" s="6">
        <v>-95</v>
      </c>
      <c r="G87" s="46"/>
    </row>
    <row r="88" spans="1:7">
      <c r="C88" s="6" t="s">
        <v>63</v>
      </c>
      <c r="D88" s="6" t="s">
        <v>63</v>
      </c>
    </row>
    <row r="89" spans="1:7">
      <c r="C89" s="6">
        <v>-435.25</v>
      </c>
      <c r="D89" s="46">
        <v>-244058.99</v>
      </c>
      <c r="E89" s="45" t="s">
        <v>97</v>
      </c>
      <c r="G89" s="46"/>
    </row>
    <row r="90" spans="1:7">
      <c r="A90" s="44">
        <v>406010190</v>
      </c>
      <c r="B90" s="6" t="s">
        <v>98</v>
      </c>
    </row>
    <row r="91" spans="1:7">
      <c r="A91" s="44">
        <v>406010190001</v>
      </c>
      <c r="B91" s="6" t="s">
        <v>99</v>
      </c>
      <c r="C91" s="46">
        <v>-2136.12</v>
      </c>
      <c r="D91" s="46">
        <v>-26999.91</v>
      </c>
    </row>
    <row r="92" spans="1:7">
      <c r="C92" s="6" t="s">
        <v>63</v>
      </c>
      <c r="D92" s="6" t="s">
        <v>63</v>
      </c>
    </row>
    <row r="93" spans="1:7">
      <c r="C93" s="46">
        <v>-2136.12</v>
      </c>
      <c r="D93" s="46">
        <v>-26999.91</v>
      </c>
      <c r="E93" s="45" t="s">
        <v>100</v>
      </c>
    </row>
    <row r="94" spans="1:7">
      <c r="A94" s="44">
        <v>40603</v>
      </c>
      <c r="B94" s="6" t="s">
        <v>101</v>
      </c>
      <c r="G94" s="46"/>
    </row>
    <row r="95" spans="1:7">
      <c r="A95" s="44">
        <v>4060301</v>
      </c>
      <c r="B95" s="6" t="s">
        <v>102</v>
      </c>
    </row>
    <row r="96" spans="1:7">
      <c r="A96" s="44">
        <v>406030130</v>
      </c>
      <c r="B96" s="6" t="s">
        <v>96</v>
      </c>
      <c r="G96" s="46"/>
    </row>
    <row r="97" spans="1:7">
      <c r="A97" s="44">
        <v>406030130001</v>
      </c>
      <c r="B97" s="6" t="s">
        <v>82</v>
      </c>
      <c r="C97" s="6">
        <v>0</v>
      </c>
      <c r="D97" s="6">
        <v>-21.25</v>
      </c>
    </row>
    <row r="98" spans="1:7">
      <c r="A98" s="44">
        <v>406030130004</v>
      </c>
      <c r="B98" s="6" t="s">
        <v>71</v>
      </c>
      <c r="C98" s="6">
        <v>-241.5</v>
      </c>
      <c r="D98" s="6">
        <v>-483</v>
      </c>
    </row>
    <row r="99" spans="1:7">
      <c r="A99" s="44">
        <v>406030130005</v>
      </c>
      <c r="B99" s="6" t="s">
        <v>83</v>
      </c>
      <c r="C99" s="6">
        <v>-103.95</v>
      </c>
      <c r="D99" s="6">
        <v>-623.70000000000005</v>
      </c>
    </row>
    <row r="100" spans="1:7">
      <c r="A100" s="44">
        <v>406030130006</v>
      </c>
      <c r="B100" s="6" t="s">
        <v>72</v>
      </c>
      <c r="C100" s="46">
        <v>-5958.4</v>
      </c>
      <c r="D100" s="46">
        <v>-51841.03</v>
      </c>
    </row>
    <row r="101" spans="1:7">
      <c r="A101" s="44">
        <v>406030130007</v>
      </c>
      <c r="B101" s="6" t="s">
        <v>73</v>
      </c>
      <c r="C101" s="6">
        <v>-167.9</v>
      </c>
      <c r="D101" s="46">
        <v>-4365.3999999999996</v>
      </c>
    </row>
    <row r="102" spans="1:7">
      <c r="A102" s="44">
        <v>406030130008</v>
      </c>
      <c r="B102" s="6" t="s">
        <v>84</v>
      </c>
      <c r="C102" s="6">
        <v>0</v>
      </c>
      <c r="D102" s="46">
        <v>-1110</v>
      </c>
    </row>
    <row r="103" spans="1:7">
      <c r="A103" s="44">
        <v>406030130009</v>
      </c>
      <c r="B103" s="6" t="s">
        <v>75</v>
      </c>
      <c r="C103" s="6">
        <v>0</v>
      </c>
      <c r="D103" s="6">
        <v>-47.5</v>
      </c>
      <c r="G103" s="46"/>
    </row>
    <row r="104" spans="1:7">
      <c r="C104" s="6" t="s">
        <v>63</v>
      </c>
      <c r="D104" s="6" t="s">
        <v>63</v>
      </c>
      <c r="G104" s="46"/>
    </row>
    <row r="105" spans="1:7">
      <c r="C105" s="46">
        <v>-6471.75</v>
      </c>
      <c r="D105" s="46">
        <v>-58491.88</v>
      </c>
      <c r="E105" s="45" t="s">
        <v>97</v>
      </c>
      <c r="G105" s="46"/>
    </row>
    <row r="106" spans="1:7">
      <c r="A106" s="44">
        <v>415</v>
      </c>
      <c r="B106" s="6" t="s">
        <v>103</v>
      </c>
      <c r="G106" s="46"/>
    </row>
    <row r="107" spans="1:7">
      <c r="A107" s="44">
        <v>41501</v>
      </c>
      <c r="B107" s="6" t="s">
        <v>104</v>
      </c>
    </row>
    <row r="108" spans="1:7">
      <c r="A108" s="44">
        <v>4150101</v>
      </c>
      <c r="B108" s="6" t="s">
        <v>105</v>
      </c>
      <c r="G108" s="46"/>
    </row>
    <row r="109" spans="1:7">
      <c r="A109" s="44">
        <v>415010103</v>
      </c>
      <c r="B109" s="6" t="s">
        <v>106</v>
      </c>
      <c r="G109" s="46"/>
    </row>
    <row r="110" spans="1:7">
      <c r="A110" s="44">
        <v>415010103007</v>
      </c>
      <c r="B110" s="6" t="s">
        <v>107</v>
      </c>
      <c r="C110" s="6">
        <v>-237.33</v>
      </c>
      <c r="D110" s="46">
        <v>-3754.51</v>
      </c>
      <c r="G110" s="46"/>
    </row>
    <row r="111" spans="1:7">
      <c r="A111" s="44">
        <v>415010103011</v>
      </c>
      <c r="B111" s="6" t="s">
        <v>108</v>
      </c>
      <c r="C111" s="6">
        <v>0</v>
      </c>
      <c r="D111" s="6">
        <v>-228.57</v>
      </c>
      <c r="G111" s="46"/>
    </row>
    <row r="112" spans="1:7">
      <c r="A112" s="44">
        <v>415010103012</v>
      </c>
      <c r="B112" s="6" t="s">
        <v>109</v>
      </c>
      <c r="C112" s="6">
        <v>0</v>
      </c>
      <c r="D112" s="46">
        <v>-1005.71</v>
      </c>
      <c r="G112" s="46"/>
    </row>
    <row r="115" spans="1:7">
      <c r="A115" s="44" t="s">
        <v>37</v>
      </c>
      <c r="B115" s="6" t="s">
        <v>38</v>
      </c>
      <c r="C115" s="6" t="s">
        <v>39</v>
      </c>
      <c r="D115" s="6" t="s">
        <v>110</v>
      </c>
    </row>
    <row r="116" spans="1:7">
      <c r="A116" s="44" t="s">
        <v>41</v>
      </c>
      <c r="B116" s="6" t="s">
        <v>42</v>
      </c>
      <c r="C116" s="6" t="s">
        <v>43</v>
      </c>
      <c r="D116" s="6" t="s">
        <v>111</v>
      </c>
    </row>
    <row r="118" spans="1:7">
      <c r="B118" s="6" t="s">
        <v>45</v>
      </c>
      <c r="C118" s="6" t="s">
        <v>46</v>
      </c>
      <c r="G118" s="46"/>
    </row>
    <row r="119" spans="1:7">
      <c r="G119" s="46"/>
    </row>
    <row r="121" spans="1:7">
      <c r="A121" s="44" t="s">
        <v>47</v>
      </c>
      <c r="C121" s="6" t="s">
        <v>48</v>
      </c>
      <c r="D121" s="6" t="s">
        <v>49</v>
      </c>
    </row>
    <row r="122" spans="1:7">
      <c r="A122" s="44" t="s">
        <v>50</v>
      </c>
      <c r="B122" s="6" t="s">
        <v>51</v>
      </c>
      <c r="C122" s="6" t="s">
        <v>52</v>
      </c>
      <c r="D122" s="6" t="s">
        <v>53</v>
      </c>
    </row>
    <row r="124" spans="1:7">
      <c r="A124" s="44">
        <v>415010103015</v>
      </c>
      <c r="B124" s="6" t="s">
        <v>112</v>
      </c>
      <c r="C124" s="6">
        <v>0</v>
      </c>
      <c r="D124" s="46">
        <v>-1746.5</v>
      </c>
      <c r="G124" s="46"/>
    </row>
    <row r="125" spans="1:7">
      <c r="C125" s="6" t="s">
        <v>63</v>
      </c>
      <c r="D125" s="6" t="s">
        <v>63</v>
      </c>
    </row>
    <row r="126" spans="1:7">
      <c r="C126" s="6">
        <v>-237.33</v>
      </c>
      <c r="D126" s="46">
        <v>-6735.29</v>
      </c>
      <c r="E126" s="45" t="s">
        <v>113</v>
      </c>
      <c r="F126" s="45" t="s">
        <v>114</v>
      </c>
    </row>
    <row r="127" spans="1:7">
      <c r="A127" s="44">
        <v>415010105</v>
      </c>
      <c r="B127" s="6" t="s">
        <v>115</v>
      </c>
    </row>
    <row r="128" spans="1:7">
      <c r="A128" s="44">
        <v>415010105003</v>
      </c>
      <c r="B128" s="6" t="s">
        <v>116</v>
      </c>
    </row>
    <row r="129" spans="1:7">
      <c r="C129" s="6">
        <v>0</v>
      </c>
      <c r="D129" s="6">
        <v>-33.6</v>
      </c>
      <c r="G129" s="46"/>
    </row>
    <row r="130" spans="1:7">
      <c r="A130" s="44">
        <v>415010105009</v>
      </c>
      <c r="B130" s="6" t="s">
        <v>117</v>
      </c>
      <c r="G130" s="46"/>
    </row>
    <row r="131" spans="1:7">
      <c r="C131" s="6">
        <v>-34.26</v>
      </c>
      <c r="D131" s="6">
        <v>-49.16</v>
      </c>
      <c r="G131" s="46"/>
    </row>
    <row r="132" spans="1:7">
      <c r="A132" s="44">
        <v>415010105010</v>
      </c>
      <c r="B132" s="6" t="s">
        <v>118</v>
      </c>
      <c r="C132" s="6">
        <v>-97</v>
      </c>
      <c r="D132" s="46">
        <v>-1066.03</v>
      </c>
      <c r="G132" s="46"/>
    </row>
    <row r="133" spans="1:7">
      <c r="A133" s="44">
        <v>415010105018</v>
      </c>
      <c r="B133" s="6" t="s">
        <v>119</v>
      </c>
      <c r="C133" s="46">
        <v>-5027.2299999999996</v>
      </c>
      <c r="D133" s="46">
        <v>-5027.2299999999996</v>
      </c>
    </row>
    <row r="134" spans="1:7">
      <c r="A134" s="44">
        <v>415010105020</v>
      </c>
      <c r="B134" s="6" t="s">
        <v>120</v>
      </c>
      <c r="C134" s="6">
        <v>-131.19</v>
      </c>
      <c r="D134" s="6">
        <v>-705.93</v>
      </c>
    </row>
    <row r="135" spans="1:7">
      <c r="A135" s="44">
        <v>415010105021</v>
      </c>
      <c r="B135" s="6" t="s">
        <v>121</v>
      </c>
      <c r="C135" s="6">
        <v>0</v>
      </c>
      <c r="D135" s="6">
        <v>-150</v>
      </c>
      <c r="G135" s="46"/>
    </row>
    <row r="136" spans="1:7">
      <c r="A136" s="44">
        <v>415010105022</v>
      </c>
      <c r="B136" s="6" t="s">
        <v>122</v>
      </c>
      <c r="C136" s="6">
        <v>0</v>
      </c>
      <c r="D136" s="6">
        <v>-369.37</v>
      </c>
    </row>
    <row r="137" spans="1:7">
      <c r="A137" s="44">
        <v>415010105023</v>
      </c>
      <c r="B137" s="6" t="s">
        <v>123</v>
      </c>
      <c r="C137" s="6">
        <v>-766.75</v>
      </c>
      <c r="D137" s="46">
        <v>-8056.81</v>
      </c>
    </row>
    <row r="138" spans="1:7">
      <c r="A138" s="44">
        <v>415010105025</v>
      </c>
      <c r="B138" s="6" t="s">
        <v>124</v>
      </c>
      <c r="C138" s="6">
        <v>0</v>
      </c>
      <c r="D138" s="6">
        <v>-79.45</v>
      </c>
    </row>
    <row r="139" spans="1:7">
      <c r="A139" s="44">
        <v>415010105027</v>
      </c>
      <c r="B139" s="6" t="s">
        <v>125</v>
      </c>
      <c r="C139" s="6">
        <v>0</v>
      </c>
      <c r="D139" s="46">
        <v>-1286.4000000000001</v>
      </c>
    </row>
    <row r="140" spans="1:7">
      <c r="A140" s="44">
        <v>415010105032</v>
      </c>
      <c r="B140" s="6" t="s">
        <v>126</v>
      </c>
      <c r="C140" s="6">
        <v>-184.28</v>
      </c>
      <c r="D140" s="46">
        <v>-3045.72</v>
      </c>
    </row>
    <row r="141" spans="1:7">
      <c r="A141" s="44">
        <v>415010105046</v>
      </c>
      <c r="B141" s="6" t="s">
        <v>127</v>
      </c>
    </row>
    <row r="142" spans="1:7">
      <c r="C142" s="6">
        <v>0</v>
      </c>
      <c r="D142" s="6">
        <v>-134.4</v>
      </c>
    </row>
    <row r="143" spans="1:7">
      <c r="A143" s="44">
        <v>415010105063</v>
      </c>
      <c r="B143" s="6" t="s">
        <v>128</v>
      </c>
      <c r="C143" s="6">
        <v>0</v>
      </c>
      <c r="D143" s="6">
        <v>-646.15</v>
      </c>
    </row>
    <row r="144" spans="1:7">
      <c r="A144" s="44">
        <v>415010105098</v>
      </c>
      <c r="B144" s="6" t="s">
        <v>129</v>
      </c>
      <c r="C144" s="6">
        <v>-67.47</v>
      </c>
      <c r="D144" s="46">
        <v>-1651.78</v>
      </c>
    </row>
    <row r="145" spans="1:8">
      <c r="C145" s="6" t="s">
        <v>63</v>
      </c>
      <c r="D145" s="6" t="s">
        <v>63</v>
      </c>
    </row>
    <row r="146" spans="1:8">
      <c r="C146" s="46">
        <v>-6308.18</v>
      </c>
      <c r="D146" s="46">
        <v>-22302.03</v>
      </c>
      <c r="E146" s="45" t="s">
        <v>113</v>
      </c>
      <c r="F146" s="45" t="s">
        <v>130</v>
      </c>
    </row>
    <row r="147" spans="1:8">
      <c r="A147" s="44">
        <v>415010106</v>
      </c>
      <c r="B147" s="6" t="s">
        <v>131</v>
      </c>
      <c r="G147" s="46"/>
    </row>
    <row r="148" spans="1:8">
      <c r="A148" s="44">
        <v>415010106001</v>
      </c>
      <c r="B148" s="6" t="s">
        <v>132</v>
      </c>
      <c r="C148" s="6">
        <v>0</v>
      </c>
      <c r="D148" s="46">
        <v>-1346.32</v>
      </c>
      <c r="E148" s="45" t="s">
        <v>133</v>
      </c>
    </row>
    <row r="149" spans="1:8">
      <c r="A149" s="44">
        <v>415010106004</v>
      </c>
      <c r="B149" s="6" t="s">
        <v>134</v>
      </c>
      <c r="C149" s="6">
        <v>0</v>
      </c>
      <c r="D149" s="6">
        <v>-355.45</v>
      </c>
      <c r="E149" s="45" t="s">
        <v>133</v>
      </c>
    </row>
    <row r="150" spans="1:8">
      <c r="A150" s="44">
        <v>415010106010</v>
      </c>
      <c r="B150" s="6" t="s">
        <v>135</v>
      </c>
      <c r="C150" s="6">
        <v>0</v>
      </c>
      <c r="D150" s="46">
        <v>-1050</v>
      </c>
      <c r="E150" s="45" t="s">
        <v>133</v>
      </c>
    </row>
    <row r="151" spans="1:8">
      <c r="A151" s="44">
        <v>415010106011</v>
      </c>
      <c r="B151" s="6" t="s">
        <v>136</v>
      </c>
      <c r="C151" s="6">
        <v>0</v>
      </c>
      <c r="D151" s="6">
        <v>-228.35</v>
      </c>
      <c r="E151" s="45" t="s">
        <v>137</v>
      </c>
    </row>
    <row r="152" spans="1:8">
      <c r="A152" s="44">
        <v>415010106012</v>
      </c>
      <c r="B152" s="6" t="s">
        <v>138</v>
      </c>
      <c r="C152" s="6">
        <v>0</v>
      </c>
      <c r="D152" s="6">
        <v>-1</v>
      </c>
      <c r="E152" s="45" t="s">
        <v>137</v>
      </c>
    </row>
    <row r="153" spans="1:8">
      <c r="C153" s="6" t="s">
        <v>63</v>
      </c>
      <c r="D153" s="6" t="s">
        <v>63</v>
      </c>
    </row>
    <row r="154" spans="1:8">
      <c r="C154" s="6">
        <v>0</v>
      </c>
      <c r="D154" s="46">
        <v>-2981.12</v>
      </c>
      <c r="H154" s="46"/>
    </row>
    <row r="155" spans="1:8">
      <c r="A155" s="44">
        <v>415010108</v>
      </c>
      <c r="B155" s="6" t="s">
        <v>139</v>
      </c>
      <c r="H155" s="46"/>
    </row>
    <row r="156" spans="1:8">
      <c r="A156" s="44">
        <v>415010108005</v>
      </c>
      <c r="B156" s="6" t="s">
        <v>140</v>
      </c>
      <c r="C156" s="6">
        <v>-0.97</v>
      </c>
      <c r="D156" s="6">
        <v>-11.5</v>
      </c>
    </row>
    <row r="157" spans="1:8">
      <c r="A157" s="44">
        <v>415010108013</v>
      </c>
      <c r="B157" s="6" t="s">
        <v>141</v>
      </c>
    </row>
    <row r="158" spans="1:8">
      <c r="C158" s="6">
        <v>-8.81</v>
      </c>
      <c r="D158" s="6">
        <v>-166.62</v>
      </c>
    </row>
    <row r="159" spans="1:8">
      <c r="C159" s="6" t="s">
        <v>63</v>
      </c>
      <c r="D159" s="6" t="s">
        <v>63</v>
      </c>
    </row>
    <row r="160" spans="1:8">
      <c r="C160" s="6">
        <v>-9.7799999999999994</v>
      </c>
      <c r="D160" s="6">
        <v>-178.12</v>
      </c>
      <c r="E160" s="45" t="s">
        <v>113</v>
      </c>
      <c r="F160" s="45" t="s">
        <v>142</v>
      </c>
      <c r="G160" s="46"/>
    </row>
    <row r="161" spans="1:7">
      <c r="A161" s="44">
        <v>420</v>
      </c>
      <c r="B161" s="6" t="s">
        <v>143</v>
      </c>
    </row>
    <row r="162" spans="1:7">
      <c r="A162" s="44">
        <v>42001</v>
      </c>
      <c r="B162" s="6" t="s">
        <v>143</v>
      </c>
    </row>
    <row r="163" spans="1:7">
      <c r="A163" s="44">
        <v>4200101</v>
      </c>
      <c r="B163" s="6" t="s">
        <v>144</v>
      </c>
      <c r="G163" s="46"/>
    </row>
    <row r="164" spans="1:7">
      <c r="A164" s="44">
        <v>420010109</v>
      </c>
      <c r="B164" s="6" t="s">
        <v>144</v>
      </c>
    </row>
    <row r="165" spans="1:7">
      <c r="A165" s="44">
        <v>420010109015</v>
      </c>
      <c r="B165" s="6" t="s">
        <v>145</v>
      </c>
      <c r="C165" s="46">
        <v>43371.12</v>
      </c>
      <c r="D165" s="46">
        <v>296161.14</v>
      </c>
      <c r="E165" s="45" t="s">
        <v>146</v>
      </c>
      <c r="G165" s="46"/>
    </row>
    <row r="166" spans="1:7">
      <c r="A166" s="44">
        <v>420010109099</v>
      </c>
      <c r="B166" s="6" t="s">
        <v>147</v>
      </c>
      <c r="C166" s="6">
        <v>199.69</v>
      </c>
      <c r="D166" s="46">
        <v>8830.7800000000007</v>
      </c>
      <c r="E166" s="45" t="s">
        <v>137</v>
      </c>
    </row>
    <row r="167" spans="1:7">
      <c r="C167" s="6" t="s">
        <v>63</v>
      </c>
      <c r="D167" s="6" t="s">
        <v>63</v>
      </c>
      <c r="G167" s="46"/>
    </row>
    <row r="168" spans="1:7">
      <c r="C168" s="46">
        <v>43570.81</v>
      </c>
      <c r="D168" s="46">
        <v>304991.92</v>
      </c>
    </row>
    <row r="169" spans="1:7">
      <c r="A169" s="44">
        <v>4200102</v>
      </c>
      <c r="B169" s="6" t="s">
        <v>148</v>
      </c>
    </row>
    <row r="170" spans="1:7">
      <c r="A170" s="44">
        <v>420010201</v>
      </c>
      <c r="B170" s="6" t="s">
        <v>149</v>
      </c>
    </row>
    <row r="171" spans="1:7">
      <c r="A171" s="44">
        <v>420010201099</v>
      </c>
      <c r="B171" s="6" t="s">
        <v>150</v>
      </c>
      <c r="C171" s="6">
        <v>-226.26</v>
      </c>
      <c r="D171" s="46">
        <v>-3733.58</v>
      </c>
    </row>
    <row r="172" spans="1:7">
      <c r="C172" s="6" t="s">
        <v>63</v>
      </c>
      <c r="D172" s="6" t="s">
        <v>63</v>
      </c>
    </row>
    <row r="173" spans="1:7">
      <c r="C173" s="6">
        <v>-226.26</v>
      </c>
      <c r="D173" s="46">
        <v>-3733.58</v>
      </c>
      <c r="E173" s="45" t="s">
        <v>151</v>
      </c>
    </row>
    <row r="174" spans="1:7">
      <c r="A174" s="44">
        <v>420010210</v>
      </c>
      <c r="B174" s="6" t="s">
        <v>148</v>
      </c>
      <c r="C174" s="6" t="s">
        <v>152</v>
      </c>
    </row>
    <row r="177" spans="1:7">
      <c r="A177" s="44" t="s">
        <v>37</v>
      </c>
      <c r="B177" s="6" t="s">
        <v>38</v>
      </c>
      <c r="C177" s="6" t="s">
        <v>39</v>
      </c>
      <c r="D177" s="6" t="s">
        <v>153</v>
      </c>
      <c r="G177" s="46"/>
    </row>
    <row r="178" spans="1:7">
      <c r="A178" s="44" t="s">
        <v>41</v>
      </c>
      <c r="B178" s="6" t="s">
        <v>42</v>
      </c>
      <c r="C178" s="6" t="s">
        <v>43</v>
      </c>
      <c r="D178" s="6" t="s">
        <v>154</v>
      </c>
      <c r="G178" s="46"/>
    </row>
    <row r="180" spans="1:7">
      <c r="B180" s="6" t="s">
        <v>45</v>
      </c>
      <c r="C180" s="6" t="s">
        <v>46</v>
      </c>
      <c r="G180" s="46"/>
    </row>
    <row r="183" spans="1:7">
      <c r="A183" s="44" t="s">
        <v>47</v>
      </c>
      <c r="C183" s="6" t="s">
        <v>48</v>
      </c>
      <c r="D183" s="6" t="s">
        <v>49</v>
      </c>
    </row>
    <row r="184" spans="1:7">
      <c r="A184" s="44" t="s">
        <v>50</v>
      </c>
      <c r="B184" s="6" t="s">
        <v>51</v>
      </c>
      <c r="C184" s="6" t="s">
        <v>52</v>
      </c>
      <c r="D184" s="6" t="s">
        <v>53</v>
      </c>
      <c r="G184" s="46"/>
    </row>
    <row r="186" spans="1:7">
      <c r="A186" s="44">
        <v>420010210099</v>
      </c>
      <c r="B186" s="6" t="s">
        <v>155</v>
      </c>
      <c r="C186" s="6">
        <v>-798.42</v>
      </c>
      <c r="D186" s="46">
        <v>-7004.49</v>
      </c>
      <c r="E186" s="45" t="s">
        <v>137</v>
      </c>
      <c r="G186" s="46"/>
    </row>
    <row r="187" spans="1:7">
      <c r="C187" s="6" t="s">
        <v>63</v>
      </c>
      <c r="D187" s="6" t="s">
        <v>63</v>
      </c>
    </row>
    <row r="188" spans="1:7">
      <c r="C188" s="6">
        <v>-798.42</v>
      </c>
      <c r="D188" s="46">
        <v>-7004.49</v>
      </c>
      <c r="G188" s="46"/>
    </row>
    <row r="189" spans="1:7">
      <c r="C189" s="6" t="s">
        <v>63</v>
      </c>
      <c r="D189" s="6" t="s">
        <v>63</v>
      </c>
    </row>
    <row r="190" spans="1:7">
      <c r="B190" s="6" t="s">
        <v>156</v>
      </c>
      <c r="C190" s="46">
        <v>62006.07</v>
      </c>
      <c r="D190" s="46">
        <v>1078698.6100000001</v>
      </c>
      <c r="G190" s="46"/>
    </row>
    <row r="192" spans="1:7">
      <c r="A192" s="44">
        <v>7</v>
      </c>
      <c r="B192" s="6" t="s">
        <v>157</v>
      </c>
      <c r="G192" s="46"/>
    </row>
    <row r="193" spans="1:7">
      <c r="B193" s="6" t="s">
        <v>52</v>
      </c>
    </row>
    <row r="194" spans="1:7">
      <c r="A194" s="44">
        <v>701</v>
      </c>
      <c r="B194" s="6" t="s">
        <v>158</v>
      </c>
    </row>
    <row r="195" spans="1:7">
      <c r="A195" s="44">
        <v>70101</v>
      </c>
      <c r="B195" s="6" t="s">
        <v>159</v>
      </c>
    </row>
    <row r="196" spans="1:7">
      <c r="A196" s="44">
        <v>7010101</v>
      </c>
      <c r="B196" s="6" t="s">
        <v>160</v>
      </c>
    </row>
    <row r="197" spans="1:7">
      <c r="A197" s="44">
        <v>701010103</v>
      </c>
      <c r="B197" s="6" t="s">
        <v>161</v>
      </c>
    </row>
    <row r="198" spans="1:7">
      <c r="A198" s="44">
        <v>701010103001</v>
      </c>
      <c r="B198" s="6" t="s">
        <v>162</v>
      </c>
      <c r="C198" s="46">
        <v>-3494.59</v>
      </c>
      <c r="D198" s="46">
        <v>-43157.81</v>
      </c>
      <c r="E198" s="45" t="s">
        <v>163</v>
      </c>
      <c r="F198" s="73"/>
    </row>
    <row r="199" spans="1:7">
      <c r="A199" s="44">
        <v>701010103003</v>
      </c>
      <c r="B199" s="6" t="s">
        <v>164</v>
      </c>
      <c r="C199" s="46">
        <v>-1546.21</v>
      </c>
      <c r="D199" s="46">
        <v>-18608.71</v>
      </c>
      <c r="E199" s="45" t="s">
        <v>163</v>
      </c>
      <c r="F199" s="73"/>
    </row>
    <row r="200" spans="1:7">
      <c r="A200" s="44">
        <v>701010103005</v>
      </c>
      <c r="B200" s="6" t="s">
        <v>165</v>
      </c>
      <c r="C200" s="6">
        <v>-94.64</v>
      </c>
      <c r="D200" s="46">
        <v>-32635.47</v>
      </c>
      <c r="E200" s="45" t="s">
        <v>163</v>
      </c>
      <c r="F200" s="73"/>
      <c r="G200" s="46"/>
    </row>
    <row r="201" spans="1:7">
      <c r="A201" s="44">
        <v>701010103006</v>
      </c>
      <c r="B201" s="6" t="s">
        <v>166</v>
      </c>
      <c r="C201" s="6">
        <v>0</v>
      </c>
      <c r="D201" s="6">
        <v>-337.7</v>
      </c>
      <c r="E201" s="45" t="s">
        <v>163</v>
      </c>
      <c r="F201" s="73"/>
      <c r="G201" s="46"/>
    </row>
    <row r="202" spans="1:7">
      <c r="A202" s="44">
        <v>701010103007</v>
      </c>
      <c r="B202" s="6" t="s">
        <v>167</v>
      </c>
      <c r="C202" s="6">
        <v>-271.45</v>
      </c>
      <c r="D202" s="46">
        <v>-4135.5600000000004</v>
      </c>
      <c r="E202" s="45" t="s">
        <v>163</v>
      </c>
      <c r="F202" s="73"/>
      <c r="G202" s="46"/>
    </row>
    <row r="203" spans="1:7">
      <c r="A203" s="44">
        <v>701010103008</v>
      </c>
      <c r="B203" s="6" t="s">
        <v>168</v>
      </c>
      <c r="C203" s="6">
        <v>0</v>
      </c>
      <c r="D203" s="46">
        <v>-2275.88</v>
      </c>
      <c r="E203" s="45" t="s">
        <v>163</v>
      </c>
      <c r="F203" s="73"/>
    </row>
    <row r="204" spans="1:7">
      <c r="A204" s="44">
        <v>701010103009</v>
      </c>
      <c r="B204" s="6" t="s">
        <v>169</v>
      </c>
      <c r="C204" s="6">
        <v>-390</v>
      </c>
      <c r="D204" s="46">
        <v>-2095.75</v>
      </c>
      <c r="E204" s="45" t="s">
        <v>163</v>
      </c>
      <c r="F204" s="73"/>
    </row>
    <row r="205" spans="1:7">
      <c r="A205" s="44">
        <v>701010103011</v>
      </c>
      <c r="B205" s="6" t="s">
        <v>108</v>
      </c>
      <c r="C205" s="46">
        <v>-65970.06</v>
      </c>
      <c r="D205" s="46">
        <v>-212322.52</v>
      </c>
      <c r="E205" s="45" t="s">
        <v>163</v>
      </c>
      <c r="F205" s="73">
        <f t="shared" ref="F205:F253" si="0">D205/11290</f>
        <v>-18.806246235606732</v>
      </c>
      <c r="G205" s="46"/>
    </row>
    <row r="206" spans="1:7">
      <c r="A206" s="44">
        <v>701010103013</v>
      </c>
      <c r="B206" s="6" t="s">
        <v>170</v>
      </c>
      <c r="C206" s="46">
        <v>-1096.25</v>
      </c>
      <c r="D206" s="46">
        <v>-1096.25</v>
      </c>
      <c r="E206" s="45" t="s">
        <v>163</v>
      </c>
      <c r="F206" s="73"/>
    </row>
    <row r="207" spans="1:7">
      <c r="A207" s="44">
        <v>701010103016</v>
      </c>
      <c r="B207" s="6" t="s">
        <v>171</v>
      </c>
      <c r="C207" s="6">
        <v>0</v>
      </c>
      <c r="D207" s="6">
        <v>-211.4</v>
      </c>
      <c r="E207" s="45" t="s">
        <v>163</v>
      </c>
      <c r="F207" s="73"/>
      <c r="G207" s="46"/>
    </row>
    <row r="208" spans="1:7">
      <c r="A208" s="44">
        <v>701010103018</v>
      </c>
      <c r="B208" s="6" t="s">
        <v>118</v>
      </c>
      <c r="C208" s="6">
        <v>0</v>
      </c>
      <c r="D208" s="46">
        <v>-1864.54</v>
      </c>
      <c r="E208" s="45" t="s">
        <v>163</v>
      </c>
      <c r="F208" s="73"/>
      <c r="G208" s="46"/>
    </row>
    <row r="209" spans="1:7">
      <c r="A209" s="44">
        <v>701010103024</v>
      </c>
      <c r="B209" s="6" t="s">
        <v>172</v>
      </c>
      <c r="C209" s="6">
        <v>0</v>
      </c>
      <c r="D209" s="46">
        <v>-10287.92</v>
      </c>
      <c r="E209" s="45" t="s">
        <v>163</v>
      </c>
      <c r="F209" s="73"/>
      <c r="G209" s="46"/>
    </row>
    <row r="210" spans="1:7">
      <c r="A210" s="44">
        <v>701010103029</v>
      </c>
      <c r="B210" s="6" t="s">
        <v>173</v>
      </c>
      <c r="F210" s="73">
        <f t="shared" si="0"/>
        <v>0</v>
      </c>
      <c r="G210" s="46"/>
    </row>
    <row r="211" spans="1:7">
      <c r="C211" s="6">
        <v>0</v>
      </c>
      <c r="D211" s="6">
        <v>-423.16</v>
      </c>
      <c r="E211" s="45" t="s">
        <v>163</v>
      </c>
      <c r="F211" s="73">
        <f t="shared" si="0"/>
        <v>-3.7480956598759968E-2</v>
      </c>
      <c r="G211" s="46"/>
    </row>
    <row r="212" spans="1:7">
      <c r="A212" s="44">
        <v>701010103031</v>
      </c>
      <c r="B212" s="6" t="s">
        <v>174</v>
      </c>
      <c r="C212" s="6">
        <v>0</v>
      </c>
      <c r="D212" s="46">
        <v>-8710.25</v>
      </c>
      <c r="E212" s="45" t="s">
        <v>163</v>
      </c>
      <c r="F212" s="73">
        <f t="shared" si="0"/>
        <v>-0.7715013286093888</v>
      </c>
      <c r="G212" s="46"/>
    </row>
    <row r="213" spans="1:7">
      <c r="A213" s="44">
        <v>701010103056</v>
      </c>
      <c r="B213" s="6" t="s">
        <v>175</v>
      </c>
      <c r="C213" s="46">
        <v>-3280.12</v>
      </c>
      <c r="D213" s="46">
        <v>-38570.93</v>
      </c>
      <c r="E213" s="45" t="s">
        <v>163</v>
      </c>
      <c r="F213" s="73">
        <f t="shared" si="0"/>
        <v>-3.4163799822852083</v>
      </c>
      <c r="G213" s="46"/>
    </row>
    <row r="214" spans="1:7">
      <c r="A214" s="44">
        <v>701010103057</v>
      </c>
      <c r="B214" s="6" t="s">
        <v>176</v>
      </c>
      <c r="C214" s="6">
        <v>0</v>
      </c>
      <c r="D214" s="6">
        <v>-47.98</v>
      </c>
      <c r="E214" s="45" t="s">
        <v>177</v>
      </c>
      <c r="F214" s="73">
        <f t="shared" si="0"/>
        <v>-4.2497785651018595E-3</v>
      </c>
    </row>
    <row r="215" spans="1:7">
      <c r="A215" s="44">
        <v>701010103058</v>
      </c>
      <c r="B215" s="6" t="s">
        <v>178</v>
      </c>
      <c r="C215" s="6">
        <v>0</v>
      </c>
      <c r="D215" s="6">
        <v>-30.8</v>
      </c>
      <c r="E215" s="45" t="s">
        <v>177</v>
      </c>
      <c r="F215" s="73">
        <f t="shared" si="0"/>
        <v>-2.7280779450841453E-3</v>
      </c>
    </row>
    <row r="216" spans="1:7">
      <c r="A216" s="44">
        <v>701010103059</v>
      </c>
      <c r="B216" s="6" t="s">
        <v>61</v>
      </c>
      <c r="C216" s="6">
        <v>0</v>
      </c>
      <c r="D216" s="6">
        <v>-12.32</v>
      </c>
      <c r="E216" s="45" t="s">
        <v>177</v>
      </c>
      <c r="F216" s="73">
        <f t="shared" si="0"/>
        <v>-1.0912311780336581E-3</v>
      </c>
      <c r="G216" s="46"/>
    </row>
    <row r="217" spans="1:7">
      <c r="C217" s="6" t="s">
        <v>63</v>
      </c>
      <c r="D217" s="6" t="s">
        <v>63</v>
      </c>
      <c r="F217" s="73"/>
    </row>
    <row r="218" spans="1:7">
      <c r="C218" s="46">
        <v>-76143.320000000007</v>
      </c>
      <c r="D218" s="46">
        <v>-376824.95</v>
      </c>
      <c r="F218" s="73"/>
      <c r="G218" s="46"/>
    </row>
    <row r="219" spans="1:7">
      <c r="A219" s="44">
        <v>701010104</v>
      </c>
      <c r="B219" s="6" t="s">
        <v>179</v>
      </c>
      <c r="F219" s="73">
        <f t="shared" si="0"/>
        <v>0</v>
      </c>
    </row>
    <row r="220" spans="1:7">
      <c r="A220" s="44">
        <v>701010104001</v>
      </c>
      <c r="B220" s="6" t="s">
        <v>180</v>
      </c>
      <c r="C220" s="6">
        <v>-25.15</v>
      </c>
      <c r="D220" s="6">
        <v>-188.18</v>
      </c>
      <c r="F220" s="73">
        <f t="shared" si="0"/>
        <v>-1.6667847652790082E-2</v>
      </c>
    </row>
    <row r="221" spans="1:7">
      <c r="A221" s="44">
        <v>701010104004</v>
      </c>
      <c r="B221" s="6" t="s">
        <v>181</v>
      </c>
      <c r="C221" s="6">
        <v>-165.6</v>
      </c>
      <c r="D221" s="46">
        <v>-4021.92</v>
      </c>
      <c r="F221" s="73">
        <f t="shared" si="0"/>
        <v>-0.35623737821080603</v>
      </c>
    </row>
    <row r="222" spans="1:7">
      <c r="A222" s="44">
        <v>701010104007</v>
      </c>
      <c r="B222" s="6" t="s">
        <v>182</v>
      </c>
      <c r="C222" s="6">
        <v>0</v>
      </c>
      <c r="D222" s="46">
        <v>-3091.17</v>
      </c>
      <c r="F222" s="73">
        <f t="shared" si="0"/>
        <v>-0.27379716563330381</v>
      </c>
    </row>
    <row r="223" spans="1:7">
      <c r="A223" s="44">
        <v>701010104008</v>
      </c>
      <c r="B223" s="6" t="s">
        <v>183</v>
      </c>
      <c r="C223" s="6">
        <v>0</v>
      </c>
      <c r="D223" s="46">
        <v>-1403.04</v>
      </c>
      <c r="F223" s="73">
        <f t="shared" si="0"/>
        <v>-0.12427280779450842</v>
      </c>
    </row>
    <row r="224" spans="1:7">
      <c r="A224" s="44">
        <v>701010104010</v>
      </c>
      <c r="B224" s="6" t="s">
        <v>184</v>
      </c>
      <c r="C224" s="6">
        <v>-307.7</v>
      </c>
      <c r="D224" s="46">
        <v>-1848.73</v>
      </c>
      <c r="F224" s="73">
        <f t="shared" si="0"/>
        <v>-0.16374933569530559</v>
      </c>
    </row>
    <row r="225" spans="1:7">
      <c r="A225" s="44">
        <v>701010104011</v>
      </c>
      <c r="B225" s="6" t="s">
        <v>185</v>
      </c>
      <c r="C225" s="6">
        <v>-677.2</v>
      </c>
      <c r="D225" s="46">
        <v>-10022.59</v>
      </c>
      <c r="F225" s="73">
        <f t="shared" si="0"/>
        <v>-0.88774047829937996</v>
      </c>
      <c r="G225" s="46"/>
    </row>
    <row r="226" spans="1:7">
      <c r="A226" s="44">
        <v>701010104012</v>
      </c>
      <c r="B226" s="6" t="s">
        <v>186</v>
      </c>
      <c r="C226" s="6">
        <v>-4</v>
      </c>
      <c r="D226" s="6">
        <v>-149.46</v>
      </c>
      <c r="F226" s="73">
        <f t="shared" si="0"/>
        <v>-1.3238263950398583E-2</v>
      </c>
      <c r="G226" s="46"/>
    </row>
    <row r="227" spans="1:7">
      <c r="A227" s="44">
        <v>701010104013</v>
      </c>
      <c r="B227" s="6" t="s">
        <v>187</v>
      </c>
      <c r="C227" s="6">
        <v>-313.14</v>
      </c>
      <c r="D227" s="6">
        <v>-736.58</v>
      </c>
      <c r="F227" s="73">
        <f t="shared" si="0"/>
        <v>-6.5241806908768823E-2</v>
      </c>
    </row>
    <row r="228" spans="1:7">
      <c r="A228" s="44">
        <v>701010104014</v>
      </c>
      <c r="B228" s="6" t="s">
        <v>188</v>
      </c>
      <c r="C228" s="6">
        <v>-901.13</v>
      </c>
      <c r="D228" s="46">
        <v>-10185.719999999999</v>
      </c>
      <c r="F228" s="73">
        <f t="shared" si="0"/>
        <v>-0.90218954827280773</v>
      </c>
      <c r="G228" s="46"/>
    </row>
    <row r="229" spans="1:7">
      <c r="A229" s="44">
        <v>701010104015</v>
      </c>
      <c r="B229" s="6" t="s">
        <v>189</v>
      </c>
      <c r="C229" s="6">
        <v>-24.23</v>
      </c>
      <c r="D229" s="6">
        <v>-471.51</v>
      </c>
      <c r="F229" s="73">
        <f t="shared" si="0"/>
        <v>-4.1763507528786534E-2</v>
      </c>
      <c r="G229" s="46"/>
    </row>
    <row r="230" spans="1:7">
      <c r="A230" s="44">
        <v>701010104017</v>
      </c>
      <c r="B230" s="6" t="s">
        <v>190</v>
      </c>
      <c r="C230" s="6">
        <v>-168.83</v>
      </c>
      <c r="D230" s="46">
        <v>-2456.02</v>
      </c>
      <c r="F230" s="73">
        <f t="shared" si="0"/>
        <v>-0.21753941541186891</v>
      </c>
    </row>
    <row r="231" spans="1:7">
      <c r="A231" s="44">
        <v>701010104018</v>
      </c>
      <c r="B231" s="6" t="s">
        <v>191</v>
      </c>
      <c r="C231" s="6">
        <v>-645.30999999999995</v>
      </c>
      <c r="D231" s="46">
        <v>-3678.33</v>
      </c>
      <c r="F231" s="73">
        <f t="shared" si="0"/>
        <v>-0.32580425155004428</v>
      </c>
      <c r="G231" s="46"/>
    </row>
    <row r="232" spans="1:7">
      <c r="F232" s="73">
        <f t="shared" si="0"/>
        <v>0</v>
      </c>
      <c r="G232" s="46"/>
    </row>
    <row r="233" spans="1:7">
      <c r="F233" s="73">
        <f t="shared" si="0"/>
        <v>0</v>
      </c>
      <c r="G233" s="46"/>
    </row>
    <row r="234" spans="1:7">
      <c r="A234" s="44" t="s">
        <v>37</v>
      </c>
      <c r="B234" s="6" t="s">
        <v>38</v>
      </c>
      <c r="C234" s="6" t="s">
        <v>39</v>
      </c>
      <c r="D234" s="6" t="s">
        <v>192</v>
      </c>
      <c r="F234" s="73">
        <f t="shared" si="0"/>
        <v>3.528484021831841</v>
      </c>
    </row>
    <row r="235" spans="1:7">
      <c r="A235" s="44" t="s">
        <v>41</v>
      </c>
      <c r="B235" s="6" t="s">
        <v>42</v>
      </c>
      <c r="C235" s="6" t="s">
        <v>43</v>
      </c>
      <c r="D235" s="6" t="s">
        <v>193</v>
      </c>
      <c r="F235" s="73"/>
      <c r="G235" s="46"/>
    </row>
    <row r="236" spans="1:7">
      <c r="F236" s="73">
        <f t="shared" si="0"/>
        <v>0</v>
      </c>
      <c r="G236" s="46"/>
    </row>
    <row r="237" spans="1:7">
      <c r="B237" s="6" t="s">
        <v>45</v>
      </c>
      <c r="C237" s="6" t="s">
        <v>46</v>
      </c>
      <c r="F237" s="73">
        <f t="shared" si="0"/>
        <v>0</v>
      </c>
    </row>
    <row r="238" spans="1:7">
      <c r="F238" s="73">
        <f t="shared" si="0"/>
        <v>0</v>
      </c>
      <c r="G238" s="46"/>
    </row>
    <row r="239" spans="1:7">
      <c r="F239" s="73">
        <f t="shared" si="0"/>
        <v>0</v>
      </c>
      <c r="G239" s="46"/>
    </row>
    <row r="240" spans="1:7">
      <c r="A240" s="44" t="s">
        <v>47</v>
      </c>
      <c r="C240" s="6" t="s">
        <v>48</v>
      </c>
      <c r="D240" s="6" t="s">
        <v>49</v>
      </c>
      <c r="F240" s="73"/>
    </row>
    <row r="241" spans="1:8">
      <c r="A241" s="44" t="s">
        <v>50</v>
      </c>
      <c r="B241" s="6" t="s">
        <v>51</v>
      </c>
      <c r="C241" s="6" t="s">
        <v>52</v>
      </c>
      <c r="D241" s="6" t="s">
        <v>53</v>
      </c>
      <c r="F241" s="73"/>
    </row>
    <row r="242" spans="1:8">
      <c r="F242" s="73">
        <f t="shared" si="0"/>
        <v>0</v>
      </c>
      <c r="G242" s="46"/>
    </row>
    <row r="243" spans="1:8">
      <c r="A243" s="44">
        <v>701010104019</v>
      </c>
      <c r="B243" s="6" t="s">
        <v>194</v>
      </c>
      <c r="C243" s="6">
        <v>-67.540000000000006</v>
      </c>
      <c r="D243" s="6">
        <v>-725.62</v>
      </c>
      <c r="F243" s="73">
        <f t="shared" si="0"/>
        <v>-6.4271036315323299E-2</v>
      </c>
      <c r="G243" s="46"/>
    </row>
    <row r="244" spans="1:8">
      <c r="A244" s="44">
        <v>701010104020</v>
      </c>
      <c r="B244" s="6" t="s">
        <v>195</v>
      </c>
      <c r="C244" s="46">
        <v>-4772.08</v>
      </c>
      <c r="D244" s="46">
        <v>-12163.19</v>
      </c>
      <c r="F244" s="73">
        <f t="shared" si="0"/>
        <v>-1.0773418954827281</v>
      </c>
    </row>
    <row r="245" spans="1:8">
      <c r="A245" s="44">
        <v>701010104022</v>
      </c>
      <c r="B245" s="6" t="s">
        <v>196</v>
      </c>
      <c r="C245" s="6">
        <v>-905.27</v>
      </c>
      <c r="D245" s="46">
        <v>-23061.09</v>
      </c>
      <c r="F245" s="73">
        <f t="shared" si="0"/>
        <v>-2.0426120460584589</v>
      </c>
      <c r="G245" s="46"/>
      <c r="H245" s="46"/>
    </row>
    <row r="246" spans="1:8">
      <c r="A246" s="44">
        <v>701010104023</v>
      </c>
      <c r="B246" s="6" t="s">
        <v>197</v>
      </c>
      <c r="C246" s="6">
        <v>0</v>
      </c>
      <c r="D246" s="6">
        <v>-8.98</v>
      </c>
      <c r="F246" s="73">
        <f t="shared" si="0"/>
        <v>-7.9539415411868911E-4</v>
      </c>
    </row>
    <row r="247" spans="1:8">
      <c r="A247" s="44">
        <v>701010104024</v>
      </c>
      <c r="B247" s="6" t="s">
        <v>198</v>
      </c>
      <c r="C247" s="6">
        <v>-28.98</v>
      </c>
      <c r="D247" s="46">
        <v>-1173.8599999999999</v>
      </c>
      <c r="F247" s="73">
        <f t="shared" si="0"/>
        <v>-0.1039734278122232</v>
      </c>
    </row>
    <row r="248" spans="1:8">
      <c r="A248" s="44">
        <v>701010104025</v>
      </c>
      <c r="B248" s="6" t="s">
        <v>199</v>
      </c>
      <c r="C248" s="46">
        <v>-3445.24</v>
      </c>
      <c r="D248" s="46">
        <v>-66968.009999999995</v>
      </c>
      <c r="F248" s="73">
        <f t="shared" si="0"/>
        <v>-5.9316217891939766</v>
      </c>
      <c r="H248" s="46"/>
    </row>
    <row r="249" spans="1:8">
      <c r="A249" s="44">
        <v>701010104039</v>
      </c>
      <c r="B249" s="6" t="s">
        <v>200</v>
      </c>
      <c r="C249" s="6">
        <v>-284.42</v>
      </c>
      <c r="D249" s="46">
        <v>-6562.52</v>
      </c>
      <c r="F249" s="73">
        <f t="shared" si="0"/>
        <v>-0.58126837909654561</v>
      </c>
      <c r="G249" s="46"/>
    </row>
    <row r="250" spans="1:8">
      <c r="A250" s="44">
        <v>701010104041</v>
      </c>
      <c r="B250" s="6" t="s">
        <v>201</v>
      </c>
      <c r="C250" s="6">
        <v>-11.38</v>
      </c>
      <c r="D250" s="6">
        <v>-123.97</v>
      </c>
      <c r="F250" s="73">
        <f t="shared" si="0"/>
        <v>-1.0980513728963685E-2</v>
      </c>
      <c r="H250" s="46"/>
    </row>
    <row r="251" spans="1:8">
      <c r="A251" s="44">
        <v>701010104042</v>
      </c>
      <c r="B251" s="6" t="s">
        <v>202</v>
      </c>
      <c r="C251" s="6">
        <v>0</v>
      </c>
      <c r="D251" s="6">
        <v>-78</v>
      </c>
      <c r="F251" s="73">
        <f t="shared" si="0"/>
        <v>-6.9087688219663422E-3</v>
      </c>
      <c r="G251" s="46"/>
    </row>
    <row r="252" spans="1:8">
      <c r="A252" s="44">
        <v>701010104043</v>
      </c>
      <c r="B252" s="6" t="s">
        <v>203</v>
      </c>
      <c r="C252" s="6">
        <v>0</v>
      </c>
      <c r="D252" s="46">
        <v>-1830.88</v>
      </c>
      <c r="F252" s="73">
        <f t="shared" si="0"/>
        <v>-0.16216829052258636</v>
      </c>
      <c r="H252" s="46"/>
    </row>
    <row r="253" spans="1:8">
      <c r="A253" s="44">
        <v>701010104044</v>
      </c>
      <c r="B253" s="6" t="s">
        <v>204</v>
      </c>
      <c r="C253" s="6">
        <v>-0.47</v>
      </c>
      <c r="D253" s="6">
        <v>-21.39</v>
      </c>
      <c r="F253" s="73">
        <f t="shared" si="0"/>
        <v>-1.8945969884853853E-3</v>
      </c>
      <c r="G253" s="46"/>
    </row>
    <row r="254" spans="1:8">
      <c r="C254" s="6" t="s">
        <v>63</v>
      </c>
      <c r="D254" s="6" t="s">
        <v>63</v>
      </c>
      <c r="F254" s="73">
        <f>SUM(F205:F253)</f>
        <v>-32.883271514040615</v>
      </c>
    </row>
    <row r="255" spans="1:8">
      <c r="C255" s="46">
        <v>-12747.67</v>
      </c>
      <c r="D255" s="46">
        <v>-150970.76</v>
      </c>
      <c r="E255" s="45" t="s">
        <v>205</v>
      </c>
      <c r="H255" s="46"/>
    </row>
    <row r="256" spans="1:8">
      <c r="A256" s="44">
        <v>701010105</v>
      </c>
      <c r="B256" s="6" t="s">
        <v>115</v>
      </c>
      <c r="G256" s="46"/>
    </row>
    <row r="257" spans="1:9">
      <c r="A257" s="44">
        <v>701010105001</v>
      </c>
      <c r="B257" s="6" t="s">
        <v>206</v>
      </c>
    </row>
    <row r="258" spans="1:9">
      <c r="C258" s="6">
        <v>-94.86</v>
      </c>
      <c r="D258" s="46">
        <v>-1777.16</v>
      </c>
      <c r="E258" s="45" t="s">
        <v>177</v>
      </c>
      <c r="G258" s="46"/>
    </row>
    <row r="259" spans="1:9">
      <c r="A259" s="44">
        <v>701010105002</v>
      </c>
      <c r="B259" s="6" t="s">
        <v>207</v>
      </c>
      <c r="G259" s="46"/>
    </row>
    <row r="260" spans="1:9">
      <c r="C260" s="46">
        <v>-2285.66</v>
      </c>
      <c r="D260" s="46">
        <v>-23359.29</v>
      </c>
      <c r="E260" s="45" t="s">
        <v>177</v>
      </c>
    </row>
    <row r="261" spans="1:9">
      <c r="A261" s="44">
        <v>701010105003</v>
      </c>
      <c r="B261" s="6" t="s">
        <v>208</v>
      </c>
      <c r="G261" s="46"/>
    </row>
    <row r="262" spans="1:9">
      <c r="C262" s="6">
        <v>0</v>
      </c>
      <c r="D262" s="6">
        <v>-231.36</v>
      </c>
      <c r="E262" s="45" t="s">
        <v>177</v>
      </c>
      <c r="G262" s="46"/>
    </row>
    <row r="263" spans="1:9">
      <c r="A263" s="44">
        <v>701010105004</v>
      </c>
      <c r="B263" s="6" t="s">
        <v>209</v>
      </c>
      <c r="G263" s="46"/>
    </row>
    <row r="264" spans="1:9">
      <c r="C264" s="6">
        <v>-114.27</v>
      </c>
      <c r="D264" s="46">
        <v>-11905.53</v>
      </c>
      <c r="E264" s="45" t="s">
        <v>177</v>
      </c>
    </row>
    <row r="265" spans="1:9">
      <c r="A265" s="44">
        <v>701010105006</v>
      </c>
      <c r="B265" s="6" t="s">
        <v>210</v>
      </c>
      <c r="G265" s="46"/>
    </row>
    <row r="266" spans="1:9">
      <c r="C266" s="6">
        <v>0</v>
      </c>
      <c r="D266" s="6">
        <v>-668.4</v>
      </c>
      <c r="E266" s="45" t="s">
        <v>177</v>
      </c>
      <c r="G266" s="46"/>
    </row>
    <row r="267" spans="1:9">
      <c r="A267" s="44">
        <v>701010105007</v>
      </c>
      <c r="B267" s="6" t="s">
        <v>211</v>
      </c>
      <c r="C267" s="6">
        <v>-36.56</v>
      </c>
      <c r="D267" s="6">
        <v>-107.1</v>
      </c>
      <c r="E267" s="45" t="s">
        <v>177</v>
      </c>
      <c r="G267" s="46"/>
    </row>
    <row r="268" spans="1:9">
      <c r="A268" s="44">
        <v>701010105008</v>
      </c>
      <c r="B268" s="6" t="s">
        <v>212</v>
      </c>
      <c r="C268" s="6">
        <v>-29.19</v>
      </c>
      <c r="D268" s="6">
        <v>-180.82</v>
      </c>
      <c r="E268" s="45" t="s">
        <v>177</v>
      </c>
      <c r="G268" s="46"/>
    </row>
    <row r="269" spans="1:9">
      <c r="A269" s="44">
        <v>701010105013</v>
      </c>
      <c r="B269" s="6" t="s">
        <v>213</v>
      </c>
    </row>
    <row r="270" spans="1:9">
      <c r="C270" s="6">
        <v>0</v>
      </c>
      <c r="D270" s="6">
        <v>-73.13</v>
      </c>
      <c r="E270" s="45" t="s">
        <v>177</v>
      </c>
    </row>
    <row r="271" spans="1:9">
      <c r="A271" s="44">
        <v>701010105017</v>
      </c>
      <c r="B271" s="6" t="s">
        <v>214</v>
      </c>
      <c r="C271" s="6">
        <v>-773.6</v>
      </c>
      <c r="D271" s="46">
        <v>-9980.4500000000007</v>
      </c>
      <c r="E271" s="45" t="s">
        <v>177</v>
      </c>
      <c r="I271" s="46"/>
    </row>
    <row r="272" spans="1:9">
      <c r="A272" s="44">
        <v>701010105020</v>
      </c>
      <c r="B272" s="6" t="s">
        <v>215</v>
      </c>
      <c r="C272" s="6">
        <v>-21.64</v>
      </c>
      <c r="D272" s="46">
        <v>-1406.24</v>
      </c>
      <c r="E272" s="45" t="s">
        <v>177</v>
      </c>
      <c r="G272" s="46"/>
      <c r="I272" s="46"/>
    </row>
    <row r="273" spans="1:9">
      <c r="A273" s="44">
        <v>701010105033</v>
      </c>
      <c r="B273" s="6" t="s">
        <v>216</v>
      </c>
      <c r="G273" s="46"/>
      <c r="I273" s="46"/>
    </row>
    <row r="274" spans="1:9">
      <c r="C274" s="6">
        <v>-383.86</v>
      </c>
      <c r="D274" s="46">
        <v>-6751.56</v>
      </c>
      <c r="E274" s="45" t="s">
        <v>177</v>
      </c>
      <c r="G274" s="46"/>
      <c r="I274" s="46"/>
    </row>
    <row r="275" spans="1:9">
      <c r="A275" s="44">
        <v>701010105034</v>
      </c>
      <c r="B275" s="6" t="s">
        <v>217</v>
      </c>
      <c r="G275" s="46"/>
    </row>
    <row r="276" spans="1:9">
      <c r="C276" s="6">
        <v>-619</v>
      </c>
      <c r="D276" s="46">
        <v>-20754.990000000002</v>
      </c>
      <c r="E276" s="45" t="s">
        <v>177</v>
      </c>
    </row>
    <row r="277" spans="1:9">
      <c r="A277" s="44">
        <v>701010105051</v>
      </c>
      <c r="B277" s="6" t="s">
        <v>218</v>
      </c>
      <c r="C277" s="6">
        <v>-751.91</v>
      </c>
      <c r="D277" s="46">
        <v>-4646.49</v>
      </c>
      <c r="E277" s="45" t="s">
        <v>177</v>
      </c>
      <c r="F277" s="73">
        <f>D277/11290</f>
        <v>-0.41155801594331265</v>
      </c>
      <c r="G277" s="46"/>
    </row>
    <row r="278" spans="1:9">
      <c r="A278" s="44">
        <v>701010105052</v>
      </c>
      <c r="B278" s="6" t="s">
        <v>219</v>
      </c>
      <c r="C278" s="6">
        <v>-208.07</v>
      </c>
      <c r="D278" s="46">
        <v>-1925.21</v>
      </c>
      <c r="E278" s="45" t="s">
        <v>163</v>
      </c>
      <c r="F278" s="73">
        <f t="shared" ref="F278:F291" si="1">D278/11290</f>
        <v>-0.17052347209920285</v>
      </c>
      <c r="G278" s="46"/>
      <c r="H278" s="46"/>
    </row>
    <row r="279" spans="1:9">
      <c r="A279" s="44">
        <v>701010105054</v>
      </c>
      <c r="B279" s="6" t="s">
        <v>220</v>
      </c>
      <c r="C279" s="46">
        <v>-3023.02</v>
      </c>
      <c r="D279" s="46">
        <v>-45343.08</v>
      </c>
      <c r="E279" s="45" t="s">
        <v>177</v>
      </c>
      <c r="F279" s="73">
        <f t="shared" si="1"/>
        <v>-4.0162161204605846</v>
      </c>
      <c r="G279" s="46"/>
    </row>
    <row r="280" spans="1:9">
      <c r="A280" s="44">
        <v>701010105055</v>
      </c>
      <c r="B280" s="6" t="s">
        <v>221</v>
      </c>
      <c r="C280" s="6">
        <v>0</v>
      </c>
      <c r="D280" s="46">
        <v>-2691.13</v>
      </c>
      <c r="E280" s="45" t="s">
        <v>177</v>
      </c>
      <c r="F280" s="73">
        <f t="shared" si="1"/>
        <v>-0.23836403897254207</v>
      </c>
    </row>
    <row r="281" spans="1:9">
      <c r="A281" s="44">
        <v>701010105057</v>
      </c>
      <c r="B281" s="6" t="s">
        <v>222</v>
      </c>
      <c r="C281" s="6">
        <v>-502.66</v>
      </c>
      <c r="D281" s="46">
        <v>-3956.34</v>
      </c>
      <c r="E281" s="45" t="s">
        <v>177</v>
      </c>
      <c r="F281" s="73">
        <f t="shared" si="1"/>
        <v>-0.35042869796279896</v>
      </c>
      <c r="G281" s="46"/>
    </row>
    <row r="282" spans="1:9">
      <c r="A282" s="44">
        <v>701010105058</v>
      </c>
      <c r="B282" s="6" t="s">
        <v>223</v>
      </c>
      <c r="C282" s="6">
        <v>0</v>
      </c>
      <c r="D282" s="6">
        <v>-143.76</v>
      </c>
      <c r="E282" s="45" t="s">
        <v>177</v>
      </c>
      <c r="F282" s="73">
        <f t="shared" si="1"/>
        <v>-1.2733392382639503E-2</v>
      </c>
    </row>
    <row r="283" spans="1:9">
      <c r="A283" s="44">
        <v>701010105059</v>
      </c>
      <c r="B283" s="6" t="s">
        <v>178</v>
      </c>
      <c r="C283" s="6">
        <v>0</v>
      </c>
      <c r="D283" s="6">
        <v>-73.64</v>
      </c>
      <c r="E283" s="45" t="s">
        <v>177</v>
      </c>
      <c r="F283" s="73">
        <f t="shared" si="1"/>
        <v>-6.5225863596102742E-3</v>
      </c>
    </row>
    <row r="284" spans="1:9">
      <c r="A284" s="44">
        <v>701010105060</v>
      </c>
      <c r="B284" s="6" t="s">
        <v>224</v>
      </c>
      <c r="C284" s="6">
        <v>-545.98</v>
      </c>
      <c r="D284" s="46">
        <v>-8714.4599999999991</v>
      </c>
      <c r="E284" s="45" t="s">
        <v>177</v>
      </c>
      <c r="F284" s="73">
        <f t="shared" si="1"/>
        <v>-0.7718742249778564</v>
      </c>
    </row>
    <row r="285" spans="1:9">
      <c r="A285" s="44">
        <v>701010105062</v>
      </c>
      <c r="B285" s="6" t="s">
        <v>225</v>
      </c>
      <c r="C285" s="6">
        <v>-63.62</v>
      </c>
      <c r="D285" s="46">
        <v>-2558.21</v>
      </c>
      <c r="E285" s="45" t="s">
        <v>177</v>
      </c>
      <c r="F285" s="73">
        <f t="shared" si="1"/>
        <v>-0.2265907883082374</v>
      </c>
    </row>
    <row r="286" spans="1:9">
      <c r="A286" s="44">
        <v>701010105063</v>
      </c>
      <c r="B286" s="6" t="s">
        <v>226</v>
      </c>
      <c r="C286" s="46">
        <v>-10958.85</v>
      </c>
      <c r="D286" s="46">
        <v>-34813.800000000003</v>
      </c>
      <c r="E286" s="45" t="s">
        <v>205</v>
      </c>
      <c r="F286" s="73">
        <f t="shared" si="1"/>
        <v>-3.0835961027457932</v>
      </c>
    </row>
    <row r="287" spans="1:9">
      <c r="A287" s="44">
        <v>701010105067</v>
      </c>
      <c r="B287" s="6" t="s">
        <v>227</v>
      </c>
      <c r="C287" s="46">
        <v>-7465.94</v>
      </c>
      <c r="D287" s="46">
        <v>-96975.51</v>
      </c>
      <c r="E287" s="45" t="s">
        <v>177</v>
      </c>
      <c r="F287" s="73">
        <f t="shared" si="1"/>
        <v>-8.5895048715677582</v>
      </c>
    </row>
    <row r="288" spans="1:9">
      <c r="A288" s="44">
        <v>701010105069</v>
      </c>
      <c r="B288" s="6" t="s">
        <v>228</v>
      </c>
      <c r="C288" s="46">
        <v>-1771.29</v>
      </c>
      <c r="D288" s="46">
        <v>-21874.71</v>
      </c>
      <c r="E288" s="45" t="s">
        <v>177</v>
      </c>
      <c r="F288" s="73">
        <f t="shared" si="1"/>
        <v>-1.9375296722763506</v>
      </c>
    </row>
    <row r="289" spans="1:7">
      <c r="A289" s="44">
        <v>701010105099</v>
      </c>
      <c r="B289" s="6" t="s">
        <v>229</v>
      </c>
      <c r="C289" s="6">
        <v>-513.77</v>
      </c>
      <c r="D289" s="46">
        <v>-3804.26</v>
      </c>
      <c r="E289" s="45" t="s">
        <v>177</v>
      </c>
      <c r="F289" s="73">
        <f t="shared" si="1"/>
        <v>-0.33695837023914971</v>
      </c>
    </row>
    <row r="290" spans="1:7">
      <c r="A290" s="44">
        <v>701010105202</v>
      </c>
      <c r="B290" s="6" t="s">
        <v>230</v>
      </c>
      <c r="C290" s="6">
        <v>0</v>
      </c>
      <c r="D290" s="6">
        <v>-535.08000000000004</v>
      </c>
      <c r="E290" s="45" t="s">
        <v>205</v>
      </c>
      <c r="F290" s="73">
        <f t="shared" si="1"/>
        <v>-4.7394154118689108E-2</v>
      </c>
      <c r="G290" s="46"/>
    </row>
    <row r="291" spans="1:7">
      <c r="A291" s="44">
        <v>701010105203</v>
      </c>
      <c r="B291" s="6" t="s">
        <v>231</v>
      </c>
      <c r="C291" s="6">
        <v>-411.4</v>
      </c>
      <c r="D291" s="46">
        <v>-10058.780000000001</v>
      </c>
      <c r="E291" s="45" t="s">
        <v>177</v>
      </c>
      <c r="F291" s="73">
        <f t="shared" si="1"/>
        <v>-0.89094596988485386</v>
      </c>
      <c r="G291" s="46"/>
    </row>
    <row r="292" spans="1:7">
      <c r="C292" s="6" t="s">
        <v>63</v>
      </c>
      <c r="D292" s="6" t="s">
        <v>63</v>
      </c>
      <c r="F292" s="73">
        <f>SUM(F198:F291)</f>
        <v>-86.857283506380611</v>
      </c>
    </row>
    <row r="293" spans="1:7">
      <c r="C293" s="46">
        <v>-30575.15</v>
      </c>
      <c r="D293" s="46">
        <v>-315310.49</v>
      </c>
    </row>
    <row r="294" spans="1:7">
      <c r="A294" s="44">
        <v>70104</v>
      </c>
      <c r="B294" s="6" t="s">
        <v>232</v>
      </c>
      <c r="G294" s="46"/>
    </row>
    <row r="295" spans="1:7">
      <c r="A295" s="44">
        <v>7010401</v>
      </c>
      <c r="B295" s="6" t="s">
        <v>233</v>
      </c>
      <c r="C295" s="6" t="s">
        <v>152</v>
      </c>
    </row>
    <row r="298" spans="1:7">
      <c r="A298" s="44" t="s">
        <v>37</v>
      </c>
      <c r="B298" s="6" t="s">
        <v>38</v>
      </c>
      <c r="C298" s="6" t="s">
        <v>39</v>
      </c>
      <c r="D298" s="6" t="s">
        <v>234</v>
      </c>
    </row>
    <row r="299" spans="1:7">
      <c r="A299" s="44" t="s">
        <v>41</v>
      </c>
      <c r="B299" s="6" t="s">
        <v>42</v>
      </c>
      <c r="C299" s="6" t="s">
        <v>43</v>
      </c>
      <c r="D299" s="6" t="s">
        <v>235</v>
      </c>
    </row>
    <row r="301" spans="1:7">
      <c r="B301" s="6" t="s">
        <v>45</v>
      </c>
      <c r="C301" s="6" t="s">
        <v>46</v>
      </c>
    </row>
    <row r="304" spans="1:7">
      <c r="A304" s="44" t="s">
        <v>47</v>
      </c>
      <c r="C304" s="6" t="s">
        <v>48</v>
      </c>
      <c r="D304" s="6" t="s">
        <v>49</v>
      </c>
      <c r="G304" s="46"/>
    </row>
    <row r="305" spans="1:7">
      <c r="A305" s="44" t="s">
        <v>50</v>
      </c>
      <c r="B305" s="6" t="s">
        <v>51</v>
      </c>
      <c r="C305" s="6" t="s">
        <v>52</v>
      </c>
      <c r="D305" s="6" t="s">
        <v>53</v>
      </c>
      <c r="G305" s="46"/>
    </row>
    <row r="306" spans="1:7">
      <c r="G306" s="46"/>
    </row>
    <row r="307" spans="1:7">
      <c r="A307" s="44">
        <v>701040103</v>
      </c>
      <c r="B307" s="6" t="s">
        <v>161</v>
      </c>
      <c r="G307" s="46"/>
    </row>
    <row r="308" spans="1:7">
      <c r="A308" s="44">
        <v>701040103001</v>
      </c>
      <c r="B308" s="6" t="s">
        <v>162</v>
      </c>
      <c r="C308" s="6">
        <v>-917.7</v>
      </c>
      <c r="D308" s="46">
        <v>-14504.8</v>
      </c>
      <c r="G308" s="46"/>
    </row>
    <row r="309" spans="1:7">
      <c r="A309" s="44">
        <v>701040103003</v>
      </c>
      <c r="B309" s="6" t="s">
        <v>164</v>
      </c>
      <c r="C309" s="6">
        <v>-204.67</v>
      </c>
      <c r="D309" s="46">
        <v>-2927.02</v>
      </c>
      <c r="G309" s="46"/>
    </row>
    <row r="310" spans="1:7">
      <c r="A310" s="44">
        <v>701040103005</v>
      </c>
      <c r="B310" s="6" t="s">
        <v>165</v>
      </c>
      <c r="C310" s="6">
        <v>-473.91</v>
      </c>
      <c r="D310" s="46">
        <v>-7553.3</v>
      </c>
    </row>
    <row r="311" spans="1:7">
      <c r="A311" s="44">
        <v>701040103006</v>
      </c>
      <c r="B311" s="6" t="s">
        <v>166</v>
      </c>
      <c r="C311" s="6">
        <v>-31.78</v>
      </c>
      <c r="D311" s="6">
        <v>-784</v>
      </c>
    </row>
    <row r="312" spans="1:7">
      <c r="A312" s="44">
        <v>701040103007</v>
      </c>
      <c r="B312" s="6" t="s">
        <v>167</v>
      </c>
      <c r="C312" s="6">
        <v>-51.44</v>
      </c>
      <c r="D312" s="6">
        <v>-318.44</v>
      </c>
    </row>
    <row r="313" spans="1:7">
      <c r="A313" s="44">
        <v>701040103009</v>
      </c>
      <c r="B313" s="6" t="s">
        <v>169</v>
      </c>
      <c r="C313" s="6">
        <v>0</v>
      </c>
      <c r="D313" s="6">
        <v>-41.6</v>
      </c>
      <c r="G313" s="46"/>
    </row>
    <row r="314" spans="1:7">
      <c r="A314" s="44">
        <v>701040103018</v>
      </c>
      <c r="B314" s="6" t="s">
        <v>118</v>
      </c>
      <c r="C314" s="6">
        <v>0</v>
      </c>
      <c r="D314" s="46">
        <v>-1160.43</v>
      </c>
      <c r="G314" s="46"/>
    </row>
    <row r="315" spans="1:7">
      <c r="C315" s="6" t="s">
        <v>63</v>
      </c>
      <c r="D315" s="6" t="s">
        <v>63</v>
      </c>
      <c r="G315" s="46"/>
    </row>
    <row r="316" spans="1:7">
      <c r="C316" s="46">
        <v>-1679.5</v>
      </c>
      <c r="D316" s="46">
        <v>-27289.59</v>
      </c>
      <c r="E316" s="45" t="s">
        <v>236</v>
      </c>
      <c r="F316" s="45" t="s">
        <v>237</v>
      </c>
    </row>
    <row r="317" spans="1:7">
      <c r="A317" s="44">
        <v>701040105</v>
      </c>
      <c r="B317" s="6" t="s">
        <v>115</v>
      </c>
    </row>
    <row r="318" spans="1:7">
      <c r="A318" s="44">
        <v>701040105002</v>
      </c>
      <c r="B318" s="6" t="s">
        <v>207</v>
      </c>
      <c r="G318" s="46"/>
    </row>
    <row r="319" spans="1:7">
      <c r="C319" s="6">
        <v>0</v>
      </c>
      <c r="D319" s="6">
        <v>-559.44000000000005</v>
      </c>
    </row>
    <row r="320" spans="1:7">
      <c r="A320" s="44">
        <v>701040105011</v>
      </c>
      <c r="B320" s="6" t="s">
        <v>238</v>
      </c>
      <c r="C320" s="46">
        <v>-1068</v>
      </c>
      <c r="D320" s="46">
        <v>-4967.1000000000004</v>
      </c>
    </row>
    <row r="321" spans="1:7">
      <c r="A321" s="44">
        <v>701040105013</v>
      </c>
      <c r="B321" s="6" t="s">
        <v>213</v>
      </c>
    </row>
    <row r="322" spans="1:7">
      <c r="C322" s="6">
        <v>-122.98</v>
      </c>
      <c r="D322" s="46">
        <v>-1814.02</v>
      </c>
    </row>
    <row r="323" spans="1:7">
      <c r="A323" s="44">
        <v>701040105020</v>
      </c>
      <c r="B323" s="6" t="s">
        <v>215</v>
      </c>
      <c r="C323" s="6">
        <v>0</v>
      </c>
      <c r="D323" s="46">
        <v>-1043.1199999999999</v>
      </c>
    </row>
    <row r="324" spans="1:7">
      <c r="A324" s="44">
        <v>701040105030</v>
      </c>
      <c r="B324" s="6" t="s">
        <v>239</v>
      </c>
    </row>
    <row r="325" spans="1:7">
      <c r="C325" s="6">
        <v>-108.7</v>
      </c>
      <c r="D325" s="46">
        <v>-1254.6099999999999</v>
      </c>
    </row>
    <row r="326" spans="1:7">
      <c r="A326" s="44">
        <v>701040105034</v>
      </c>
      <c r="B326" s="6" t="s">
        <v>217</v>
      </c>
    </row>
    <row r="327" spans="1:7">
      <c r="C327" s="6">
        <v>0</v>
      </c>
      <c r="D327" s="6">
        <v>-520</v>
      </c>
    </row>
    <row r="328" spans="1:7">
      <c r="A328" s="44">
        <v>701040105047</v>
      </c>
      <c r="B328" s="6" t="s">
        <v>76</v>
      </c>
      <c r="C328" s="6">
        <v>-175</v>
      </c>
      <c r="D328" s="6">
        <v>-289.75</v>
      </c>
    </row>
    <row r="329" spans="1:7">
      <c r="A329" s="44">
        <v>701040105099</v>
      </c>
      <c r="B329" s="6" t="s">
        <v>229</v>
      </c>
      <c r="C329" s="6">
        <v>-848.9</v>
      </c>
      <c r="D329" s="6">
        <v>-848.9</v>
      </c>
    </row>
    <row r="330" spans="1:7">
      <c r="C330" s="6" t="s">
        <v>63</v>
      </c>
      <c r="D330" s="6" t="s">
        <v>63</v>
      </c>
    </row>
    <row r="331" spans="1:7">
      <c r="C331" s="46">
        <v>-2323.58</v>
      </c>
      <c r="D331" s="46">
        <v>-11296.94</v>
      </c>
      <c r="E331" s="45" t="s">
        <v>236</v>
      </c>
      <c r="F331" s="45" t="s">
        <v>240</v>
      </c>
    </row>
    <row r="332" spans="1:7">
      <c r="A332" s="44">
        <v>701040106</v>
      </c>
      <c r="B332" s="6" t="s">
        <v>241</v>
      </c>
      <c r="G332" s="46"/>
    </row>
    <row r="333" spans="1:7">
      <c r="A333" s="44">
        <v>701040106001</v>
      </c>
      <c r="B333" s="6" t="s">
        <v>132</v>
      </c>
      <c r="C333" s="6">
        <v>0</v>
      </c>
      <c r="D333" s="46">
        <v>-11486.84</v>
      </c>
      <c r="G333" s="46"/>
    </row>
    <row r="334" spans="1:7">
      <c r="C334" s="6" t="s">
        <v>63</v>
      </c>
      <c r="D334" s="6" t="s">
        <v>63</v>
      </c>
    </row>
    <row r="335" spans="1:7">
      <c r="C335" s="6">
        <v>0</v>
      </c>
      <c r="D335" s="46">
        <v>-11486.84</v>
      </c>
      <c r="E335" s="45" t="s">
        <v>133</v>
      </c>
      <c r="G335" s="46"/>
    </row>
    <row r="336" spans="1:7">
      <c r="A336" s="44">
        <v>701040108</v>
      </c>
      <c r="B336" s="6" t="s">
        <v>242</v>
      </c>
    </row>
    <row r="337" spans="1:7">
      <c r="A337" s="44">
        <v>701040108001</v>
      </c>
      <c r="B337" s="6" t="s">
        <v>243</v>
      </c>
    </row>
    <row r="338" spans="1:7">
      <c r="C338" s="6">
        <v>-19.41</v>
      </c>
      <c r="D338" s="6">
        <v>-229.01</v>
      </c>
    </row>
    <row r="339" spans="1:7">
      <c r="A339" s="44">
        <v>701040108003</v>
      </c>
      <c r="B339" s="6" t="s">
        <v>244</v>
      </c>
    </row>
    <row r="340" spans="1:7">
      <c r="C340" s="6">
        <v>-325.39999999999998</v>
      </c>
      <c r="D340" s="46">
        <v>-7331.95</v>
      </c>
    </row>
    <row r="341" spans="1:7">
      <c r="A341" s="44">
        <v>701040108005</v>
      </c>
      <c r="B341" s="6" t="s">
        <v>245</v>
      </c>
    </row>
    <row r="342" spans="1:7">
      <c r="C342" s="6">
        <v>-35.39</v>
      </c>
      <c r="D342" s="6">
        <v>-451.91</v>
      </c>
    </row>
    <row r="343" spans="1:7">
      <c r="A343" s="44">
        <v>701040108009</v>
      </c>
      <c r="B343" s="6" t="s">
        <v>246</v>
      </c>
    </row>
    <row r="344" spans="1:7">
      <c r="C344" s="6">
        <v>-134.85</v>
      </c>
      <c r="D344" s="46">
        <v>-1592.1</v>
      </c>
      <c r="G344" s="46"/>
    </row>
    <row r="345" spans="1:7">
      <c r="A345" s="44">
        <v>701040108013</v>
      </c>
      <c r="B345" s="6" t="s">
        <v>247</v>
      </c>
    </row>
    <row r="346" spans="1:7">
      <c r="C346" s="6">
        <v>-94.43</v>
      </c>
      <c r="D346" s="46">
        <v>-1131.3</v>
      </c>
      <c r="G346" s="46"/>
    </row>
    <row r="347" spans="1:7">
      <c r="A347" s="44">
        <v>701040108017</v>
      </c>
      <c r="B347" s="6" t="s">
        <v>248</v>
      </c>
      <c r="C347" s="6">
        <v>0</v>
      </c>
      <c r="D347" s="6">
        <v>-98.14</v>
      </c>
    </row>
    <row r="348" spans="1:7">
      <c r="A348" s="44">
        <v>701040108019</v>
      </c>
      <c r="B348" s="6" t="s">
        <v>249</v>
      </c>
      <c r="G348" s="46"/>
    </row>
    <row r="349" spans="1:7">
      <c r="C349" s="6">
        <v>-9.93</v>
      </c>
      <c r="D349" s="6">
        <v>-96.41</v>
      </c>
    </row>
    <row r="350" spans="1:7">
      <c r="A350" s="44">
        <v>701040108023</v>
      </c>
      <c r="B350" s="6" t="s">
        <v>250</v>
      </c>
    </row>
    <row r="351" spans="1:7">
      <c r="C351" s="6">
        <v>-13.76</v>
      </c>
      <c r="D351" s="6">
        <v>-140.52000000000001</v>
      </c>
      <c r="G351" s="46"/>
    </row>
    <row r="352" spans="1:7">
      <c r="A352" s="44">
        <v>701040108025</v>
      </c>
      <c r="B352" s="6" t="s">
        <v>251</v>
      </c>
      <c r="C352" s="6">
        <v>0</v>
      </c>
      <c r="D352" s="6">
        <v>-36.92</v>
      </c>
    </row>
    <row r="353" spans="1:7">
      <c r="A353" s="44">
        <v>701040108030</v>
      </c>
      <c r="B353" s="6" t="s">
        <v>252</v>
      </c>
      <c r="C353" s="6">
        <v>-1.33</v>
      </c>
      <c r="D353" s="6">
        <v>-15.69</v>
      </c>
    </row>
    <row r="354" spans="1:7">
      <c r="A354" s="44">
        <v>701040108032</v>
      </c>
      <c r="B354" s="6" t="s">
        <v>253</v>
      </c>
      <c r="C354" s="6">
        <v>-9.8699999999999992</v>
      </c>
      <c r="D354" s="6">
        <v>-116.59</v>
      </c>
      <c r="G354" s="46"/>
    </row>
    <row r="355" spans="1:7">
      <c r="A355" s="44">
        <v>701040108036</v>
      </c>
      <c r="B355" s="6" t="s">
        <v>254</v>
      </c>
    </row>
    <row r="356" spans="1:7">
      <c r="C356" s="6">
        <v>-1.86</v>
      </c>
      <c r="D356" s="6">
        <v>-21.96</v>
      </c>
      <c r="G356" s="46"/>
    </row>
    <row r="357" spans="1:7">
      <c r="A357" s="44">
        <v>701040108042</v>
      </c>
      <c r="B357" s="6" t="s">
        <v>255</v>
      </c>
    </row>
    <row r="358" spans="1:7">
      <c r="C358" s="6">
        <v>-345.9</v>
      </c>
      <c r="D358" s="46">
        <v>-3923.32</v>
      </c>
      <c r="G358" s="46"/>
    </row>
    <row r="359" spans="1:7">
      <c r="C359" s="6" t="s">
        <v>63</v>
      </c>
      <c r="D359" s="6" t="s">
        <v>63</v>
      </c>
    </row>
    <row r="360" spans="1:7">
      <c r="C360" s="6">
        <v>-992.13</v>
      </c>
      <c r="D360" s="46">
        <v>-15185.82</v>
      </c>
      <c r="E360" s="45" t="s">
        <v>256</v>
      </c>
    </row>
    <row r="361" spans="1:7">
      <c r="A361" s="44">
        <v>704</v>
      </c>
      <c r="B361" s="6" t="s">
        <v>257</v>
      </c>
    </row>
    <row r="362" spans="1:7">
      <c r="A362" s="44">
        <v>70401</v>
      </c>
      <c r="B362" s="6" t="s">
        <v>258</v>
      </c>
    </row>
    <row r="363" spans="1:7">
      <c r="A363" s="44">
        <v>7040105</v>
      </c>
      <c r="B363" s="6" t="s">
        <v>115</v>
      </c>
      <c r="G363" s="46"/>
    </row>
    <row r="364" spans="1:7">
      <c r="A364" s="44">
        <v>704010508</v>
      </c>
      <c r="B364" s="6" t="s">
        <v>139</v>
      </c>
      <c r="C364" s="6" t="s">
        <v>152</v>
      </c>
    </row>
    <row r="366" spans="1:7">
      <c r="G366" s="46"/>
    </row>
    <row r="367" spans="1:7">
      <c r="A367" s="44" t="s">
        <v>37</v>
      </c>
      <c r="B367" s="6" t="s">
        <v>38</v>
      </c>
      <c r="C367" s="6" t="s">
        <v>39</v>
      </c>
      <c r="D367" s="6" t="s">
        <v>259</v>
      </c>
    </row>
    <row r="368" spans="1:7">
      <c r="A368" s="44" t="s">
        <v>41</v>
      </c>
      <c r="B368" s="6" t="s">
        <v>42</v>
      </c>
      <c r="C368" s="6" t="s">
        <v>43</v>
      </c>
      <c r="D368" s="6" t="s">
        <v>260</v>
      </c>
    </row>
    <row r="370" spans="1:7">
      <c r="B370" s="6" t="s">
        <v>45</v>
      </c>
      <c r="C370" s="6" t="s">
        <v>46</v>
      </c>
    </row>
    <row r="372" spans="1:7">
      <c r="G372" s="46"/>
    </row>
    <row r="373" spans="1:7">
      <c r="A373" s="44" t="s">
        <v>47</v>
      </c>
      <c r="C373" s="6" t="s">
        <v>48</v>
      </c>
      <c r="D373" s="6" t="s">
        <v>49</v>
      </c>
      <c r="G373" s="46"/>
    </row>
    <row r="374" spans="1:7">
      <c r="A374" s="44" t="s">
        <v>50</v>
      </c>
      <c r="B374" s="6" t="s">
        <v>51</v>
      </c>
      <c r="C374" s="6" t="s">
        <v>52</v>
      </c>
      <c r="D374" s="6" t="s">
        <v>53</v>
      </c>
      <c r="G374" s="46"/>
    </row>
    <row r="376" spans="1:7">
      <c r="A376" s="44">
        <v>704010508001</v>
      </c>
      <c r="B376" s="6" t="s">
        <v>261</v>
      </c>
      <c r="G376" s="46"/>
    </row>
    <row r="377" spans="1:7">
      <c r="C377" s="6">
        <v>-51.5</v>
      </c>
      <c r="D377" s="46">
        <v>-22770.639999999999</v>
      </c>
    </row>
    <row r="378" spans="1:7">
      <c r="A378" s="44">
        <v>704010508003</v>
      </c>
      <c r="B378" s="6" t="s">
        <v>262</v>
      </c>
      <c r="E378" s="50"/>
    </row>
    <row r="379" spans="1:7">
      <c r="C379" s="6">
        <v>0</v>
      </c>
      <c r="D379" s="6">
        <v>-9.1300000000000008</v>
      </c>
      <c r="E379" s="50"/>
    </row>
    <row r="380" spans="1:7">
      <c r="A380" s="44">
        <v>704010508005</v>
      </c>
      <c r="B380" s="6" t="s">
        <v>263</v>
      </c>
    </row>
    <row r="381" spans="1:7">
      <c r="C381" s="6">
        <v>-3.59</v>
      </c>
      <c r="D381" s="6">
        <v>-42.35</v>
      </c>
    </row>
    <row r="382" spans="1:7">
      <c r="A382" s="44">
        <v>704010508007</v>
      </c>
      <c r="B382" s="6" t="s">
        <v>264</v>
      </c>
    </row>
    <row r="383" spans="1:7">
      <c r="C383" s="6">
        <v>-2.35</v>
      </c>
      <c r="D383" s="6">
        <v>-27.71</v>
      </c>
    </row>
    <row r="384" spans="1:7">
      <c r="A384" s="44">
        <v>704010508009</v>
      </c>
      <c r="B384" s="6" t="s">
        <v>265</v>
      </c>
      <c r="C384" s="6">
        <v>-110.94</v>
      </c>
      <c r="D384" s="46">
        <v>-3112.94</v>
      </c>
    </row>
    <row r="385" spans="1:7">
      <c r="A385" s="44">
        <v>704010508013</v>
      </c>
      <c r="B385" s="6" t="s">
        <v>266</v>
      </c>
    </row>
    <row r="386" spans="1:7">
      <c r="C386" s="6">
        <v>-4.2</v>
      </c>
      <c r="D386" s="6">
        <v>-15.7</v>
      </c>
      <c r="G386" s="46"/>
    </row>
    <row r="387" spans="1:7">
      <c r="A387" s="44">
        <v>704010508015</v>
      </c>
      <c r="B387" s="6" t="s">
        <v>267</v>
      </c>
      <c r="C387" s="6">
        <v>-61.96</v>
      </c>
      <c r="D387" s="6">
        <v>-948.24</v>
      </c>
    </row>
    <row r="388" spans="1:7">
      <c r="A388" s="44">
        <v>704010508099</v>
      </c>
      <c r="B388" s="6" t="s">
        <v>268</v>
      </c>
      <c r="C388" s="46">
        <v>2136.12</v>
      </c>
      <c r="D388" s="46">
        <v>26999.91</v>
      </c>
    </row>
    <row r="389" spans="1:7">
      <c r="C389" s="6" t="s">
        <v>63</v>
      </c>
      <c r="D389" s="6" t="s">
        <v>63</v>
      </c>
    </row>
    <row r="390" spans="1:7">
      <c r="C390" s="46">
        <v>1901.58</v>
      </c>
      <c r="D390" s="6">
        <v>73.2</v>
      </c>
      <c r="E390" s="45" t="s">
        <v>256</v>
      </c>
      <c r="G390" s="46"/>
    </row>
    <row r="391" spans="1:7">
      <c r="C391" s="6" t="s">
        <v>63</v>
      </c>
      <c r="D391" s="6" t="s">
        <v>63</v>
      </c>
    </row>
    <row r="392" spans="1:7">
      <c r="B392" s="6" t="s">
        <v>269</v>
      </c>
      <c r="C392" s="46">
        <v>-122559.77</v>
      </c>
      <c r="D392" s="46">
        <v>-908292.19</v>
      </c>
    </row>
    <row r="393" spans="1:7">
      <c r="G393" s="46"/>
    </row>
    <row r="394" spans="1:7">
      <c r="C394" s="6" t="s">
        <v>63</v>
      </c>
      <c r="D394" s="6" t="s">
        <v>63</v>
      </c>
      <c r="G394" s="46"/>
    </row>
    <row r="395" spans="1:7">
      <c r="B395" s="6" t="s">
        <v>270</v>
      </c>
      <c r="C395" s="46">
        <v>-60553.7</v>
      </c>
      <c r="D395" s="46">
        <v>170406.42</v>
      </c>
      <c r="E395" s="45">
        <f>D395/2151</f>
        <v>79.221952580195264</v>
      </c>
      <c r="G395" s="46"/>
    </row>
    <row r="396" spans="1:7">
      <c r="C396" s="6" t="s">
        <v>271</v>
      </c>
      <c r="D396" s="6" t="s">
        <v>271</v>
      </c>
    </row>
    <row r="397" spans="1:7">
      <c r="A397" s="44" t="s">
        <v>152</v>
      </c>
      <c r="G397" s="46"/>
    </row>
    <row r="398" spans="1:7">
      <c r="G398" s="46"/>
    </row>
    <row r="404" spans="1:7">
      <c r="C404" s="46"/>
      <c r="G404" s="46"/>
    </row>
    <row r="407" spans="1:7">
      <c r="C407" s="46"/>
      <c r="G407" s="46"/>
    </row>
    <row r="413" spans="1:7">
      <c r="A413" s="51"/>
    </row>
    <row r="415" spans="1:7">
      <c r="C415" s="46"/>
      <c r="G415" s="46"/>
    </row>
    <row r="416" spans="1:7">
      <c r="C416" s="46"/>
      <c r="G416" s="46"/>
    </row>
    <row r="417" spans="3:7">
      <c r="C417" s="46"/>
      <c r="G417" s="46"/>
    </row>
    <row r="420" spans="3:7">
      <c r="G420" s="46"/>
    </row>
    <row r="422" spans="3:7">
      <c r="G422" s="46"/>
    </row>
    <row r="424" spans="3:7">
      <c r="G424" s="46"/>
    </row>
    <row r="425" spans="3:7">
      <c r="G425" s="46"/>
    </row>
    <row r="426" spans="3:7">
      <c r="G426" s="46"/>
    </row>
    <row r="428" spans="3:7">
      <c r="G428" s="46"/>
    </row>
    <row r="429" spans="3:7">
      <c r="C429" s="46"/>
      <c r="G429" s="46"/>
    </row>
    <row r="435" spans="1:4">
      <c r="A435" s="51"/>
    </row>
    <row r="439" spans="1:4">
      <c r="D439" s="46"/>
    </row>
    <row r="440" spans="1:4">
      <c r="D440" s="46"/>
    </row>
    <row r="444" spans="1:4">
      <c r="A444" s="51"/>
    </row>
    <row r="446" spans="1:4">
      <c r="D446" s="46"/>
    </row>
    <row r="447" spans="1:4">
      <c r="D447" s="46"/>
    </row>
    <row r="448" spans="1:4">
      <c r="D448" s="46"/>
    </row>
    <row r="453" spans="3:4">
      <c r="D453" s="46"/>
    </row>
    <row r="454" spans="3:4">
      <c r="D454" s="46"/>
    </row>
    <row r="455" spans="3:4">
      <c r="D455" s="46"/>
    </row>
    <row r="458" spans="3:4">
      <c r="C458" s="46"/>
      <c r="D458" s="46"/>
    </row>
    <row r="477" spans="4:4">
      <c r="D477" s="46"/>
    </row>
    <row r="483" spans="4:4">
      <c r="D483" s="46"/>
    </row>
    <row r="485" spans="4:4">
      <c r="D485" s="46"/>
    </row>
    <row r="489" spans="4:4">
      <c r="D489" s="46"/>
    </row>
    <row r="493" spans="4:4">
      <c r="D493" s="46"/>
    </row>
    <row r="532" spans="6:8">
      <c r="H532" s="46"/>
    </row>
    <row r="544" spans="6:8">
      <c r="F544" s="50"/>
    </row>
    <row r="553" spans="6:6">
      <c r="F553" s="50"/>
    </row>
    <row r="561" spans="1:6">
      <c r="A561" s="51"/>
    </row>
    <row r="562" spans="1:6">
      <c r="A562" s="51"/>
      <c r="D562" s="46"/>
    </row>
    <row r="563" spans="1:6">
      <c r="D563" s="46"/>
    </row>
    <row r="565" spans="1:6">
      <c r="D565" s="46"/>
    </row>
    <row r="566" spans="1:6">
      <c r="C566" s="46"/>
      <c r="D566" s="46"/>
    </row>
    <row r="567" spans="1:6">
      <c r="A567" s="51"/>
    </row>
    <row r="569" spans="1:6">
      <c r="A569" s="51"/>
      <c r="F569" s="50"/>
    </row>
    <row r="579" spans="1:4">
      <c r="D579" s="46"/>
    </row>
    <row r="580" spans="1:4">
      <c r="D580" s="46"/>
    </row>
    <row r="581" spans="1:4">
      <c r="D581" s="46"/>
    </row>
    <row r="589" spans="1:4">
      <c r="A589" s="51"/>
    </row>
    <row r="593" spans="1:6">
      <c r="A593" s="51"/>
    </row>
    <row r="596" spans="1:6">
      <c r="F596" s="50"/>
    </row>
    <row r="597" spans="1:6">
      <c r="D597" s="46"/>
    </row>
    <row r="599" spans="1:6">
      <c r="D599" s="46"/>
    </row>
    <row r="602" spans="1:6">
      <c r="A602" s="51"/>
    </row>
    <row r="603" spans="1:6">
      <c r="A603" s="51"/>
    </row>
    <row r="605" spans="1:6">
      <c r="D605" s="46"/>
    </row>
    <row r="606" spans="1:6">
      <c r="D606" s="46"/>
    </row>
    <row r="607" spans="1:6">
      <c r="D607" s="46"/>
    </row>
  </sheetData>
  <phoneticPr fontId="25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11111111111111111111155"/>
  <dimension ref="A1:S125"/>
  <sheetViews>
    <sheetView showGridLines="0" view="pageBreakPreview" topLeftCell="A3" zoomScale="60" workbookViewId="0">
      <pane xSplit="3" ySplit="3" topLeftCell="D75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baseColWidth="10" defaultRowHeight="12.75"/>
  <cols>
    <col min="1" max="1" width="12.7109375" style="6" customWidth="1"/>
    <col min="2" max="2" width="16.5703125" style="6" customWidth="1"/>
    <col min="3" max="3" width="12.85546875" style="6" customWidth="1"/>
    <col min="4" max="4" width="10.140625" style="6" customWidth="1"/>
    <col min="5" max="5" width="11.7109375" style="6" customWidth="1"/>
    <col min="6" max="6" width="10.28515625" style="6" customWidth="1"/>
    <col min="7" max="7" width="12" style="6" customWidth="1"/>
    <col min="8" max="8" width="26.5703125" style="6" bestFit="1" customWidth="1"/>
    <col min="9" max="9" width="12.28515625" style="6" bestFit="1" customWidth="1"/>
    <col min="10" max="10" width="12.425781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0.28515625" style="6" customWidth="1"/>
    <col min="16" max="16" width="12.85546875" style="6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331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08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 ht="15">
      <c r="A6" s="116"/>
      <c r="B6" s="117" t="s">
        <v>68</v>
      </c>
      <c r="C6" s="118"/>
      <c r="D6" s="119"/>
      <c r="E6" s="120"/>
      <c r="F6" s="121"/>
      <c r="G6" s="121"/>
      <c r="H6" s="119"/>
      <c r="I6" s="120"/>
      <c r="J6" s="121"/>
      <c r="K6" s="121"/>
      <c r="L6" s="121"/>
      <c r="M6" s="121"/>
      <c r="N6" s="121"/>
      <c r="O6" s="121"/>
      <c r="P6" s="122"/>
    </row>
    <row r="7" spans="1:19" ht="15">
      <c r="A7" s="116"/>
      <c r="B7" s="117" t="s">
        <v>351</v>
      </c>
      <c r="C7" s="118"/>
      <c r="D7" s="119"/>
      <c r="E7" s="120"/>
      <c r="F7" s="121"/>
      <c r="G7" s="121"/>
      <c r="H7" s="119"/>
      <c r="I7" s="120"/>
      <c r="J7" s="121"/>
      <c r="K7" s="121"/>
      <c r="L7" s="121"/>
      <c r="M7" s="121"/>
      <c r="N7" s="121"/>
      <c r="O7" s="121"/>
      <c r="P7" s="122"/>
    </row>
    <row r="8" spans="1:19" ht="15">
      <c r="A8" s="116" t="s">
        <v>352</v>
      </c>
      <c r="B8" s="117" t="s">
        <v>353</v>
      </c>
      <c r="C8" s="118"/>
      <c r="D8" s="119"/>
      <c r="E8" s="120"/>
      <c r="F8" s="121"/>
      <c r="G8" s="121"/>
      <c r="H8" s="119"/>
      <c r="I8" s="120"/>
      <c r="J8" s="121"/>
      <c r="K8" s="121"/>
      <c r="L8" s="121"/>
      <c r="M8" s="121"/>
      <c r="N8" s="121"/>
      <c r="O8" s="121"/>
      <c r="P8" s="122"/>
    </row>
    <row r="9" spans="1:19" ht="15">
      <c r="A9" s="116"/>
      <c r="B9" s="123" t="s">
        <v>354</v>
      </c>
      <c r="C9" s="121">
        <v>1370</v>
      </c>
      <c r="D9" s="119"/>
      <c r="E9" s="120"/>
      <c r="F9" s="121"/>
      <c r="G9" s="121"/>
      <c r="H9" s="119"/>
      <c r="I9" s="120">
        <v>1368</v>
      </c>
      <c r="J9" s="121"/>
      <c r="K9" s="121"/>
      <c r="L9" s="121"/>
      <c r="M9" s="121"/>
      <c r="N9" s="121"/>
      <c r="O9" s="121"/>
      <c r="P9" s="122">
        <f>+C9+D9-E9+F9+G9+H9-I9-J9-K9-L9-O9+M9-N9</f>
        <v>2</v>
      </c>
      <c r="Q9" s="56"/>
      <c r="R9" s="56"/>
      <c r="S9" s="56"/>
    </row>
    <row r="10" spans="1:19" ht="15">
      <c r="A10" s="116"/>
      <c r="B10" s="124" t="s">
        <v>355</v>
      </c>
      <c r="C10" s="125">
        <v>0</v>
      </c>
      <c r="D10" s="126"/>
      <c r="E10" s="127"/>
      <c r="F10" s="125"/>
      <c r="G10" s="125">
        <v>1306</v>
      </c>
      <c r="H10" s="126"/>
      <c r="I10" s="127"/>
      <c r="J10" s="125"/>
      <c r="K10" s="125"/>
      <c r="L10" s="125"/>
      <c r="M10" s="125"/>
      <c r="N10" s="125"/>
      <c r="O10" s="125">
        <v>68</v>
      </c>
      <c r="P10" s="128">
        <f>+C10+D10-E10+F10+G10+H10-I10-J10-K10-L10-O10+M10-N10</f>
        <v>1238</v>
      </c>
    </row>
    <row r="11" spans="1:19" ht="15">
      <c r="A11" s="129"/>
      <c r="B11" s="130" t="s">
        <v>356</v>
      </c>
      <c r="C11" s="125">
        <f>SUM(C9:C10)</f>
        <v>1370</v>
      </c>
      <c r="D11" s="125">
        <f t="shared" ref="D11:J11" si="0">SUM(D9:D10)</f>
        <v>0</v>
      </c>
      <c r="E11" s="125">
        <f t="shared" si="0"/>
        <v>0</v>
      </c>
      <c r="F11" s="125">
        <f t="shared" si="0"/>
        <v>0</v>
      </c>
      <c r="G11" s="125">
        <f t="shared" si="0"/>
        <v>1306</v>
      </c>
      <c r="H11" s="125">
        <f t="shared" si="0"/>
        <v>0</v>
      </c>
      <c r="I11" s="125">
        <f t="shared" si="0"/>
        <v>1368</v>
      </c>
      <c r="J11" s="125">
        <f t="shared" si="0"/>
        <v>0</v>
      </c>
      <c r="K11" s="125">
        <f>SUM(K10)</f>
        <v>0</v>
      </c>
      <c r="L11" s="125">
        <f>SUM(L9:L10)</f>
        <v>0</v>
      </c>
      <c r="M11" s="125">
        <f>SUM(M10)</f>
        <v>0</v>
      </c>
      <c r="N11" s="125"/>
      <c r="O11" s="125">
        <f>SUM(O9:O10)</f>
        <v>68</v>
      </c>
      <c r="P11" s="128">
        <f>SUM(P9:P10)</f>
        <v>1240</v>
      </c>
    </row>
    <row r="12" spans="1:19" ht="15">
      <c r="A12" s="116"/>
      <c r="B12" s="117" t="s">
        <v>74</v>
      </c>
      <c r="C12" s="121"/>
      <c r="D12" s="119"/>
      <c r="E12" s="120"/>
      <c r="F12" s="121"/>
      <c r="G12" s="121"/>
      <c r="H12" s="119"/>
      <c r="I12" s="120"/>
      <c r="J12" s="121"/>
      <c r="K12" s="121"/>
      <c r="L12" s="121"/>
      <c r="M12" s="121"/>
      <c r="N12" s="121"/>
      <c r="O12" s="121"/>
      <c r="P12" s="122"/>
    </row>
    <row r="13" spans="1:19" ht="15">
      <c r="A13" s="116"/>
      <c r="B13" s="117" t="s">
        <v>357</v>
      </c>
      <c r="C13" s="121"/>
      <c r="D13" s="119"/>
      <c r="E13" s="120"/>
      <c r="F13" s="121"/>
      <c r="G13" s="121"/>
      <c r="H13" s="119"/>
      <c r="I13" s="120"/>
      <c r="J13" s="121"/>
      <c r="K13" s="121"/>
      <c r="L13" s="121"/>
      <c r="M13" s="121"/>
      <c r="N13" s="121"/>
      <c r="O13" s="121"/>
      <c r="P13" s="122"/>
    </row>
    <row r="14" spans="1:19" ht="15">
      <c r="A14" s="116" t="s">
        <v>358</v>
      </c>
      <c r="B14" s="117" t="s">
        <v>353</v>
      </c>
      <c r="C14" s="121"/>
      <c r="D14" s="119"/>
      <c r="E14" s="120"/>
      <c r="F14" s="121"/>
      <c r="G14" s="121"/>
      <c r="H14" s="119"/>
      <c r="I14" s="120"/>
      <c r="J14" s="121"/>
      <c r="K14" s="121"/>
      <c r="L14" s="121"/>
      <c r="M14" s="121"/>
      <c r="N14" s="121"/>
      <c r="O14" s="121"/>
      <c r="P14" s="122"/>
    </row>
    <row r="15" spans="1:19" ht="15">
      <c r="A15" s="116"/>
      <c r="B15" s="123" t="s">
        <v>359</v>
      </c>
      <c r="C15" s="121">
        <v>500</v>
      </c>
      <c r="D15" s="119"/>
      <c r="E15" s="120"/>
      <c r="F15" s="121"/>
      <c r="G15" s="121"/>
      <c r="H15" s="119"/>
      <c r="I15" s="120">
        <f>147+352</f>
        <v>499</v>
      </c>
      <c r="J15" s="121"/>
      <c r="K15" s="121"/>
      <c r="L15" s="121"/>
      <c r="M15" s="121"/>
      <c r="N15" s="121"/>
      <c r="O15" s="121">
        <v>1</v>
      </c>
      <c r="P15" s="122">
        <f>+C15+D15-E15+F15+G15+H15-I15-J15-K15-L15-O15+M15-N15</f>
        <v>0</v>
      </c>
    </row>
    <row r="16" spans="1:19" ht="15">
      <c r="A16" s="116"/>
      <c r="B16" s="123" t="s">
        <v>354</v>
      </c>
      <c r="C16" s="121">
        <v>40</v>
      </c>
      <c r="D16" s="121"/>
      <c r="E16" s="121"/>
      <c r="F16" s="121"/>
      <c r="G16" s="121"/>
      <c r="H16" s="121">
        <v>1368</v>
      </c>
      <c r="I16" s="121">
        <v>40</v>
      </c>
      <c r="J16" s="121"/>
      <c r="K16" s="121"/>
      <c r="L16" s="121"/>
      <c r="M16" s="121"/>
      <c r="N16" s="121"/>
      <c r="O16" s="121">
        <v>12</v>
      </c>
      <c r="P16" s="122">
        <f>+C16+D16-E16+F16+G16+H16-I16-J16-K16-L16-O16+M16-N16</f>
        <v>1356</v>
      </c>
    </row>
    <row r="17" spans="1:17" ht="15">
      <c r="A17" s="116"/>
      <c r="B17" s="114" t="s">
        <v>355</v>
      </c>
      <c r="C17" s="125">
        <v>0</v>
      </c>
      <c r="D17" s="126"/>
      <c r="E17" s="127"/>
      <c r="F17" s="125"/>
      <c r="G17" s="125"/>
      <c r="H17" s="126"/>
      <c r="I17" s="127"/>
      <c r="J17" s="125"/>
      <c r="K17" s="125"/>
      <c r="L17" s="125"/>
      <c r="M17" s="126"/>
      <c r="N17" s="127"/>
      <c r="O17" s="125"/>
      <c r="P17" s="128">
        <f>+C17+D17-E17+F17+G17+H17-I17-J17-K17-L17-O17+M17-N17</f>
        <v>0</v>
      </c>
    </row>
    <row r="18" spans="1:17" ht="15">
      <c r="A18" s="129"/>
      <c r="B18" s="130" t="s">
        <v>356</v>
      </c>
      <c r="C18" s="125">
        <f>SUM(C15:C17)</f>
        <v>540</v>
      </c>
      <c r="D18" s="125">
        <f>SUM(D15:D16)</f>
        <v>0</v>
      </c>
      <c r="E18" s="125">
        <f>SUM(E17)</f>
        <v>0</v>
      </c>
      <c r="F18" s="125"/>
      <c r="G18" s="125">
        <f>SUM(G16:G16)</f>
        <v>0</v>
      </c>
      <c r="H18" s="125">
        <f>SUM(H16:H17)</f>
        <v>1368</v>
      </c>
      <c r="I18" s="125">
        <f>SUM(I15:I16)</f>
        <v>539</v>
      </c>
      <c r="J18" s="125">
        <f>SUM(J15:J16)</f>
        <v>0</v>
      </c>
      <c r="K18" s="125"/>
      <c r="L18" s="125">
        <f>SUM(L15:L16)</f>
        <v>0</v>
      </c>
      <c r="M18" s="125">
        <f>SUM(M16)</f>
        <v>0</v>
      </c>
      <c r="N18" s="125"/>
      <c r="O18" s="125">
        <f>SUM(O15:O16)</f>
        <v>13</v>
      </c>
      <c r="P18" s="128">
        <f>SUM(P15:P17)</f>
        <v>1356</v>
      </c>
    </row>
    <row r="19" spans="1:17" ht="15">
      <c r="A19" s="116"/>
      <c r="B19" s="117" t="s">
        <v>83</v>
      </c>
      <c r="C19" s="121"/>
      <c r="D19" s="119"/>
      <c r="E19" s="120"/>
      <c r="F19" s="121"/>
      <c r="G19" s="121"/>
      <c r="H19" s="119"/>
      <c r="I19" s="120"/>
      <c r="J19" s="121"/>
      <c r="K19" s="121"/>
      <c r="L19" s="121"/>
      <c r="M19" s="121"/>
      <c r="N19" s="121"/>
      <c r="O19" s="121"/>
      <c r="P19" s="122"/>
    </row>
    <row r="20" spans="1:17" ht="15">
      <c r="A20" s="116"/>
      <c r="B20" s="117" t="s">
        <v>360</v>
      </c>
      <c r="C20" s="121"/>
      <c r="D20" s="119"/>
      <c r="E20" s="120"/>
      <c r="F20" s="121"/>
      <c r="G20" s="121"/>
      <c r="H20" s="119"/>
      <c r="I20" s="120"/>
      <c r="J20" s="121"/>
      <c r="K20" s="121"/>
      <c r="L20" s="121"/>
      <c r="M20" s="121"/>
      <c r="N20" s="121"/>
      <c r="O20" s="121"/>
      <c r="P20" s="122"/>
    </row>
    <row r="21" spans="1:17" ht="15">
      <c r="A21" s="116" t="s">
        <v>361</v>
      </c>
      <c r="B21" s="117" t="s">
        <v>353</v>
      </c>
      <c r="C21" s="121"/>
      <c r="D21" s="119"/>
      <c r="E21" s="120"/>
      <c r="F21" s="121"/>
      <c r="G21" s="121"/>
      <c r="H21" s="119"/>
      <c r="I21" s="120"/>
      <c r="J21" s="121"/>
      <c r="K21" s="121"/>
      <c r="L21" s="121"/>
      <c r="M21" s="121"/>
      <c r="N21" s="121"/>
      <c r="O21" s="121"/>
      <c r="P21" s="122"/>
    </row>
    <row r="22" spans="1:17" ht="15">
      <c r="A22" s="116"/>
      <c r="B22" s="123" t="s">
        <v>362</v>
      </c>
      <c r="C22" s="121">
        <v>0</v>
      </c>
      <c r="D22" s="119"/>
      <c r="E22" s="120"/>
      <c r="F22" s="121"/>
      <c r="G22" s="121"/>
      <c r="H22" s="119"/>
      <c r="I22" s="120"/>
      <c r="J22" s="121"/>
      <c r="K22" s="121"/>
      <c r="L22" s="121"/>
      <c r="M22" s="121"/>
      <c r="N22" s="121"/>
      <c r="O22" s="121"/>
      <c r="P22" s="122">
        <f>+C22+D22-E22+F22+G22+H22-I22-J22-K22-L22-O22+M22-N22</f>
        <v>0</v>
      </c>
    </row>
    <row r="23" spans="1:17" ht="15">
      <c r="A23" s="116"/>
      <c r="B23" s="123" t="s">
        <v>359</v>
      </c>
      <c r="C23" s="121">
        <v>470</v>
      </c>
      <c r="D23" s="119"/>
      <c r="E23" s="120"/>
      <c r="F23" s="121"/>
      <c r="G23" s="121"/>
      <c r="H23" s="119">
        <v>499</v>
      </c>
      <c r="I23" s="120">
        <v>969</v>
      </c>
      <c r="J23" s="121"/>
      <c r="K23" s="121"/>
      <c r="L23" s="121"/>
      <c r="M23" s="121"/>
      <c r="N23" s="121"/>
      <c r="O23" s="121"/>
      <c r="P23" s="122">
        <f>+C23+D23-E23+F23+G23+H23-I23-J23-K23-L23-O23+M23-N23</f>
        <v>0</v>
      </c>
      <c r="Q23" s="56"/>
    </row>
    <row r="24" spans="1:17" ht="15">
      <c r="A24" s="116"/>
      <c r="B24" s="114" t="s">
        <v>354</v>
      </c>
      <c r="C24" s="125">
        <v>0</v>
      </c>
      <c r="D24" s="126"/>
      <c r="E24" s="127"/>
      <c r="F24" s="125"/>
      <c r="G24" s="125"/>
      <c r="H24" s="126">
        <v>40</v>
      </c>
      <c r="I24" s="127"/>
      <c r="J24" s="125"/>
      <c r="K24" s="125"/>
      <c r="L24" s="125"/>
      <c r="M24" s="125"/>
      <c r="N24" s="125"/>
      <c r="O24" s="125"/>
      <c r="P24" s="128">
        <f>+C24+D24-E24+F24+G24+H24-I24-J24-K24-L24-O24+M24-N24</f>
        <v>40</v>
      </c>
      <c r="Q24" s="56"/>
    </row>
    <row r="25" spans="1:17" ht="15">
      <c r="A25" s="129"/>
      <c r="B25" s="130" t="s">
        <v>356</v>
      </c>
      <c r="C25" s="125">
        <f>SUM(C22:C24)</f>
        <v>470</v>
      </c>
      <c r="D25" s="125">
        <f>SUM(D22:D23)</f>
        <v>0</v>
      </c>
      <c r="E25" s="125">
        <f>SUM(E22:E23)</f>
        <v>0</v>
      </c>
      <c r="F25" s="125">
        <f>SUM(F23:F23)</f>
        <v>0</v>
      </c>
      <c r="G25" s="125">
        <f>SUM(G23:G23)</f>
        <v>0</v>
      </c>
      <c r="H25" s="125">
        <f>SUM(H22:H24)</f>
        <v>539</v>
      </c>
      <c r="I25" s="125">
        <f>SUM(I22:I23)</f>
        <v>969</v>
      </c>
      <c r="J25" s="125">
        <f>SUM(J22:J23)</f>
        <v>0</v>
      </c>
      <c r="K25" s="125"/>
      <c r="L25" s="125">
        <f>SUM(L22:L23)</f>
        <v>0</v>
      </c>
      <c r="M25" s="125"/>
      <c r="N25" s="125"/>
      <c r="O25" s="125">
        <f>SUM(O22:O23)</f>
        <v>0</v>
      </c>
      <c r="P25" s="128">
        <f>SUM(P22:P24)</f>
        <v>40</v>
      </c>
    </row>
    <row r="26" spans="1:17" ht="15">
      <c r="A26" s="116"/>
      <c r="B26" s="117" t="s">
        <v>363</v>
      </c>
      <c r="C26" s="121"/>
      <c r="D26" s="119"/>
      <c r="E26" s="120"/>
      <c r="F26" s="121"/>
      <c r="G26" s="121"/>
      <c r="H26" s="119"/>
      <c r="I26" s="120"/>
      <c r="J26" s="121"/>
      <c r="K26" s="121"/>
      <c r="L26" s="121"/>
      <c r="M26" s="121"/>
      <c r="N26" s="121"/>
      <c r="O26" s="121"/>
      <c r="P26" s="122"/>
    </row>
    <row r="27" spans="1:17" ht="15">
      <c r="A27" s="116"/>
      <c r="B27" s="117" t="s">
        <v>364</v>
      </c>
      <c r="C27" s="121"/>
      <c r="D27" s="119"/>
      <c r="E27" s="120"/>
      <c r="F27" s="121"/>
      <c r="G27" s="121"/>
      <c r="H27" s="119"/>
      <c r="I27" s="120"/>
      <c r="J27" s="121"/>
      <c r="K27" s="121"/>
      <c r="L27" s="121"/>
      <c r="M27" s="121"/>
      <c r="N27" s="121"/>
      <c r="O27" s="121"/>
      <c r="P27" s="122"/>
    </row>
    <row r="28" spans="1:17" ht="15">
      <c r="A28" s="116"/>
      <c r="B28" s="117" t="s">
        <v>353</v>
      </c>
      <c r="C28" s="121"/>
      <c r="D28" s="119"/>
      <c r="E28" s="120"/>
      <c r="F28" s="121"/>
      <c r="G28" s="121"/>
      <c r="H28" s="119"/>
      <c r="I28" s="120"/>
      <c r="J28" s="121"/>
      <c r="K28" s="121"/>
      <c r="L28" s="121"/>
      <c r="M28" s="121"/>
      <c r="N28" s="121"/>
      <c r="O28" s="121"/>
      <c r="P28" s="122"/>
    </row>
    <row r="29" spans="1:17" ht="15">
      <c r="A29" s="116" t="s">
        <v>365</v>
      </c>
      <c r="B29" s="131">
        <v>97</v>
      </c>
      <c r="C29" s="121">
        <v>0</v>
      </c>
      <c r="D29" s="119"/>
      <c r="E29" s="120"/>
      <c r="F29" s="121"/>
      <c r="G29" s="121"/>
      <c r="H29" s="119"/>
      <c r="I29" s="120"/>
      <c r="J29" s="121"/>
      <c r="K29" s="121"/>
      <c r="L29" s="121"/>
      <c r="M29" s="121"/>
      <c r="N29" s="121"/>
      <c r="O29" s="121"/>
      <c r="P29" s="122">
        <f t="shared" ref="P29:P37" si="1">+C29+D29-E29+F29+G29+H29-I29-J29-K29-L29-O29+M29-N29</f>
        <v>0</v>
      </c>
    </row>
    <row r="30" spans="1:17" ht="15">
      <c r="A30" s="116"/>
      <c r="B30" s="123" t="s">
        <v>366</v>
      </c>
      <c r="C30" s="121">
        <v>0</v>
      </c>
      <c r="D30" s="119"/>
      <c r="E30" s="120"/>
      <c r="F30" s="121"/>
      <c r="G30" s="121"/>
      <c r="H30" s="119"/>
      <c r="I30" s="120"/>
      <c r="J30" s="121"/>
      <c r="K30" s="121"/>
      <c r="L30" s="121"/>
      <c r="M30" s="121"/>
      <c r="N30" s="121"/>
      <c r="O30" s="121"/>
      <c r="P30" s="122">
        <f t="shared" si="1"/>
        <v>0</v>
      </c>
    </row>
    <row r="31" spans="1:17" ht="15">
      <c r="A31" s="116"/>
      <c r="B31" s="123" t="s">
        <v>367</v>
      </c>
      <c r="C31" s="121">
        <v>1</v>
      </c>
      <c r="D31" s="119"/>
      <c r="E31" s="120"/>
      <c r="F31" s="121"/>
      <c r="G31" s="121"/>
      <c r="H31" s="119"/>
      <c r="I31" s="120"/>
      <c r="J31" s="121">
        <v>1</v>
      </c>
      <c r="K31" s="121"/>
      <c r="L31" s="121"/>
      <c r="M31" s="121"/>
      <c r="N31" s="121"/>
      <c r="O31" s="121"/>
      <c r="P31" s="122">
        <f t="shared" si="1"/>
        <v>0</v>
      </c>
    </row>
    <row r="32" spans="1:17" ht="15">
      <c r="A32" s="116"/>
      <c r="B32" s="123" t="s">
        <v>368</v>
      </c>
      <c r="C32" s="121">
        <v>0</v>
      </c>
      <c r="D32" s="119"/>
      <c r="E32" s="120"/>
      <c r="F32" s="121"/>
      <c r="G32" s="121"/>
      <c r="H32" s="119"/>
      <c r="I32" s="120"/>
      <c r="J32" s="121"/>
      <c r="K32" s="121"/>
      <c r="L32" s="121"/>
      <c r="M32" s="121"/>
      <c r="N32" s="121"/>
      <c r="O32" s="121"/>
      <c r="P32" s="122">
        <f t="shared" si="1"/>
        <v>0</v>
      </c>
      <c r="Q32" s="56"/>
    </row>
    <row r="33" spans="1:17" ht="15">
      <c r="A33" s="116"/>
      <c r="B33" s="123" t="s">
        <v>369</v>
      </c>
      <c r="C33" s="121">
        <v>1</v>
      </c>
      <c r="D33" s="119"/>
      <c r="E33" s="120"/>
      <c r="F33" s="121"/>
      <c r="G33" s="121"/>
      <c r="H33" s="119"/>
      <c r="I33" s="120"/>
      <c r="J33" s="121">
        <v>1</v>
      </c>
      <c r="K33" s="121"/>
      <c r="L33" s="121"/>
      <c r="M33" s="121"/>
      <c r="N33" s="121"/>
      <c r="O33" s="121"/>
      <c r="P33" s="122">
        <f t="shared" si="1"/>
        <v>0</v>
      </c>
      <c r="Q33" s="56"/>
    </row>
    <row r="34" spans="1:17" ht="15">
      <c r="A34" s="116"/>
      <c r="B34" s="123" t="s">
        <v>370</v>
      </c>
      <c r="C34" s="121">
        <v>14</v>
      </c>
      <c r="D34" s="119"/>
      <c r="E34" s="120"/>
      <c r="F34" s="121"/>
      <c r="G34" s="121"/>
      <c r="H34" s="119"/>
      <c r="I34" s="120"/>
      <c r="J34" s="121">
        <v>14</v>
      </c>
      <c r="K34" s="121"/>
      <c r="L34" s="121"/>
      <c r="M34" s="121"/>
      <c r="N34" s="121"/>
      <c r="O34" s="121"/>
      <c r="P34" s="122">
        <f t="shared" si="1"/>
        <v>0</v>
      </c>
      <c r="Q34" s="56"/>
    </row>
    <row r="35" spans="1:17" ht="15">
      <c r="A35" s="116"/>
      <c r="B35" s="123" t="s">
        <v>371</v>
      </c>
      <c r="C35" s="121">
        <v>217</v>
      </c>
      <c r="D35" s="119"/>
      <c r="E35" s="120">
        <v>1</v>
      </c>
      <c r="F35" s="121"/>
      <c r="G35" s="121"/>
      <c r="H35" s="119"/>
      <c r="I35" s="120"/>
      <c r="J35" s="121">
        <v>216</v>
      </c>
      <c r="K35" s="121"/>
      <c r="L35" s="121"/>
      <c r="M35" s="121"/>
      <c r="N35" s="121"/>
      <c r="O35" s="121"/>
      <c r="P35" s="122">
        <f t="shared" si="1"/>
        <v>0</v>
      </c>
      <c r="Q35" s="56"/>
    </row>
    <row r="36" spans="1:17" ht="15">
      <c r="A36" s="116"/>
      <c r="B36" s="123" t="s">
        <v>362</v>
      </c>
      <c r="C36" s="121">
        <v>904</v>
      </c>
      <c r="D36" s="119"/>
      <c r="E36" s="120"/>
      <c r="F36" s="121"/>
      <c r="G36" s="121"/>
      <c r="H36" s="119"/>
      <c r="I36" s="120"/>
      <c r="J36" s="121">
        <v>894</v>
      </c>
      <c r="K36" s="121"/>
      <c r="L36" s="121"/>
      <c r="M36" s="121"/>
      <c r="N36" s="121"/>
      <c r="O36" s="121">
        <v>10</v>
      </c>
      <c r="P36" s="122">
        <f t="shared" si="1"/>
        <v>0</v>
      </c>
    </row>
    <row r="37" spans="1:17" ht="15">
      <c r="A37" s="116"/>
      <c r="B37" s="114" t="s">
        <v>359</v>
      </c>
      <c r="C37" s="125">
        <v>0</v>
      </c>
      <c r="D37" s="126"/>
      <c r="E37" s="127"/>
      <c r="F37" s="125"/>
      <c r="G37" s="125"/>
      <c r="H37" s="126">
        <v>969</v>
      </c>
      <c r="I37" s="127"/>
      <c r="J37" s="125"/>
      <c r="K37" s="125"/>
      <c r="L37" s="125"/>
      <c r="M37" s="125"/>
      <c r="N37" s="125"/>
      <c r="O37" s="125"/>
      <c r="P37" s="128">
        <f t="shared" si="1"/>
        <v>969</v>
      </c>
    </row>
    <row r="38" spans="1:17" ht="15">
      <c r="A38" s="129"/>
      <c r="B38" s="130" t="s">
        <v>356</v>
      </c>
      <c r="C38" s="125">
        <f>SUM(C29:C37)</f>
        <v>1137</v>
      </c>
      <c r="D38" s="125">
        <f>SUM(D29:D36)</f>
        <v>0</v>
      </c>
      <c r="E38" s="125">
        <f>SUM(E29:E36)</f>
        <v>1</v>
      </c>
      <c r="F38" s="125">
        <f>SUM(F29:F36)</f>
        <v>0</v>
      </c>
      <c r="G38" s="125">
        <f>SUM(G29:G36)</f>
        <v>0</v>
      </c>
      <c r="H38" s="125">
        <f>SUM(H37)</f>
        <v>969</v>
      </c>
      <c r="I38" s="125">
        <f>SUM(I29:I36)</f>
        <v>0</v>
      </c>
      <c r="J38" s="125">
        <f>SUM(J29:J36)</f>
        <v>1126</v>
      </c>
      <c r="K38" s="125">
        <f>SUM(K33:K36)</f>
        <v>0</v>
      </c>
      <c r="L38" s="125">
        <f>SUM(L35:L36)</f>
        <v>0</v>
      </c>
      <c r="M38" s="125"/>
      <c r="N38" s="125"/>
      <c r="O38" s="125">
        <f>SUM(O29:O36)</f>
        <v>10</v>
      </c>
      <c r="P38" s="128">
        <f>SUM(P29:P37)</f>
        <v>969</v>
      </c>
    </row>
    <row r="39" spans="1:17" ht="15">
      <c r="A39" s="116"/>
      <c r="B39" s="117" t="s">
        <v>372</v>
      </c>
      <c r="C39" s="121"/>
      <c r="D39" s="119"/>
      <c r="E39" s="120"/>
      <c r="F39" s="121"/>
      <c r="G39" s="121"/>
      <c r="H39" s="119"/>
      <c r="I39" s="120"/>
      <c r="J39" s="121"/>
      <c r="K39" s="121"/>
      <c r="L39" s="121"/>
      <c r="M39" s="121"/>
      <c r="N39" s="121"/>
      <c r="O39" s="121"/>
      <c r="P39" s="122"/>
    </row>
    <row r="40" spans="1:17" ht="15">
      <c r="A40" s="116"/>
      <c r="B40" s="117" t="s">
        <v>373</v>
      </c>
      <c r="C40" s="121"/>
      <c r="D40" s="119"/>
      <c r="E40" s="120"/>
      <c r="F40" s="121"/>
      <c r="G40" s="121"/>
      <c r="H40" s="119"/>
      <c r="I40" s="120"/>
      <c r="J40" s="121"/>
      <c r="K40" s="121"/>
      <c r="L40" s="121"/>
      <c r="M40" s="121"/>
      <c r="N40" s="121"/>
      <c r="O40" s="121"/>
      <c r="P40" s="122"/>
    </row>
    <row r="41" spans="1:17" ht="15">
      <c r="A41" s="116"/>
      <c r="B41" s="117" t="s">
        <v>353</v>
      </c>
      <c r="C41" s="121"/>
      <c r="D41" s="119"/>
      <c r="E41" s="120"/>
      <c r="F41" s="121"/>
      <c r="G41" s="121"/>
      <c r="H41" s="119"/>
      <c r="I41" s="120"/>
      <c r="J41" s="121"/>
      <c r="K41" s="121"/>
      <c r="L41" s="121"/>
      <c r="M41" s="121"/>
      <c r="N41" s="121"/>
      <c r="O41" s="121"/>
      <c r="P41" s="122"/>
    </row>
    <row r="42" spans="1:17" ht="15">
      <c r="A42" s="116"/>
      <c r="B42" s="131">
        <v>98</v>
      </c>
      <c r="C42" s="121">
        <v>0</v>
      </c>
      <c r="D42" s="119"/>
      <c r="E42" s="120"/>
      <c r="F42" s="121"/>
      <c r="G42" s="121"/>
      <c r="H42" s="119"/>
      <c r="I42" s="120"/>
      <c r="J42" s="121"/>
      <c r="K42" s="121"/>
      <c r="L42" s="121"/>
      <c r="M42" s="121"/>
      <c r="N42" s="121"/>
      <c r="O42" s="121"/>
      <c r="P42" s="122">
        <f t="shared" ref="P42:P48" si="2">+C42+D42-E42+F42+G42+H42-I42-J42-K42-L42-O42+M42-N42</f>
        <v>0</v>
      </c>
      <c r="Q42" s="56"/>
    </row>
    <row r="43" spans="1:17" ht="15">
      <c r="A43" s="116"/>
      <c r="B43" s="131">
        <v>99</v>
      </c>
      <c r="C43" s="121">
        <v>15</v>
      </c>
      <c r="D43" s="119"/>
      <c r="E43" s="120"/>
      <c r="F43" s="121"/>
      <c r="G43" s="121"/>
      <c r="H43" s="119"/>
      <c r="I43" s="120"/>
      <c r="J43" s="121"/>
      <c r="K43" s="121"/>
      <c r="L43" s="121"/>
      <c r="M43" s="121"/>
      <c r="N43" s="121"/>
      <c r="O43" s="121"/>
      <c r="P43" s="122">
        <f t="shared" si="2"/>
        <v>15</v>
      </c>
      <c r="Q43" s="56"/>
    </row>
    <row r="44" spans="1:17" ht="15">
      <c r="A44" s="116"/>
      <c r="B44" s="123" t="s">
        <v>366</v>
      </c>
      <c r="C44" s="121">
        <v>8</v>
      </c>
      <c r="D44" s="119"/>
      <c r="E44" s="120"/>
      <c r="F44" s="121"/>
      <c r="G44" s="121"/>
      <c r="H44" s="119"/>
      <c r="I44" s="120"/>
      <c r="J44" s="121"/>
      <c r="K44" s="121"/>
      <c r="L44" s="121"/>
      <c r="M44" s="121"/>
      <c r="N44" s="121"/>
      <c r="O44" s="121"/>
      <c r="P44" s="122">
        <f t="shared" si="2"/>
        <v>8</v>
      </c>
      <c r="Q44" s="56"/>
    </row>
    <row r="45" spans="1:17" ht="15">
      <c r="A45" s="116"/>
      <c r="B45" s="123" t="s">
        <v>367</v>
      </c>
      <c r="C45" s="121">
        <v>1</v>
      </c>
      <c r="D45" s="119"/>
      <c r="E45" s="120"/>
      <c r="F45" s="121"/>
      <c r="G45" s="121"/>
      <c r="H45" s="119"/>
      <c r="I45" s="120"/>
      <c r="J45" s="121"/>
      <c r="K45" s="121"/>
      <c r="L45" s="121"/>
      <c r="M45" s="121"/>
      <c r="N45" s="121"/>
      <c r="O45" s="121"/>
      <c r="P45" s="122">
        <f t="shared" si="2"/>
        <v>1</v>
      </c>
      <c r="Q45" s="56"/>
    </row>
    <row r="46" spans="1:17" ht="15">
      <c r="A46" s="116"/>
      <c r="B46" s="123" t="s">
        <v>369</v>
      </c>
      <c r="C46" s="121">
        <v>5</v>
      </c>
      <c r="D46" s="119"/>
      <c r="E46" s="120"/>
      <c r="F46" s="121"/>
      <c r="G46" s="121"/>
      <c r="H46" s="119"/>
      <c r="I46" s="120"/>
      <c r="J46" s="121"/>
      <c r="K46" s="121"/>
      <c r="L46" s="121"/>
      <c r="M46" s="121"/>
      <c r="N46" s="121"/>
      <c r="O46" s="121"/>
      <c r="P46" s="122">
        <f t="shared" si="2"/>
        <v>5</v>
      </c>
      <c r="Q46" s="56"/>
    </row>
    <row r="47" spans="1:17" ht="15">
      <c r="A47" s="116"/>
      <c r="B47" s="123" t="s">
        <v>371</v>
      </c>
      <c r="C47" s="121">
        <v>0</v>
      </c>
      <c r="D47" s="119"/>
      <c r="E47" s="120"/>
      <c r="F47" s="121"/>
      <c r="G47" s="121"/>
      <c r="H47" s="119"/>
      <c r="I47" s="120"/>
      <c r="J47" s="121"/>
      <c r="K47" s="121"/>
      <c r="L47" s="121"/>
      <c r="M47" s="121"/>
      <c r="N47" s="121"/>
      <c r="O47" s="121"/>
      <c r="P47" s="122">
        <f t="shared" si="2"/>
        <v>0</v>
      </c>
      <c r="Q47" s="56"/>
    </row>
    <row r="48" spans="1:17" ht="15">
      <c r="A48" s="116"/>
      <c r="B48" s="114" t="s">
        <v>362</v>
      </c>
      <c r="C48" s="125">
        <v>0</v>
      </c>
      <c r="D48" s="126"/>
      <c r="E48" s="127"/>
      <c r="F48" s="125"/>
      <c r="G48" s="125"/>
      <c r="H48" s="126"/>
      <c r="I48" s="127"/>
      <c r="J48" s="125"/>
      <c r="K48" s="125"/>
      <c r="L48" s="125"/>
      <c r="M48" s="125"/>
      <c r="N48" s="125"/>
      <c r="O48" s="125"/>
      <c r="P48" s="128">
        <f t="shared" si="2"/>
        <v>0</v>
      </c>
    </row>
    <row r="49" spans="1:17" ht="15">
      <c r="A49" s="129"/>
      <c r="B49" s="130" t="s">
        <v>356</v>
      </c>
      <c r="C49" s="125">
        <f t="shared" ref="C49:J49" si="3">SUM(C42:C48)</f>
        <v>29</v>
      </c>
      <c r="D49" s="125">
        <f t="shared" si="3"/>
        <v>0</v>
      </c>
      <c r="E49" s="125">
        <f t="shared" si="3"/>
        <v>0</v>
      </c>
      <c r="F49" s="125">
        <f t="shared" si="3"/>
        <v>0</v>
      </c>
      <c r="G49" s="125">
        <f t="shared" si="3"/>
        <v>0</v>
      </c>
      <c r="H49" s="125">
        <f t="shared" si="3"/>
        <v>0</v>
      </c>
      <c r="I49" s="125">
        <f t="shared" si="3"/>
        <v>0</v>
      </c>
      <c r="J49" s="125">
        <f t="shared" si="3"/>
        <v>0</v>
      </c>
      <c r="K49" s="125"/>
      <c r="L49" s="125">
        <f>SUM(L42:L48)</f>
        <v>0</v>
      </c>
      <c r="M49" s="125"/>
      <c r="N49" s="125"/>
      <c r="O49" s="125">
        <f>SUM(O42:O48)</f>
        <v>0</v>
      </c>
      <c r="P49" s="128">
        <f>SUM(P42:P48)</f>
        <v>29</v>
      </c>
    </row>
    <row r="50" spans="1:17" ht="15">
      <c r="A50" s="132"/>
      <c r="B50" s="132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1:17" ht="15">
      <c r="A51" s="116"/>
      <c r="B51" s="117" t="s">
        <v>82</v>
      </c>
      <c r="C51" s="121"/>
      <c r="D51" s="119"/>
      <c r="E51" s="120"/>
      <c r="F51" s="121"/>
      <c r="G51" s="121"/>
      <c r="H51" s="119"/>
      <c r="I51" s="120"/>
      <c r="J51" s="121"/>
      <c r="K51" s="121"/>
      <c r="L51" s="121"/>
      <c r="M51" s="121"/>
      <c r="N51" s="121"/>
      <c r="O51" s="121"/>
      <c r="P51" s="122"/>
    </row>
    <row r="52" spans="1:17" ht="15">
      <c r="A52" s="116"/>
      <c r="B52" s="117" t="s">
        <v>351</v>
      </c>
      <c r="C52" s="121"/>
      <c r="D52" s="119"/>
      <c r="E52" s="120"/>
      <c r="F52" s="121"/>
      <c r="G52" s="121"/>
      <c r="H52" s="119"/>
      <c r="I52" s="120"/>
      <c r="J52" s="121"/>
      <c r="K52" s="121"/>
      <c r="L52" s="121"/>
      <c r="M52" s="121"/>
      <c r="N52" s="121"/>
      <c r="O52" s="121"/>
      <c r="P52" s="122"/>
    </row>
    <row r="53" spans="1:17" ht="15">
      <c r="A53" s="116" t="s">
        <v>374</v>
      </c>
      <c r="B53" s="117" t="s">
        <v>353</v>
      </c>
      <c r="C53" s="121"/>
      <c r="D53" s="119"/>
      <c r="E53" s="120"/>
      <c r="F53" s="121"/>
      <c r="G53" s="121"/>
      <c r="H53" s="119"/>
      <c r="I53" s="120"/>
      <c r="J53" s="121"/>
      <c r="K53" s="121"/>
      <c r="L53" s="121"/>
      <c r="M53" s="121"/>
      <c r="N53" s="121"/>
      <c r="O53" s="121"/>
      <c r="P53" s="122"/>
    </row>
    <row r="54" spans="1:17" ht="15">
      <c r="A54" s="116"/>
      <c r="B54" s="133" t="s">
        <v>354</v>
      </c>
      <c r="C54" s="121">
        <v>1384</v>
      </c>
      <c r="D54" s="119"/>
      <c r="E54" s="120"/>
      <c r="F54" s="121"/>
      <c r="G54" s="121"/>
      <c r="H54" s="119"/>
      <c r="I54" s="120">
        <v>1382</v>
      </c>
      <c r="J54" s="121"/>
      <c r="K54" s="121"/>
      <c r="L54" s="121"/>
      <c r="M54" s="120"/>
      <c r="N54" s="121"/>
      <c r="O54" s="121">
        <v>2</v>
      </c>
      <c r="P54" s="122">
        <f>+C54+D54-E54+F54+G54+H54-I54-J54-K54-L54-O54+M54-N54</f>
        <v>0</v>
      </c>
      <c r="Q54" s="56"/>
    </row>
    <row r="55" spans="1:17" ht="15">
      <c r="A55" s="116"/>
      <c r="B55" s="134" t="s">
        <v>355</v>
      </c>
      <c r="C55" s="125">
        <v>0</v>
      </c>
      <c r="D55" s="126"/>
      <c r="E55" s="127"/>
      <c r="F55" s="125"/>
      <c r="G55" s="125">
        <v>1344</v>
      </c>
      <c r="H55" s="126"/>
      <c r="I55" s="127"/>
      <c r="J55" s="125"/>
      <c r="K55" s="125"/>
      <c r="L55" s="125"/>
      <c r="M55" s="127"/>
      <c r="N55" s="125"/>
      <c r="O55" s="125">
        <v>72</v>
      </c>
      <c r="P55" s="128">
        <f>+C55+D55-E55+F55+G55+H55-I55-J55-K55-L55-O55+M55-N55</f>
        <v>1272</v>
      </c>
    </row>
    <row r="56" spans="1:17" ht="15">
      <c r="A56" s="129"/>
      <c r="B56" s="130" t="s">
        <v>356</v>
      </c>
      <c r="C56" s="125">
        <f>SUM(C54:C55)</f>
        <v>1384</v>
      </c>
      <c r="D56" s="125">
        <f t="shared" ref="D56:J56" si="4">SUM(D54:D55)</f>
        <v>0</v>
      </c>
      <c r="E56" s="125">
        <f t="shared" si="4"/>
        <v>0</v>
      </c>
      <c r="F56" s="125">
        <f t="shared" si="4"/>
        <v>0</v>
      </c>
      <c r="G56" s="125">
        <f t="shared" si="4"/>
        <v>1344</v>
      </c>
      <c r="H56" s="125">
        <f t="shared" si="4"/>
        <v>0</v>
      </c>
      <c r="I56" s="125">
        <f t="shared" si="4"/>
        <v>1382</v>
      </c>
      <c r="J56" s="125">
        <f t="shared" si="4"/>
        <v>0</v>
      </c>
      <c r="K56" s="125"/>
      <c r="L56" s="125"/>
      <c r="M56" s="125">
        <f>SUM(M54:M55)</f>
        <v>0</v>
      </c>
      <c r="N56" s="125"/>
      <c r="O56" s="125">
        <f>SUM(O54:O55)</f>
        <v>74</v>
      </c>
      <c r="P56" s="128">
        <f>SUM(P54:P55)</f>
        <v>1272</v>
      </c>
    </row>
    <row r="57" spans="1:17" ht="15">
      <c r="A57" s="116"/>
      <c r="B57" s="117" t="s">
        <v>75</v>
      </c>
      <c r="C57" s="121"/>
      <c r="D57" s="119"/>
      <c r="E57" s="120"/>
      <c r="F57" s="121"/>
      <c r="G57" s="121"/>
      <c r="H57" s="119"/>
      <c r="I57" s="120"/>
      <c r="J57" s="121"/>
      <c r="K57" s="121"/>
      <c r="L57" s="121"/>
      <c r="M57" s="121"/>
      <c r="N57" s="121"/>
      <c r="O57" s="121"/>
      <c r="P57" s="122"/>
    </row>
    <row r="58" spans="1:17" ht="15">
      <c r="A58" s="116"/>
      <c r="B58" s="117" t="s">
        <v>357</v>
      </c>
      <c r="C58" s="121"/>
      <c r="D58" s="119"/>
      <c r="E58" s="120"/>
      <c r="F58" s="121"/>
      <c r="G58" s="121"/>
      <c r="H58" s="119"/>
      <c r="I58" s="120"/>
      <c r="J58" s="121"/>
      <c r="K58" s="121"/>
      <c r="L58" s="121"/>
      <c r="M58" s="121"/>
      <c r="N58" s="121"/>
      <c r="O58" s="121"/>
      <c r="P58" s="122"/>
    </row>
    <row r="59" spans="1:17" ht="15">
      <c r="A59" s="116" t="s">
        <v>375</v>
      </c>
      <c r="B59" s="117" t="s">
        <v>353</v>
      </c>
      <c r="C59" s="121"/>
      <c r="D59" s="119"/>
      <c r="E59" s="120"/>
      <c r="F59" s="121"/>
      <c r="G59" s="121"/>
      <c r="H59" s="119"/>
      <c r="I59" s="120"/>
      <c r="J59" s="121"/>
      <c r="K59" s="121"/>
      <c r="L59" s="121"/>
      <c r="M59" s="121"/>
      <c r="N59" s="121"/>
      <c r="O59" s="121"/>
      <c r="P59" s="122"/>
    </row>
    <row r="60" spans="1:17" ht="15">
      <c r="A60" s="116"/>
      <c r="B60" s="135" t="s">
        <v>376</v>
      </c>
      <c r="C60" s="121">
        <v>469</v>
      </c>
      <c r="D60" s="119"/>
      <c r="E60" s="120"/>
      <c r="F60" s="121"/>
      <c r="G60" s="121"/>
      <c r="H60" s="119"/>
      <c r="I60" s="120">
        <v>152</v>
      </c>
      <c r="J60" s="121">
        <v>317</v>
      </c>
      <c r="K60" s="121"/>
      <c r="L60" s="121"/>
      <c r="M60" s="121"/>
      <c r="N60" s="121"/>
      <c r="O60" s="121"/>
      <c r="P60" s="122">
        <f>+C60+D60-E60+F60+G60+H60-I60-J60-K60-L60-O60+M60-N60</f>
        <v>0</v>
      </c>
      <c r="Q60" s="56"/>
    </row>
    <row r="61" spans="1:17" ht="15">
      <c r="A61" s="116"/>
      <c r="B61" s="135" t="s">
        <v>377</v>
      </c>
      <c r="C61" s="121">
        <v>39</v>
      </c>
      <c r="D61" s="119"/>
      <c r="E61" s="120"/>
      <c r="F61" s="121"/>
      <c r="G61" s="121"/>
      <c r="H61" s="119">
        <v>1382</v>
      </c>
      <c r="I61" s="120">
        <v>39</v>
      </c>
      <c r="J61" s="121">
        <v>383</v>
      </c>
      <c r="K61" s="121"/>
      <c r="L61" s="121"/>
      <c r="M61" s="121"/>
      <c r="N61" s="121"/>
      <c r="O61" s="121">
        <v>16</v>
      </c>
      <c r="P61" s="122">
        <f>+C61+D61-E61+F61+G61+H61-I61-J61-K61-L61-O61+M61-N61</f>
        <v>983</v>
      </c>
      <c r="Q61" s="56"/>
    </row>
    <row r="62" spans="1:17" ht="15">
      <c r="A62" s="116"/>
      <c r="B62" s="136" t="s">
        <v>378</v>
      </c>
      <c r="C62" s="125">
        <v>0</v>
      </c>
      <c r="D62" s="126"/>
      <c r="E62" s="127"/>
      <c r="F62" s="125"/>
      <c r="G62" s="125"/>
      <c r="H62" s="126"/>
      <c r="I62" s="127"/>
      <c r="J62" s="125"/>
      <c r="K62" s="125"/>
      <c r="L62" s="125"/>
      <c r="M62" s="125"/>
      <c r="N62" s="125"/>
      <c r="O62" s="125"/>
      <c r="P62" s="128">
        <f>+C62+D62-E62+F62+G62+H62-I62-J62-K62-L62-O62+M62-N62</f>
        <v>0</v>
      </c>
      <c r="Q62" s="56"/>
    </row>
    <row r="63" spans="1:17" ht="15">
      <c r="A63" s="129"/>
      <c r="B63" s="130" t="s">
        <v>356</v>
      </c>
      <c r="C63" s="125">
        <f>SUM(C60:C62)</f>
        <v>508</v>
      </c>
      <c r="D63" s="125">
        <f t="shared" ref="D63:J63" si="5">SUM(D60:D61)</f>
        <v>0</v>
      </c>
      <c r="E63" s="125">
        <f t="shared" si="5"/>
        <v>0</v>
      </c>
      <c r="F63" s="125">
        <f t="shared" si="5"/>
        <v>0</v>
      </c>
      <c r="G63" s="125">
        <f t="shared" si="5"/>
        <v>0</v>
      </c>
      <c r="H63" s="125">
        <f>SUM(H61:H62)</f>
        <v>1382</v>
      </c>
      <c r="I63" s="125">
        <f t="shared" si="5"/>
        <v>191</v>
      </c>
      <c r="J63" s="125">
        <f t="shared" si="5"/>
        <v>700</v>
      </c>
      <c r="K63" s="125"/>
      <c r="L63" s="125">
        <f>SUM(L60:L61)</f>
        <v>0</v>
      </c>
      <c r="M63" s="125"/>
      <c r="N63" s="125"/>
      <c r="O63" s="125">
        <f>SUM(O60:O61)</f>
        <v>16</v>
      </c>
      <c r="P63" s="128">
        <f>SUM(P60:P62)</f>
        <v>983</v>
      </c>
    </row>
    <row r="64" spans="1:17" ht="15">
      <c r="A64" s="116"/>
      <c r="B64" s="117" t="s">
        <v>70</v>
      </c>
      <c r="C64" s="121"/>
      <c r="D64" s="119"/>
      <c r="E64" s="120"/>
      <c r="F64" s="121"/>
      <c r="G64" s="121"/>
      <c r="H64" s="119"/>
      <c r="I64" s="120"/>
      <c r="J64" s="121"/>
      <c r="K64" s="121"/>
      <c r="L64" s="121"/>
      <c r="M64" s="121"/>
      <c r="N64" s="121"/>
      <c r="O64" s="121"/>
      <c r="P64" s="122"/>
    </row>
    <row r="65" spans="1:17" ht="15">
      <c r="A65" s="116"/>
      <c r="B65" s="117" t="s">
        <v>379</v>
      </c>
      <c r="C65" s="121"/>
      <c r="D65" s="119"/>
      <c r="E65" s="120"/>
      <c r="F65" s="121"/>
      <c r="G65" s="121"/>
      <c r="H65" s="119"/>
      <c r="I65" s="120"/>
      <c r="J65" s="121"/>
      <c r="K65" s="121"/>
      <c r="L65" s="121"/>
      <c r="M65" s="121"/>
      <c r="N65" s="121"/>
      <c r="O65" s="121"/>
      <c r="P65" s="122"/>
    </row>
    <row r="66" spans="1:17" ht="15">
      <c r="A66" s="116" t="s">
        <v>380</v>
      </c>
      <c r="B66" s="117" t="s">
        <v>353</v>
      </c>
      <c r="C66" s="121"/>
      <c r="D66" s="119"/>
      <c r="E66" s="120"/>
      <c r="F66" s="121"/>
      <c r="G66" s="121"/>
      <c r="H66" s="119"/>
      <c r="I66" s="120"/>
      <c r="J66" s="121"/>
      <c r="K66" s="121"/>
      <c r="L66" s="121"/>
      <c r="M66" s="121"/>
      <c r="N66" s="121"/>
      <c r="O66" s="121"/>
      <c r="P66" s="122"/>
    </row>
    <row r="67" spans="1:17" ht="15">
      <c r="A67" s="116"/>
      <c r="B67" s="137" t="s">
        <v>381</v>
      </c>
      <c r="C67" s="121">
        <v>376</v>
      </c>
      <c r="D67" s="119"/>
      <c r="E67" s="120"/>
      <c r="F67" s="121"/>
      <c r="G67" s="121"/>
      <c r="H67" s="119"/>
      <c r="I67" s="120">
        <v>376</v>
      </c>
      <c r="J67" s="121"/>
      <c r="K67" s="121"/>
      <c r="L67" s="121"/>
      <c r="M67" s="121"/>
      <c r="N67" s="121"/>
      <c r="O67" s="121"/>
      <c r="P67" s="122">
        <f>+C67+D67-E67+F67+G67+H67-I67-J67-K67-L67-O67+M67-N67</f>
        <v>0</v>
      </c>
    </row>
    <row r="68" spans="1:17" ht="15">
      <c r="A68" s="116"/>
      <c r="B68" s="133" t="s">
        <v>382</v>
      </c>
      <c r="C68" s="121">
        <v>0</v>
      </c>
      <c r="D68" s="119"/>
      <c r="E68" s="120"/>
      <c r="F68" s="121"/>
      <c r="G68" s="121"/>
      <c r="H68" s="119">
        <v>39</v>
      </c>
      <c r="I68" s="120"/>
      <c r="J68" s="121"/>
      <c r="K68" s="121"/>
      <c r="L68" s="121"/>
      <c r="M68" s="121"/>
      <c r="N68" s="121"/>
      <c r="O68" s="121">
        <v>5</v>
      </c>
      <c r="P68" s="122">
        <f>+C68+D68-E68+F68+G68+H68-I68-J68-K68-L68-O68+M68-N68</f>
        <v>34</v>
      </c>
      <c r="Q68" s="56"/>
    </row>
    <row r="69" spans="1:17" ht="15">
      <c r="A69" s="116"/>
      <c r="B69" s="134" t="s">
        <v>383</v>
      </c>
      <c r="C69" s="125">
        <v>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28">
        <f>+C69+D69-E69+F69+G69+H69-I69-J69-K69-L69-O69+M69-N69</f>
        <v>0</v>
      </c>
    </row>
    <row r="70" spans="1:17" ht="15">
      <c r="A70" s="129"/>
      <c r="B70" s="130" t="s">
        <v>356</v>
      </c>
      <c r="C70" s="125">
        <f>SUM(C67:C69)</f>
        <v>376</v>
      </c>
      <c r="D70" s="125">
        <f>SUM(D68:D69)</f>
        <v>0</v>
      </c>
      <c r="E70" s="125">
        <f>SUM(E68:E69)</f>
        <v>0</v>
      </c>
      <c r="F70" s="125">
        <f>SUM(F68:F69)</f>
        <v>0</v>
      </c>
      <c r="G70" s="125">
        <f>SUM(G68:G69)</f>
        <v>0</v>
      </c>
      <c r="H70" s="125">
        <f>SUM(H67:H69)</f>
        <v>39</v>
      </c>
      <c r="I70" s="125">
        <f>SUM(I67:I69)</f>
        <v>376</v>
      </c>
      <c r="J70" s="125">
        <f>SUM(J67:J69)</f>
        <v>0</v>
      </c>
      <c r="K70" s="125"/>
      <c r="L70" s="125">
        <f>SUM(L67)</f>
        <v>0</v>
      </c>
      <c r="M70" s="125"/>
      <c r="N70" s="125"/>
      <c r="O70" s="125">
        <f>SUM(O67:O69)</f>
        <v>5</v>
      </c>
      <c r="P70" s="128">
        <f>SUM(P67:P69)</f>
        <v>34</v>
      </c>
    </row>
    <row r="71" spans="1:17" ht="15">
      <c r="A71" s="116"/>
      <c r="B71" s="117" t="s">
        <v>71</v>
      </c>
      <c r="C71" s="121"/>
      <c r="D71" s="119"/>
      <c r="E71" s="120"/>
      <c r="F71" s="121"/>
      <c r="G71" s="121"/>
      <c r="H71" s="119"/>
      <c r="I71" s="120"/>
      <c r="J71" s="121"/>
      <c r="K71" s="121"/>
      <c r="L71" s="121"/>
      <c r="M71" s="121"/>
      <c r="N71" s="121"/>
      <c r="O71" s="121"/>
      <c r="P71" s="122"/>
    </row>
    <row r="72" spans="1:17" ht="15">
      <c r="A72" s="116"/>
      <c r="B72" s="117" t="s">
        <v>384</v>
      </c>
      <c r="C72" s="121"/>
      <c r="D72" s="119"/>
      <c r="E72" s="120"/>
      <c r="F72" s="121"/>
      <c r="G72" s="121"/>
      <c r="H72" s="119"/>
      <c r="I72" s="120"/>
      <c r="J72" s="121"/>
      <c r="K72" s="121"/>
      <c r="L72" s="121"/>
      <c r="M72" s="121"/>
      <c r="N72" s="121"/>
      <c r="O72" s="121"/>
      <c r="P72" s="122"/>
    </row>
    <row r="73" spans="1:17" ht="15">
      <c r="A73" s="116" t="s">
        <v>385</v>
      </c>
      <c r="B73" s="117" t="s">
        <v>353</v>
      </c>
      <c r="C73" s="121"/>
      <c r="D73" s="119"/>
      <c r="E73" s="120"/>
      <c r="F73" s="121"/>
      <c r="G73" s="121"/>
      <c r="H73" s="119"/>
      <c r="I73" s="120"/>
      <c r="J73" s="121"/>
      <c r="K73" s="121"/>
      <c r="L73" s="121"/>
      <c r="M73" s="121"/>
      <c r="N73" s="121"/>
      <c r="O73" s="121"/>
      <c r="P73" s="122"/>
    </row>
    <row r="74" spans="1:17" ht="15">
      <c r="A74" s="116"/>
      <c r="B74" s="140" t="s">
        <v>386</v>
      </c>
      <c r="C74" s="121">
        <v>764</v>
      </c>
      <c r="D74" s="119"/>
      <c r="E74" s="120"/>
      <c r="F74" s="121"/>
      <c r="G74" s="121"/>
      <c r="H74" s="119"/>
      <c r="I74" s="120">
        <v>764</v>
      </c>
      <c r="J74" s="121"/>
      <c r="K74" s="121"/>
      <c r="L74" s="121"/>
      <c r="M74" s="121"/>
      <c r="N74" s="121"/>
      <c r="O74" s="121"/>
      <c r="P74" s="122">
        <f>+C74+D74-E74+F74+G74+H74-I74-J74-K74-L74-O74+M74-N74</f>
        <v>0</v>
      </c>
    </row>
    <row r="75" spans="1:17" ht="15">
      <c r="A75" s="116"/>
      <c r="B75" s="140" t="s">
        <v>387</v>
      </c>
      <c r="C75" s="121">
        <v>153</v>
      </c>
      <c r="D75" s="119"/>
      <c r="E75" s="120"/>
      <c r="F75" s="121"/>
      <c r="G75" s="121"/>
      <c r="H75" s="119">
        <f>376+152</f>
        <v>528</v>
      </c>
      <c r="I75" s="120">
        <f>153+521</f>
        <v>674</v>
      </c>
      <c r="J75" s="121"/>
      <c r="K75" s="121"/>
      <c r="L75" s="121"/>
      <c r="M75" s="120"/>
      <c r="N75" s="121"/>
      <c r="O75" s="121">
        <v>7</v>
      </c>
      <c r="P75" s="122">
        <f>+C75+D75-E75+F75+G75+H75-I75-J75-K75-L75-O75+M75-N75</f>
        <v>0</v>
      </c>
    </row>
    <row r="76" spans="1:17" ht="15">
      <c r="A76" s="116"/>
      <c r="B76" s="141" t="s">
        <v>388</v>
      </c>
      <c r="C76" s="125">
        <v>0</v>
      </c>
      <c r="D76" s="126"/>
      <c r="E76" s="127"/>
      <c r="F76" s="125"/>
      <c r="G76" s="125"/>
      <c r="H76" s="126"/>
      <c r="I76" s="127"/>
      <c r="J76" s="125"/>
      <c r="K76" s="125"/>
      <c r="L76" s="125"/>
      <c r="M76" s="125"/>
      <c r="N76" s="125"/>
      <c r="O76" s="125"/>
      <c r="P76" s="128">
        <f>+C76+D76-E76+F76+G76+H76-I76-J76-K76-L76-O76+M76-N76</f>
        <v>0</v>
      </c>
    </row>
    <row r="77" spans="1:17" ht="15">
      <c r="A77" s="129"/>
      <c r="B77" s="130" t="s">
        <v>356</v>
      </c>
      <c r="C77" s="125">
        <f>SUM(C74:C76)</f>
        <v>917</v>
      </c>
      <c r="D77" s="125">
        <f t="shared" ref="D77:I77" si="6">SUM(D74:D75)</f>
        <v>0</v>
      </c>
      <c r="E77" s="125">
        <f t="shared" si="6"/>
        <v>0</v>
      </c>
      <c r="F77" s="125">
        <f t="shared" si="6"/>
        <v>0</v>
      </c>
      <c r="G77" s="125">
        <f t="shared" si="6"/>
        <v>0</v>
      </c>
      <c r="H77" s="125">
        <f>SUM(H75:H76)</f>
        <v>528</v>
      </c>
      <c r="I77" s="125">
        <f t="shared" si="6"/>
        <v>1438</v>
      </c>
      <c r="J77" s="125">
        <f>SUM(J76)</f>
        <v>0</v>
      </c>
      <c r="K77" s="125"/>
      <c r="L77" s="125">
        <f>SUM(L74:L75)</f>
        <v>0</v>
      </c>
      <c r="M77" s="125">
        <f>SUM(M75:M76)</f>
        <v>0</v>
      </c>
      <c r="N77" s="125"/>
      <c r="O77" s="125">
        <f>SUM(O75:O76)</f>
        <v>7</v>
      </c>
      <c r="P77" s="128">
        <f>SUM(P74:P76)</f>
        <v>0</v>
      </c>
    </row>
    <row r="78" spans="1:17" ht="15">
      <c r="A78" s="116"/>
      <c r="B78" s="117" t="s">
        <v>389</v>
      </c>
      <c r="C78" s="121"/>
      <c r="D78" s="119"/>
      <c r="E78" s="120"/>
      <c r="F78" s="121"/>
      <c r="G78" s="121"/>
      <c r="H78" s="119"/>
      <c r="I78" s="120"/>
      <c r="J78" s="121"/>
      <c r="K78" s="121"/>
      <c r="L78" s="121"/>
      <c r="M78" s="121"/>
      <c r="N78" s="121"/>
      <c r="O78" s="121"/>
      <c r="P78" s="122"/>
    </row>
    <row r="79" spans="1:17" ht="15">
      <c r="A79" s="116"/>
      <c r="B79" s="117" t="s">
        <v>390</v>
      </c>
      <c r="C79" s="121"/>
      <c r="D79" s="119"/>
      <c r="E79" s="120"/>
      <c r="F79" s="121"/>
      <c r="G79" s="121"/>
      <c r="H79" s="119"/>
      <c r="I79" s="120"/>
      <c r="J79" s="121"/>
      <c r="K79" s="121"/>
      <c r="L79" s="121"/>
      <c r="M79" s="121"/>
      <c r="N79" s="121"/>
      <c r="O79" s="121"/>
      <c r="P79" s="122"/>
    </row>
    <row r="80" spans="1:17" ht="15">
      <c r="A80" s="116"/>
      <c r="B80" s="117" t="s">
        <v>353</v>
      </c>
      <c r="C80" s="121"/>
      <c r="D80" s="119"/>
      <c r="E80" s="120"/>
      <c r="F80" s="121"/>
      <c r="G80" s="121"/>
      <c r="H80" s="119"/>
      <c r="I80" s="120"/>
      <c r="J80" s="121"/>
      <c r="K80" s="121"/>
      <c r="L80" s="121"/>
      <c r="M80" s="121"/>
      <c r="N80" s="121"/>
      <c r="O80" s="121"/>
      <c r="P80" s="122"/>
    </row>
    <row r="81" spans="1:18" ht="15">
      <c r="A81" s="116"/>
      <c r="B81" s="142">
        <v>95</v>
      </c>
      <c r="C81" s="121">
        <v>2</v>
      </c>
      <c r="D81" s="119"/>
      <c r="E81" s="120"/>
      <c r="F81" s="121"/>
      <c r="G81" s="121"/>
      <c r="H81" s="119"/>
      <c r="I81" s="120"/>
      <c r="J81" s="121"/>
      <c r="K81" s="121"/>
      <c r="L81" s="121"/>
      <c r="M81" s="121"/>
      <c r="N81" s="121"/>
      <c r="O81" s="121"/>
      <c r="P81" s="122">
        <f t="shared" ref="P81:P93" si="7">+C81+D81-E81+F81+G81+H81-I81-J81-K81-L81-O81+M81-N81</f>
        <v>2</v>
      </c>
    </row>
    <row r="82" spans="1:18" ht="15">
      <c r="A82" s="116"/>
      <c r="B82" s="142">
        <v>96</v>
      </c>
      <c r="C82" s="121">
        <v>18</v>
      </c>
      <c r="D82" s="119"/>
      <c r="E82" s="120"/>
      <c r="F82" s="121"/>
      <c r="G82" s="121"/>
      <c r="H82" s="119"/>
      <c r="I82" s="120"/>
      <c r="J82" s="121">
        <v>5</v>
      </c>
      <c r="K82" s="121"/>
      <c r="L82" s="121"/>
      <c r="M82" s="121"/>
      <c r="N82" s="121"/>
      <c r="O82" s="121"/>
      <c r="P82" s="122">
        <f t="shared" si="7"/>
        <v>13</v>
      </c>
    </row>
    <row r="83" spans="1:18" ht="15">
      <c r="A83" s="116"/>
      <c r="B83" s="142">
        <v>97</v>
      </c>
      <c r="C83" s="121">
        <v>31</v>
      </c>
      <c r="D83" s="119"/>
      <c r="E83" s="120"/>
      <c r="F83" s="121"/>
      <c r="G83" s="121"/>
      <c r="H83" s="119"/>
      <c r="I83" s="120"/>
      <c r="J83" s="121">
        <v>5</v>
      </c>
      <c r="K83" s="121"/>
      <c r="L83" s="121"/>
      <c r="M83" s="121"/>
      <c r="N83" s="121"/>
      <c r="O83" s="121"/>
      <c r="P83" s="122">
        <f t="shared" si="7"/>
        <v>26</v>
      </c>
    </row>
    <row r="84" spans="1:18" ht="15">
      <c r="A84" s="116"/>
      <c r="B84" s="142">
        <v>98</v>
      </c>
      <c r="C84" s="121">
        <v>164</v>
      </c>
      <c r="D84" s="119"/>
      <c r="E84" s="120"/>
      <c r="F84" s="121"/>
      <c r="G84" s="121"/>
      <c r="H84" s="119"/>
      <c r="I84" s="120"/>
      <c r="J84" s="121">
        <v>50</v>
      </c>
      <c r="K84" s="121"/>
      <c r="L84" s="121"/>
      <c r="M84" s="121"/>
      <c r="N84" s="121"/>
      <c r="O84" s="121">
        <v>17</v>
      </c>
      <c r="P84" s="122">
        <f t="shared" si="7"/>
        <v>97</v>
      </c>
    </row>
    <row r="85" spans="1:18" ht="15">
      <c r="A85" s="116"/>
      <c r="B85" s="142">
        <v>99</v>
      </c>
      <c r="C85" s="121">
        <v>144</v>
      </c>
      <c r="D85" s="119"/>
      <c r="E85" s="120"/>
      <c r="F85" s="121"/>
      <c r="G85" s="121"/>
      <c r="H85" s="119"/>
      <c r="I85" s="120"/>
      <c r="J85" s="121">
        <v>40</v>
      </c>
      <c r="K85" s="121"/>
      <c r="L85" s="121"/>
      <c r="M85" s="120"/>
      <c r="N85" s="121"/>
      <c r="O85" s="121"/>
      <c r="P85" s="122">
        <f t="shared" si="7"/>
        <v>104</v>
      </c>
    </row>
    <row r="86" spans="1:18" ht="15">
      <c r="A86" s="116"/>
      <c r="B86" s="143" t="s">
        <v>391</v>
      </c>
      <c r="C86" s="121">
        <v>215</v>
      </c>
      <c r="D86" s="119"/>
      <c r="E86" s="120"/>
      <c r="F86" s="121"/>
      <c r="G86" s="121"/>
      <c r="H86" s="119"/>
      <c r="I86" s="120"/>
      <c r="J86" s="121">
        <v>50</v>
      </c>
      <c r="K86" s="121"/>
      <c r="L86" s="121"/>
      <c r="M86" s="120"/>
      <c r="N86" s="121"/>
      <c r="O86" s="121"/>
      <c r="P86" s="122">
        <f t="shared" si="7"/>
        <v>165</v>
      </c>
    </row>
    <row r="87" spans="1:18" ht="15">
      <c r="A87" s="116"/>
      <c r="B87" s="143" t="s">
        <v>392</v>
      </c>
      <c r="C87" s="121">
        <v>478</v>
      </c>
      <c r="D87" s="119"/>
      <c r="E87" s="120"/>
      <c r="F87" s="121"/>
      <c r="G87" s="121"/>
      <c r="H87" s="119"/>
      <c r="I87" s="120"/>
      <c r="J87" s="121">
        <v>130</v>
      </c>
      <c r="K87" s="121"/>
      <c r="L87" s="121"/>
      <c r="M87" s="120"/>
      <c r="N87" s="121"/>
      <c r="O87" s="121"/>
      <c r="P87" s="122">
        <f t="shared" si="7"/>
        <v>348</v>
      </c>
      <c r="Q87" s="144"/>
    </row>
    <row r="88" spans="1:18" ht="15">
      <c r="A88" s="116"/>
      <c r="B88" s="143" t="s">
        <v>393</v>
      </c>
      <c r="C88" s="121">
        <v>379</v>
      </c>
      <c r="D88" s="119"/>
      <c r="E88" s="120"/>
      <c r="F88" s="121"/>
      <c r="G88" s="121"/>
      <c r="H88" s="119"/>
      <c r="I88" s="120"/>
      <c r="J88" s="121">
        <v>100</v>
      </c>
      <c r="K88" s="121"/>
      <c r="L88" s="121"/>
      <c r="M88" s="120"/>
      <c r="N88" s="121"/>
      <c r="O88" s="121"/>
      <c r="P88" s="122">
        <f t="shared" si="7"/>
        <v>279</v>
      </c>
      <c r="Q88" s="144"/>
    </row>
    <row r="89" spans="1:18" ht="15">
      <c r="A89" s="116"/>
      <c r="B89" s="143" t="s">
        <v>394</v>
      </c>
      <c r="C89" s="121">
        <v>616</v>
      </c>
      <c r="D89" s="119"/>
      <c r="E89" s="120"/>
      <c r="F89" s="121"/>
      <c r="G89" s="121"/>
      <c r="H89" s="119"/>
      <c r="I89" s="120"/>
      <c r="J89" s="121">
        <v>120</v>
      </c>
      <c r="K89" s="121"/>
      <c r="L89" s="121"/>
      <c r="M89" s="120"/>
      <c r="N89" s="121"/>
      <c r="O89" s="121"/>
      <c r="P89" s="122">
        <f t="shared" si="7"/>
        <v>496</v>
      </c>
      <c r="Q89" s="144"/>
    </row>
    <row r="90" spans="1:18" ht="15">
      <c r="A90" s="116"/>
      <c r="B90" s="143" t="s">
        <v>395</v>
      </c>
      <c r="C90" s="121">
        <v>830</v>
      </c>
      <c r="D90" s="119"/>
      <c r="E90" s="120"/>
      <c r="F90" s="121"/>
      <c r="G90" s="121"/>
      <c r="H90" s="119"/>
      <c r="I90" s="120"/>
      <c r="J90" s="121">
        <v>150</v>
      </c>
      <c r="K90" s="121"/>
      <c r="L90" s="121"/>
      <c r="M90" s="121"/>
      <c r="N90" s="121"/>
      <c r="O90" s="121"/>
      <c r="P90" s="122">
        <f t="shared" si="7"/>
        <v>680</v>
      </c>
      <c r="Q90" s="144"/>
      <c r="R90" s="56"/>
    </row>
    <row r="91" spans="1:18" ht="15">
      <c r="A91" s="116"/>
      <c r="B91" s="143" t="s">
        <v>396</v>
      </c>
      <c r="C91" s="121">
        <v>836</v>
      </c>
      <c r="D91" s="119">
        <v>1</v>
      </c>
      <c r="E91" s="120"/>
      <c r="F91" s="121"/>
      <c r="G91" s="121"/>
      <c r="H91" s="119"/>
      <c r="I91" s="120"/>
      <c r="J91" s="121">
        <v>150</v>
      </c>
      <c r="K91" s="121"/>
      <c r="L91" s="121"/>
      <c r="M91" s="121"/>
      <c r="N91" s="121"/>
      <c r="O91" s="121"/>
      <c r="P91" s="122">
        <f t="shared" si="7"/>
        <v>687</v>
      </c>
      <c r="Q91" s="145"/>
    </row>
    <row r="92" spans="1:18" ht="15">
      <c r="A92" s="116"/>
      <c r="B92" s="143" t="s">
        <v>397</v>
      </c>
      <c r="C92" s="121">
        <v>277</v>
      </c>
      <c r="D92" s="119"/>
      <c r="E92" s="120"/>
      <c r="F92" s="121"/>
      <c r="G92" s="121"/>
      <c r="H92" s="119">
        <v>764</v>
      </c>
      <c r="I92" s="120"/>
      <c r="J92" s="121"/>
      <c r="K92" s="121"/>
      <c r="L92" s="121"/>
      <c r="M92" s="121"/>
      <c r="N92" s="121"/>
      <c r="O92" s="121"/>
      <c r="P92" s="122">
        <f t="shared" si="7"/>
        <v>1041</v>
      </c>
      <c r="Q92" s="145"/>
    </row>
    <row r="93" spans="1:18" ht="15">
      <c r="A93" s="116"/>
      <c r="B93" s="146" t="s">
        <v>398</v>
      </c>
      <c r="C93" s="125">
        <v>0</v>
      </c>
      <c r="D93" s="126"/>
      <c r="E93" s="127"/>
      <c r="F93" s="125"/>
      <c r="G93" s="125"/>
      <c r="H93" s="126">
        <v>674</v>
      </c>
      <c r="I93" s="127"/>
      <c r="J93" s="125"/>
      <c r="K93" s="125"/>
      <c r="L93" s="125"/>
      <c r="M93" s="125"/>
      <c r="N93" s="125"/>
      <c r="O93" s="125"/>
      <c r="P93" s="128">
        <f t="shared" si="7"/>
        <v>674</v>
      </c>
      <c r="Q93" s="145"/>
    </row>
    <row r="94" spans="1:18" ht="15.75" thickBot="1">
      <c r="A94" s="129"/>
      <c r="B94" s="130" t="s">
        <v>356</v>
      </c>
      <c r="C94" s="125">
        <f>SUM(C81:C93)</f>
        <v>3990</v>
      </c>
      <c r="D94" s="125">
        <f t="shared" ref="D94:I94" si="8">SUM(D81:D92)</f>
        <v>1</v>
      </c>
      <c r="E94" s="125">
        <f t="shared" si="8"/>
        <v>0</v>
      </c>
      <c r="F94" s="125">
        <f t="shared" si="8"/>
        <v>0</v>
      </c>
      <c r="G94" s="125">
        <f t="shared" si="8"/>
        <v>0</v>
      </c>
      <c r="H94" s="125">
        <f>SUM(H81:H93)</f>
        <v>1438</v>
      </c>
      <c r="I94" s="125">
        <f t="shared" si="8"/>
        <v>0</v>
      </c>
      <c r="J94" s="125">
        <f>SUM(J80:J92)</f>
        <v>800</v>
      </c>
      <c r="K94" s="125">
        <f>SUM(K81:K92)</f>
        <v>0</v>
      </c>
      <c r="L94" s="125">
        <f>SUM(L81:L92)</f>
        <v>0</v>
      </c>
      <c r="M94" s="125">
        <f>SUM(M85:M92)</f>
        <v>0</v>
      </c>
      <c r="N94" s="125"/>
      <c r="O94" s="125">
        <f>SUM(O81:O92)</f>
        <v>17</v>
      </c>
      <c r="P94" s="122">
        <f>SUM(P81:P93)</f>
        <v>4612</v>
      </c>
    </row>
    <row r="95" spans="1:18" ht="16.5" thickTop="1" thickBot="1">
      <c r="A95" s="147"/>
      <c r="B95" s="148" t="s">
        <v>399</v>
      </c>
      <c r="C95" s="149">
        <f t="shared" ref="C95:M95" si="9">+C11+C18+C25+C38+C49+C56+C63+C70+C77+C94</f>
        <v>10721</v>
      </c>
      <c r="D95" s="149">
        <f t="shared" si="9"/>
        <v>1</v>
      </c>
      <c r="E95" s="149">
        <f t="shared" si="9"/>
        <v>1</v>
      </c>
      <c r="F95" s="149">
        <f t="shared" si="9"/>
        <v>0</v>
      </c>
      <c r="G95" s="149">
        <f t="shared" si="9"/>
        <v>2650</v>
      </c>
      <c r="H95" s="149">
        <f t="shared" si="9"/>
        <v>6263</v>
      </c>
      <c r="I95" s="149">
        <f t="shared" si="9"/>
        <v>6263</v>
      </c>
      <c r="J95" s="149">
        <f t="shared" si="9"/>
        <v>2626</v>
      </c>
      <c r="K95" s="149">
        <f t="shared" si="9"/>
        <v>0</v>
      </c>
      <c r="L95" s="149">
        <f t="shared" si="9"/>
        <v>0</v>
      </c>
      <c r="M95" s="149">
        <f t="shared" si="9"/>
        <v>0</v>
      </c>
      <c r="N95" s="149"/>
      <c r="O95" s="149">
        <f>+O11+O18+O25+O38+O49+O56+O63+O70+O77+O94</f>
        <v>210</v>
      </c>
      <c r="P95" s="150">
        <f>+P11+P18+P25+P38+P49+P56+P63+P70+P77+P94</f>
        <v>10535</v>
      </c>
    </row>
    <row r="96" spans="1:18" ht="15.75" thickTop="1">
      <c r="A96" s="151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1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15">
      <c r="A98" s="89" t="s">
        <v>400</v>
      </c>
      <c r="B98" s="89"/>
      <c r="C98" s="89"/>
      <c r="D98" s="89"/>
      <c r="E98" s="89" t="s">
        <v>401</v>
      </c>
      <c r="F98" s="89"/>
      <c r="G98" s="89"/>
      <c r="H98" s="89"/>
      <c r="I98" s="89"/>
      <c r="J98" s="89" t="s">
        <v>402</v>
      </c>
      <c r="K98" s="89"/>
      <c r="L98" s="89"/>
      <c r="M98" s="89"/>
      <c r="N98" s="89"/>
      <c r="O98" s="89"/>
      <c r="P98" s="89"/>
    </row>
    <row r="99" spans="1:16" ht="15">
      <c r="A99" s="94" t="s">
        <v>403</v>
      </c>
      <c r="B99" s="94"/>
      <c r="C99" s="89"/>
      <c r="D99" s="89"/>
      <c r="E99" s="89"/>
      <c r="F99" s="89"/>
      <c r="G99" s="89"/>
      <c r="H99" s="89"/>
      <c r="I99" s="89"/>
      <c r="J99" s="89" t="s">
        <v>404</v>
      </c>
      <c r="K99" s="89"/>
      <c r="L99" s="89"/>
      <c r="M99" s="89"/>
      <c r="N99" s="89"/>
      <c r="O99" s="89"/>
      <c r="P99" s="89"/>
    </row>
    <row r="100" spans="1:16" ht="15">
      <c r="B100" s="152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</row>
    <row r="101" spans="1:16" ht="1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15">
      <c r="A102" s="89"/>
      <c r="B102" s="89"/>
      <c r="C102" s="89"/>
      <c r="D102" s="89"/>
      <c r="E102" s="153">
        <f>C95+G95-J95-O95</f>
        <v>10535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1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 t="s">
        <v>405</v>
      </c>
      <c r="P103" s="89"/>
    </row>
    <row r="104" spans="1:16" ht="1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1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</row>
    <row r="107" spans="1:16" ht="1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</row>
    <row r="108" spans="1:16" ht="1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</row>
    <row r="109" spans="1:16" ht="1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</row>
    <row r="110" spans="1:16" ht="1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</row>
    <row r="111" spans="1:16" ht="1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</row>
    <row r="112" spans="1:16" ht="1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</row>
    <row r="113" spans="1:16" ht="1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</row>
    <row r="114" spans="1:16" ht="1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1:16" ht="1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</row>
    <row r="116" spans="1:16" ht="1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</row>
    <row r="117" spans="1:16" ht="1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</row>
    <row r="118" spans="1:16" ht="1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16" ht="1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16" ht="1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1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</row>
    <row r="122" spans="1:16" ht="1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</row>
    <row r="123" spans="1:16" ht="1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</row>
    <row r="124" spans="1:16" ht="1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</row>
    <row r="125" spans="1:16" ht="1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65" orientation="landscape" horizontalDpi="4294967292" r:id="rId1"/>
  <headerFooter alignWithMargins="0"/>
  <rowBreaks count="1" manualBreakCount="1">
    <brk id="5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111111111111111111111158"/>
  <dimension ref="A1:S161"/>
  <sheetViews>
    <sheetView showGridLines="0" view="pageBreakPreview" topLeftCell="A3" zoomScale="55" zoomScaleSheetLayoutView="55" workbookViewId="0">
      <pane xSplit="3" ySplit="3" topLeftCell="D108" activePane="bottomRight" state="frozen"/>
      <selection activeCell="A14" sqref="A14"/>
      <selection pane="topRight" activeCell="A14" sqref="A14"/>
      <selection pane="bottomLeft" activeCell="A14" sqref="A14"/>
      <selection pane="bottomRight" activeCell="G4" sqref="G4"/>
    </sheetView>
  </sheetViews>
  <sheetFormatPr baseColWidth="10" defaultRowHeight="12.75"/>
  <cols>
    <col min="1" max="1" width="12.7109375" style="6" customWidth="1"/>
    <col min="2" max="2" width="16.5703125" style="6" customWidth="1"/>
    <col min="3" max="3" width="12.85546875" style="6" customWidth="1"/>
    <col min="4" max="4" width="10.140625" style="6" customWidth="1"/>
    <col min="5" max="5" width="11.7109375" style="6" customWidth="1"/>
    <col min="6" max="6" width="13.7109375" style="6" bestFit="1" customWidth="1"/>
    <col min="7" max="7" width="12.5703125" style="6" customWidth="1"/>
    <col min="8" max="8" width="12.140625" style="6" customWidth="1"/>
    <col min="9" max="9" width="12.42578125" style="6" customWidth="1"/>
    <col min="10" max="10" width="12.8554687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2.7109375" style="6" bestFit="1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406</v>
      </c>
      <c r="F3" s="95"/>
      <c r="G3" s="93" t="s">
        <v>426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23" t="s">
        <v>354</v>
      </c>
      <c r="C9" s="160">
        <v>2</v>
      </c>
      <c r="D9" s="160"/>
      <c r="E9" s="160"/>
      <c r="F9" s="160"/>
      <c r="G9" s="160"/>
      <c r="H9" s="160"/>
      <c r="I9" s="160">
        <v>2</v>
      </c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23" t="s">
        <v>355</v>
      </c>
      <c r="C10" s="160">
        <v>1238</v>
      </c>
      <c r="D10" s="160"/>
      <c r="E10" s="160"/>
      <c r="F10" s="160"/>
      <c r="G10" s="160"/>
      <c r="H10" s="160"/>
      <c r="I10" s="160">
        <v>1238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123">
        <v>10</v>
      </c>
      <c r="C11" s="160"/>
      <c r="D11" s="160"/>
      <c r="E11" s="160"/>
      <c r="F11" s="160"/>
      <c r="G11" s="160">
        <v>1566</v>
      </c>
      <c r="H11" s="160"/>
      <c r="I11" s="160"/>
      <c r="J11" s="160"/>
      <c r="K11" s="160"/>
      <c r="L11" s="160"/>
      <c r="M11" s="160"/>
      <c r="N11" s="160"/>
      <c r="O11" s="160">
        <v>109</v>
      </c>
      <c r="P11" s="161">
        <f>+C11+D11-E11+F11+G11+H11-I11-J11-K11-L11-O11+M11-N11</f>
        <v>1457</v>
      </c>
    </row>
    <row r="12" spans="1:19">
      <c r="A12" s="116"/>
      <c r="B12" s="123">
        <v>11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S12" s="6">
        <f>3132*0.5</f>
        <v>1566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164">
        <v>1240</v>
      </c>
      <c r="D14" s="164">
        <f t="shared" ref="D14:J14" si="0">SUM(D9:D10)</f>
        <v>0</v>
      </c>
      <c r="E14" s="164">
        <f t="shared" si="0"/>
        <v>0</v>
      </c>
      <c r="F14" s="164">
        <f t="shared" si="0"/>
        <v>0</v>
      </c>
      <c r="G14" s="164">
        <f>SUM(G9:G11)</f>
        <v>1566</v>
      </c>
      <c r="H14" s="164">
        <f t="shared" si="0"/>
        <v>0</v>
      </c>
      <c r="I14" s="164">
        <f t="shared" si="0"/>
        <v>1240</v>
      </c>
      <c r="J14" s="164">
        <f t="shared" si="0"/>
        <v>0</v>
      </c>
      <c r="K14" s="164">
        <f>SUM(K10)</f>
        <v>0</v>
      </c>
      <c r="L14" s="164">
        <f>SUM(L9:L10)</f>
        <v>0</v>
      </c>
      <c r="M14" s="164">
        <f>SUM(M10)</f>
        <v>0</v>
      </c>
      <c r="N14" s="164"/>
      <c r="O14" s="164">
        <f>SUM(O11:O13)</f>
        <v>109</v>
      </c>
      <c r="P14" s="165">
        <f>SUM(P9:P11)</f>
        <v>1457</v>
      </c>
      <c r="S14" s="6">
        <f>1457*2</f>
        <v>2914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7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7">
      <c r="A18" s="116"/>
      <c r="B18" s="123" t="s">
        <v>359</v>
      </c>
      <c r="C18" s="160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7">
      <c r="A19" s="116"/>
      <c r="B19" s="123" t="s">
        <v>354</v>
      </c>
      <c r="C19" s="160">
        <v>1356</v>
      </c>
      <c r="D19" s="160"/>
      <c r="E19" s="160"/>
      <c r="F19" s="160"/>
      <c r="G19" s="160"/>
      <c r="H19" s="160">
        <v>2</v>
      </c>
      <c r="I19" s="160">
        <v>1356</v>
      </c>
      <c r="J19" s="160"/>
      <c r="K19" s="160"/>
      <c r="L19" s="160"/>
      <c r="M19" s="160"/>
      <c r="N19" s="160"/>
      <c r="O19" s="160"/>
      <c r="P19" s="161">
        <f>+C19+D19-E19+F19+G19+H19-I19-J19-K19-L19-O19+M19-N19</f>
        <v>2</v>
      </c>
    </row>
    <row r="20" spans="1:17">
      <c r="A20" s="116"/>
      <c r="B20" s="123" t="s">
        <v>355</v>
      </c>
      <c r="C20" s="160">
        <v>0</v>
      </c>
      <c r="D20" s="160"/>
      <c r="E20" s="160"/>
      <c r="F20" s="160"/>
      <c r="G20" s="160"/>
      <c r="H20" s="160">
        <v>1238</v>
      </c>
      <c r="I20" s="160"/>
      <c r="J20" s="160"/>
      <c r="K20" s="160"/>
      <c r="L20" s="160"/>
      <c r="M20" s="160"/>
      <c r="N20" s="160"/>
      <c r="O20" s="160"/>
      <c r="P20" s="161">
        <f>+C20+D20-E20+F20+G20+H20-I20-J20-K20-L20-O20+M20-N20</f>
        <v>1238</v>
      </c>
    </row>
    <row r="21" spans="1:17">
      <c r="A21" s="116"/>
      <c r="B21" s="123">
        <v>10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0</v>
      </c>
    </row>
    <row r="22" spans="1:17">
      <c r="A22" s="116"/>
      <c r="B22" s="123">
        <v>11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7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7" ht="15">
      <c r="A24" s="129"/>
      <c r="B24" s="117" t="s">
        <v>356</v>
      </c>
      <c r="C24" s="166">
        <v>1356</v>
      </c>
      <c r="D24" s="164">
        <f>SUM(D18:D19)</f>
        <v>0</v>
      </c>
      <c r="E24" s="164">
        <f>SUM(E20)</f>
        <v>0</v>
      </c>
      <c r="F24" s="164"/>
      <c r="G24" s="164">
        <f>SUM(G19:G21)</f>
        <v>0</v>
      </c>
      <c r="H24" s="164">
        <f>SUM(H19:H20)</f>
        <v>1240</v>
      </c>
      <c r="I24" s="164">
        <f>SUM(I18:I19)</f>
        <v>1356</v>
      </c>
      <c r="J24" s="164">
        <f>SUM(J18:J19)</f>
        <v>0</v>
      </c>
      <c r="K24" s="164"/>
      <c r="L24" s="164">
        <f>SUM(L18:L19)</f>
        <v>0</v>
      </c>
      <c r="M24" s="164">
        <f>SUM(M19)</f>
        <v>0</v>
      </c>
      <c r="N24" s="164"/>
      <c r="O24" s="164">
        <f>SUM(O18:O19)</f>
        <v>0</v>
      </c>
      <c r="P24" s="165">
        <f>SUM(P18:P21)</f>
        <v>1240</v>
      </c>
    </row>
    <row r="25" spans="1:17" ht="15">
      <c r="A25" s="116"/>
      <c r="B25" s="167" t="s">
        <v>83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</row>
    <row r="26" spans="1:17" ht="15">
      <c r="A26" s="116"/>
      <c r="B26" s="170" t="s">
        <v>360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71"/>
    </row>
    <row r="27" spans="1:17" ht="15">
      <c r="A27" s="116" t="s">
        <v>361</v>
      </c>
      <c r="B27" s="170" t="s">
        <v>353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71"/>
    </row>
    <row r="28" spans="1:17" ht="15">
      <c r="A28" s="116"/>
      <c r="B28" s="172">
        <v>2006</v>
      </c>
      <c r="C28" s="166"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71">
        <f>+C28+D28-E28+F28+G28+H28-I28-J28-K28-L28-O28+M28-N28</f>
        <v>0</v>
      </c>
    </row>
    <row r="29" spans="1:17" ht="15">
      <c r="A29" s="116"/>
      <c r="B29" s="172">
        <v>2007</v>
      </c>
      <c r="C29" s="166"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71">
        <f>+C29+D29-E29+F29+G29+H29-I29-J29-K29-L29-O29+M29-N29</f>
        <v>0</v>
      </c>
      <c r="Q29" s="56"/>
    </row>
    <row r="30" spans="1:17" ht="15">
      <c r="A30" s="116"/>
      <c r="B30" s="172">
        <v>2008</v>
      </c>
      <c r="C30" s="166">
        <v>40</v>
      </c>
      <c r="D30" s="166"/>
      <c r="E30" s="166"/>
      <c r="F30" s="166"/>
      <c r="G30" s="166"/>
      <c r="H30" s="166">
        <v>1356</v>
      </c>
      <c r="I30" s="166">
        <v>40</v>
      </c>
      <c r="J30" s="166">
        <v>1000</v>
      </c>
      <c r="K30" s="166"/>
      <c r="L30" s="166"/>
      <c r="M30" s="166"/>
      <c r="N30" s="166"/>
      <c r="O30" s="166"/>
      <c r="P30" s="171">
        <f>+C30+D30-E30+F30+G30+H30-I30-J30-K30-L30-O30+M30-N30</f>
        <v>356</v>
      </c>
      <c r="Q30" s="56"/>
    </row>
    <row r="31" spans="1:17" ht="15">
      <c r="A31" s="116"/>
      <c r="B31" s="172">
        <v>2009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71">
        <f>+C31+D31-E31+F31+G31+H31-I31-J31-K31-L31-O31+M31-N31</f>
        <v>0</v>
      </c>
      <c r="Q31" s="56"/>
    </row>
    <row r="32" spans="1:17" ht="15">
      <c r="A32" s="116"/>
      <c r="B32" s="172">
        <v>2010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71">
        <f>+C32+D32-E32+F32+G32+H32-I32-J32-K32-L32-O32+M32-N32</f>
        <v>0</v>
      </c>
      <c r="Q32" s="56"/>
    </row>
    <row r="33" spans="1:17" ht="15">
      <c r="A33" s="116"/>
      <c r="B33" s="172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71"/>
      <c r="Q33" s="56"/>
    </row>
    <row r="34" spans="1:17" ht="15">
      <c r="A34" s="116"/>
      <c r="B34" s="12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73"/>
      <c r="Q34" s="56"/>
    </row>
    <row r="35" spans="1:17" ht="15">
      <c r="A35" s="129"/>
      <c r="B35" s="117" t="s">
        <v>356</v>
      </c>
      <c r="C35" s="164">
        <v>40</v>
      </c>
      <c r="D35" s="164">
        <f>SUM(D28:D29)</f>
        <v>0</v>
      </c>
      <c r="E35" s="164">
        <f>SUM(E28:E29)</f>
        <v>0</v>
      </c>
      <c r="F35" s="164">
        <f>SUM(F29:F29)</f>
        <v>0</v>
      </c>
      <c r="G35" s="164">
        <f>SUM(G29:G29)</f>
        <v>0</v>
      </c>
      <c r="H35" s="164">
        <f>SUM(H28:H30)</f>
        <v>1356</v>
      </c>
      <c r="I35" s="164">
        <f>SUM(I28:I29)</f>
        <v>0</v>
      </c>
      <c r="J35" s="164">
        <f>SUM(J28:J34)</f>
        <v>1000</v>
      </c>
      <c r="K35" s="164"/>
      <c r="L35" s="164">
        <f>SUM(L28:L29)</f>
        <v>0</v>
      </c>
      <c r="M35" s="164"/>
      <c r="N35" s="164"/>
      <c r="O35" s="164">
        <f>SUM(O28:O29)</f>
        <v>0</v>
      </c>
      <c r="P35" s="165">
        <f>SUM(P28:P32)</f>
        <v>356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31"/>
      <c r="C39" s="176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1">+C39+D39-E39+F39+G39+H39-I39-J39-K39-L39-O39+M39-N39</f>
        <v>0</v>
      </c>
    </row>
    <row r="40" spans="1:17">
      <c r="A40" s="116"/>
      <c r="B40" s="123"/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123">
        <v>2001</v>
      </c>
      <c r="C41" s="160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123">
        <v>2002</v>
      </c>
      <c r="C42" s="160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1"/>
        <v>0</v>
      </c>
      <c r="Q42" s="56"/>
    </row>
    <row r="43" spans="1:17">
      <c r="A43" s="116"/>
      <c r="B43" s="123">
        <v>2003</v>
      </c>
      <c r="C43" s="160"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>
        <f t="shared" si="1"/>
        <v>0</v>
      </c>
      <c r="Q43" s="56"/>
    </row>
    <row r="44" spans="1:17">
      <c r="A44" s="116"/>
      <c r="B44" s="123">
        <v>2004</v>
      </c>
      <c r="C44" s="160"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123">
        <v>2005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123">
        <v>2006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123">
        <v>2007</v>
      </c>
      <c r="C47" s="160">
        <v>969</v>
      </c>
      <c r="D47" s="160"/>
      <c r="E47" s="160"/>
      <c r="F47" s="160"/>
      <c r="G47" s="160"/>
      <c r="H47" s="160"/>
      <c r="I47" s="160"/>
      <c r="J47" s="160">
        <v>800</v>
      </c>
      <c r="K47" s="160"/>
      <c r="L47" s="160"/>
      <c r="M47" s="160"/>
      <c r="N47" s="160"/>
      <c r="O47" s="160"/>
      <c r="P47" s="161">
        <f t="shared" si="1"/>
        <v>169</v>
      </c>
    </row>
    <row r="48" spans="1:17">
      <c r="A48" s="116"/>
      <c r="B48" s="123">
        <v>2008</v>
      </c>
      <c r="C48" s="160"/>
      <c r="D48" s="160"/>
      <c r="E48" s="160"/>
      <c r="F48" s="160"/>
      <c r="G48" s="160"/>
      <c r="H48" s="160">
        <v>40</v>
      </c>
      <c r="I48" s="160"/>
      <c r="J48" s="160"/>
      <c r="K48" s="160"/>
      <c r="L48" s="160"/>
      <c r="M48" s="160"/>
      <c r="N48" s="160"/>
      <c r="O48" s="160"/>
      <c r="P48" s="161">
        <f t="shared" si="1"/>
        <v>40</v>
      </c>
    </row>
    <row r="49" spans="1:17">
      <c r="A49" s="116"/>
      <c r="B49" s="123">
        <v>2009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1"/>
        <v>0</v>
      </c>
    </row>
    <row r="50" spans="1:17">
      <c r="A50" s="116"/>
      <c r="B50" s="123">
        <v>2010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>
        <v>2011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164">
        <v>969</v>
      </c>
      <c r="D53" s="164">
        <f>SUM(D39:D46)</f>
        <v>0</v>
      </c>
      <c r="E53" s="164">
        <f>SUM(E39:E46)</f>
        <v>0</v>
      </c>
      <c r="F53" s="164">
        <f>SUM(F39:F46)</f>
        <v>0</v>
      </c>
      <c r="G53" s="164">
        <f>SUM(G39:G46)</f>
        <v>0</v>
      </c>
      <c r="H53" s="164">
        <f>SUM(H47)</f>
        <v>0</v>
      </c>
      <c r="I53" s="164">
        <f>SUM(I39:I46)</f>
        <v>0</v>
      </c>
      <c r="J53" s="164">
        <f>SUM(J39:J50)</f>
        <v>800</v>
      </c>
      <c r="K53" s="164">
        <f>SUM(K43:K46)</f>
        <v>0</v>
      </c>
      <c r="L53" s="164">
        <f>SUM(L45:L46)</f>
        <v>0</v>
      </c>
      <c r="M53" s="164"/>
      <c r="N53" s="164"/>
      <c r="O53" s="164">
        <f>SUM(O39:O46)</f>
        <v>0</v>
      </c>
      <c r="P53" s="165">
        <f>SUM(P39:P50)</f>
        <v>209</v>
      </c>
    </row>
    <row r="54" spans="1:17" ht="15">
      <c r="A54" s="116"/>
      <c r="B54" s="117" t="s">
        <v>372</v>
      </c>
      <c r="C54" s="166"/>
      <c r="D54" s="179"/>
      <c r="E54" s="180"/>
      <c r="F54" s="166"/>
      <c r="G54" s="166"/>
      <c r="H54" s="179"/>
      <c r="I54" s="180"/>
      <c r="J54" s="166"/>
      <c r="K54" s="166"/>
      <c r="L54" s="166"/>
      <c r="M54" s="166"/>
      <c r="N54" s="166"/>
      <c r="O54" s="166"/>
      <c r="P54" s="181"/>
    </row>
    <row r="55" spans="1:17" ht="15">
      <c r="A55" s="116"/>
      <c r="B55" s="117" t="s">
        <v>373</v>
      </c>
      <c r="C55" s="166"/>
      <c r="D55" s="179"/>
      <c r="E55" s="180"/>
      <c r="F55" s="166"/>
      <c r="G55" s="166"/>
      <c r="H55" s="179"/>
      <c r="I55" s="180"/>
      <c r="J55" s="166"/>
      <c r="K55" s="166"/>
      <c r="L55" s="166"/>
      <c r="M55" s="166"/>
      <c r="N55" s="166"/>
      <c r="O55" s="166"/>
      <c r="P55" s="181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82">
        <v>1998</v>
      </c>
      <c r="C57" s="183">
        <v>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0</v>
      </c>
      <c r="Q57" s="56"/>
    </row>
    <row r="58" spans="1:17">
      <c r="A58" s="116"/>
      <c r="B58" s="131">
        <v>1999</v>
      </c>
      <c r="C58" s="176">
        <v>15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2"/>
        <v>15</v>
      </c>
      <c r="Q58" s="56"/>
    </row>
    <row r="59" spans="1:17">
      <c r="A59" s="116"/>
      <c r="B59" s="123">
        <v>2000</v>
      </c>
      <c r="C59" s="160">
        <v>8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8</v>
      </c>
      <c r="Q59" s="56"/>
    </row>
    <row r="60" spans="1:17">
      <c r="A60" s="116"/>
      <c r="B60" s="123">
        <v>2001</v>
      </c>
      <c r="C60" s="160">
        <v>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1</v>
      </c>
      <c r="Q60" s="56"/>
    </row>
    <row r="61" spans="1:17">
      <c r="A61" s="116"/>
      <c r="B61" s="123">
        <v>2003</v>
      </c>
      <c r="C61" s="160">
        <v>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5</v>
      </c>
      <c r="Q61" s="56"/>
    </row>
    <row r="62" spans="1:17">
      <c r="A62" s="116"/>
      <c r="B62" s="123">
        <v>2005</v>
      </c>
      <c r="C62" s="160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0</v>
      </c>
      <c r="Q62" s="56"/>
    </row>
    <row r="63" spans="1:17">
      <c r="A63" s="116"/>
      <c r="B63" s="123">
        <v>2006</v>
      </c>
      <c r="C63" s="160"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0</v>
      </c>
    </row>
    <row r="64" spans="1:17">
      <c r="A64" s="116"/>
      <c r="B64" s="123">
        <v>2007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2"/>
        <v>0</v>
      </c>
    </row>
    <row r="65" spans="1:17">
      <c r="A65" s="116"/>
      <c r="B65" s="123">
        <v>2008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2"/>
        <v>0</v>
      </c>
    </row>
    <row r="66" spans="1:17">
      <c r="A66" s="116"/>
      <c r="B66" s="123">
        <v>2009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2"/>
        <v>0</v>
      </c>
    </row>
    <row r="67" spans="1:17">
      <c r="A67" s="116"/>
      <c r="B67" s="123">
        <v>2010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7">
      <c r="A68" s="116"/>
      <c r="B68" s="123">
        <v>2011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7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7" ht="15">
      <c r="A70" s="129"/>
      <c r="B70" s="117" t="s">
        <v>356</v>
      </c>
      <c r="C70" s="164">
        <v>29</v>
      </c>
      <c r="D70" s="164">
        <f t="shared" ref="D70:J70" si="3">SUM(D57:D63)</f>
        <v>0</v>
      </c>
      <c r="E70" s="164">
        <f t="shared" si="3"/>
        <v>0</v>
      </c>
      <c r="F70" s="164">
        <f t="shared" si="3"/>
        <v>0</v>
      </c>
      <c r="G70" s="164">
        <f t="shared" si="3"/>
        <v>0</v>
      </c>
      <c r="H70" s="164">
        <f t="shared" si="3"/>
        <v>0</v>
      </c>
      <c r="I70" s="164">
        <f t="shared" si="3"/>
        <v>0</v>
      </c>
      <c r="J70" s="164">
        <f t="shared" si="3"/>
        <v>0</v>
      </c>
      <c r="K70" s="164"/>
      <c r="L70" s="164">
        <f>SUM(L57:L63)</f>
        <v>0</v>
      </c>
      <c r="M70" s="164"/>
      <c r="N70" s="164"/>
      <c r="O70" s="164">
        <f>SUM(O57:O63)</f>
        <v>0</v>
      </c>
      <c r="P70" s="165">
        <f>SUM(P57:P66)</f>
        <v>29</v>
      </c>
    </row>
    <row r="71" spans="1:17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7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7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7">
      <c r="A74" s="116"/>
      <c r="B74" s="185">
        <v>2008</v>
      </c>
      <c r="C74" s="186">
        <v>0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7">
        <f>+C74+D74-E74+F74+G74+H74-I74-J74-K74-L74-O74+M74-N74</f>
        <v>0</v>
      </c>
      <c r="Q74" s="56"/>
    </row>
    <row r="75" spans="1:17">
      <c r="A75" s="116"/>
      <c r="B75" s="185">
        <v>2009</v>
      </c>
      <c r="C75" s="186">
        <v>1272</v>
      </c>
      <c r="D75" s="186"/>
      <c r="E75" s="186"/>
      <c r="F75" s="186"/>
      <c r="G75" s="186"/>
      <c r="H75" s="186"/>
      <c r="I75" s="186">
        <v>1272</v>
      </c>
      <c r="J75" s="186"/>
      <c r="K75" s="186"/>
      <c r="L75" s="186"/>
      <c r="M75" s="186"/>
      <c r="N75" s="186"/>
      <c r="O75" s="186"/>
      <c r="P75" s="187">
        <f>+C75+D75-E75+F75+G75+H75-I75-J75-K75-L75-O75+M75-N75</f>
        <v>0</v>
      </c>
    </row>
    <row r="76" spans="1:17">
      <c r="A76" s="116"/>
      <c r="B76" s="185">
        <v>2010</v>
      </c>
      <c r="C76" s="186"/>
      <c r="D76" s="186"/>
      <c r="E76" s="186"/>
      <c r="F76" s="186"/>
      <c r="G76" s="186">
        <v>1566</v>
      </c>
      <c r="H76" s="186"/>
      <c r="I76" s="186"/>
      <c r="J76" s="186"/>
      <c r="K76" s="186"/>
      <c r="L76" s="186"/>
      <c r="M76" s="186"/>
      <c r="N76" s="186"/>
      <c r="O76" s="186">
        <v>109</v>
      </c>
      <c r="P76" s="187">
        <f>+C76+D76-E76+F76+G76+H76-I76-J76-K76-L76-O76+M76-N76</f>
        <v>1457</v>
      </c>
    </row>
    <row r="77" spans="1:17">
      <c r="A77" s="116"/>
      <c r="B77" s="185">
        <v>2011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7">
        <f>+C77+D77-E77+F77+G77+H77-I77-J77-K77-L77-O77+M77-N77</f>
        <v>0</v>
      </c>
    </row>
    <row r="78" spans="1:17">
      <c r="A78" s="116"/>
      <c r="B78" s="18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90"/>
    </row>
    <row r="79" spans="1:17" ht="15">
      <c r="A79" s="129"/>
      <c r="B79" s="117" t="s">
        <v>356</v>
      </c>
      <c r="C79" s="166">
        <v>1272</v>
      </c>
      <c r="D79" s="164">
        <f t="shared" ref="D79:J79" si="4">SUM(D74:D75)</f>
        <v>0</v>
      </c>
      <c r="E79" s="164">
        <f t="shared" si="4"/>
        <v>0</v>
      </c>
      <c r="F79" s="164">
        <f t="shared" si="4"/>
        <v>0</v>
      </c>
      <c r="G79" s="164">
        <f>SUM(G76:G77)</f>
        <v>1566</v>
      </c>
      <c r="H79" s="164">
        <f t="shared" si="4"/>
        <v>0</v>
      </c>
      <c r="I79" s="164">
        <f t="shared" si="4"/>
        <v>1272</v>
      </c>
      <c r="J79" s="164">
        <f t="shared" si="4"/>
        <v>0</v>
      </c>
      <c r="K79" s="164"/>
      <c r="L79" s="164"/>
      <c r="M79" s="164">
        <f>SUM(M74:M75)</f>
        <v>0</v>
      </c>
      <c r="N79" s="164"/>
      <c r="O79" s="164">
        <f>SUM(O76:O78)</f>
        <v>109</v>
      </c>
      <c r="P79" s="165">
        <f>SUM(P74:P77)</f>
        <v>1457</v>
      </c>
    </row>
    <row r="80" spans="1:17" ht="15">
      <c r="A80" s="116"/>
      <c r="B80" s="167" t="s">
        <v>75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9"/>
    </row>
    <row r="81" spans="1:17" ht="15">
      <c r="A81" s="116"/>
      <c r="B81" s="170" t="s">
        <v>357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71"/>
    </row>
    <row r="82" spans="1:17" ht="15">
      <c r="A82" s="116" t="s">
        <v>375</v>
      </c>
      <c r="B82" s="170" t="s">
        <v>353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71"/>
    </row>
    <row r="83" spans="1:17" ht="15">
      <c r="A83" s="116"/>
      <c r="B83" s="191">
        <v>2007</v>
      </c>
      <c r="C83" s="166">
        <v>0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71">
        <f>+C83+D83-E83+F83+G83+H83-I83-J83-K83-L83-O83+M83-N83</f>
        <v>0</v>
      </c>
      <c r="Q83" s="56"/>
    </row>
    <row r="84" spans="1:17" ht="15">
      <c r="A84" s="116"/>
      <c r="B84" s="191">
        <v>2008</v>
      </c>
      <c r="C84" s="166">
        <v>983</v>
      </c>
      <c r="D84" s="166"/>
      <c r="E84" s="166"/>
      <c r="F84" s="166"/>
      <c r="G84" s="166"/>
      <c r="H84" s="166"/>
      <c r="I84" s="166">
        <v>983</v>
      </c>
      <c r="J84" s="166"/>
      <c r="K84" s="166"/>
      <c r="L84" s="166"/>
      <c r="M84" s="166"/>
      <c r="N84" s="166"/>
      <c r="O84" s="166"/>
      <c r="P84" s="171">
        <f>+C84+D84-E84+F84+G84+H84-I84-J84-K84-L84-O84+M84-N84</f>
        <v>0</v>
      </c>
      <c r="Q84" s="56"/>
    </row>
    <row r="85" spans="1:17" ht="15">
      <c r="A85" s="116"/>
      <c r="B85" s="191">
        <v>2009</v>
      </c>
      <c r="C85" s="166">
        <v>0</v>
      </c>
      <c r="D85" s="166"/>
      <c r="E85" s="166"/>
      <c r="F85" s="166"/>
      <c r="G85" s="166"/>
      <c r="H85" s="166">
        <v>1272</v>
      </c>
      <c r="I85" s="166"/>
      <c r="J85" s="166"/>
      <c r="K85" s="166"/>
      <c r="L85" s="166"/>
      <c r="M85" s="166"/>
      <c r="N85" s="166"/>
      <c r="O85" s="166"/>
      <c r="P85" s="171">
        <f>+C85+D85-E85+F85+G85+H85-I85-J85-K85-L85-O85+M85-N85</f>
        <v>1272</v>
      </c>
      <c r="Q85" s="56"/>
    </row>
    <row r="86" spans="1:17" ht="15">
      <c r="A86" s="116"/>
      <c r="B86" s="191">
        <v>2010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71">
        <f>+C86+D86-E86+F86+G86+H86-I86-J86-K86-L86-O86+M86-N86</f>
        <v>0</v>
      </c>
      <c r="Q86" s="56"/>
    </row>
    <row r="87" spans="1:17" ht="15">
      <c r="A87" s="116"/>
      <c r="B87" s="191">
        <v>2011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73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166">
        <v>983</v>
      </c>
      <c r="D88" s="164">
        <f t="shared" ref="D88:J88" si="5">SUM(D83:D84)</f>
        <v>0</v>
      </c>
      <c r="E88" s="164">
        <f t="shared" si="5"/>
        <v>0</v>
      </c>
      <c r="F88" s="164">
        <f t="shared" si="5"/>
        <v>0</v>
      </c>
      <c r="G88" s="164">
        <f t="shared" si="5"/>
        <v>0</v>
      </c>
      <c r="H88" s="164">
        <f>SUM(H84:H85)</f>
        <v>1272</v>
      </c>
      <c r="I88" s="164">
        <f t="shared" si="5"/>
        <v>983</v>
      </c>
      <c r="J88" s="164">
        <f t="shared" si="5"/>
        <v>0</v>
      </c>
      <c r="K88" s="164"/>
      <c r="L88" s="164">
        <f>SUM(L83:L84)</f>
        <v>0</v>
      </c>
      <c r="M88" s="164"/>
      <c r="N88" s="164"/>
      <c r="O88" s="164">
        <f>SUM(O83:O84)</f>
        <v>0</v>
      </c>
      <c r="P88" s="165">
        <f>SUM(P83:P85)</f>
        <v>1272</v>
      </c>
    </row>
    <row r="89" spans="1:17" ht="15">
      <c r="A89" s="116"/>
      <c r="B89" s="167" t="s">
        <v>70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9"/>
    </row>
    <row r="90" spans="1:17" ht="15">
      <c r="A90" s="116"/>
      <c r="B90" s="170" t="s">
        <v>379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71"/>
    </row>
    <row r="91" spans="1:17" ht="15">
      <c r="A91" s="116" t="s">
        <v>380</v>
      </c>
      <c r="B91" s="170" t="s">
        <v>353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71"/>
    </row>
    <row r="92" spans="1:17" ht="15">
      <c r="A92" s="116"/>
      <c r="B92" s="192" t="s">
        <v>381</v>
      </c>
      <c r="C92" s="166">
        <v>0</v>
      </c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71">
        <f>+C92+D92-E92+F92+G92+H92-I92-J92-K92-L92-O92+M92-N92</f>
        <v>0</v>
      </c>
    </row>
    <row r="93" spans="1:17" ht="15">
      <c r="A93" s="116"/>
      <c r="B93" s="193">
        <v>2008</v>
      </c>
      <c r="C93" s="166">
        <v>34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71">
        <f>+C93+D93-E93+F93+G93+H93-I93-J93-K93-L93-O93+M93-N93</f>
        <v>34</v>
      </c>
      <c r="Q93" s="56"/>
    </row>
    <row r="94" spans="1:17" ht="15">
      <c r="A94" s="116"/>
      <c r="B94" s="193">
        <v>2009</v>
      </c>
      <c r="C94" s="166">
        <v>0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71">
        <f>+C94+D94-E94+F94+G94+H94-I94-J94-K94-L94-O94+M94-N94</f>
        <v>0</v>
      </c>
    </row>
    <row r="95" spans="1:17" ht="15">
      <c r="A95" s="116"/>
      <c r="B95" s="193">
        <v>2010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71">
        <f>+C95+D95-E95+F95+G95+H95-I95-J95-K95-L95-O95+M95-N95</f>
        <v>0</v>
      </c>
    </row>
    <row r="96" spans="1:17" ht="15">
      <c r="A96" s="116"/>
      <c r="B96" s="193">
        <v>2011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71">
        <f>+C96+D96-E96+F96+G96+H96-I96-J96-K96-L96-O96+M96-N96</f>
        <v>0</v>
      </c>
    </row>
    <row r="97" spans="1:19" ht="15">
      <c r="A97" s="116"/>
      <c r="B97" s="19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73"/>
    </row>
    <row r="98" spans="1:19" ht="15">
      <c r="A98" s="129"/>
      <c r="B98" s="117" t="s">
        <v>356</v>
      </c>
      <c r="C98" s="164">
        <v>34</v>
      </c>
      <c r="D98" s="164">
        <f>SUM(D93:D94)</f>
        <v>0</v>
      </c>
      <c r="E98" s="164">
        <f>SUM(E93:E94)</f>
        <v>0</v>
      </c>
      <c r="F98" s="164">
        <f>SUM(F93:F94)</f>
        <v>0</v>
      </c>
      <c r="G98" s="164">
        <f>SUM(G93:G94)</f>
        <v>0</v>
      </c>
      <c r="H98" s="164">
        <f>SUM(H92:H94)</f>
        <v>0</v>
      </c>
      <c r="I98" s="164">
        <f>SUM(I92:I94)</f>
        <v>0</v>
      </c>
      <c r="J98" s="164">
        <f>SUM(J92:J94)</f>
        <v>0</v>
      </c>
      <c r="K98" s="164"/>
      <c r="L98" s="164">
        <f>SUM(L92)</f>
        <v>0</v>
      </c>
      <c r="M98" s="164"/>
      <c r="N98" s="164"/>
      <c r="O98" s="164">
        <f>SUM(O92:O94)</f>
        <v>0</v>
      </c>
      <c r="P98" s="165">
        <f>SUM(P92:P96)</f>
        <v>34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195">
        <v>2006</v>
      </c>
      <c r="C102" s="196">
        <v>0</v>
      </c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7">
        <f>+C102+D102-E102+F102+G102+H102-I102-J102-K102-L102-O102+M102-N102</f>
        <v>0</v>
      </c>
    </row>
    <row r="103" spans="1:19">
      <c r="A103" s="116"/>
      <c r="B103" s="195">
        <v>2007</v>
      </c>
      <c r="C103" s="196">
        <v>0</v>
      </c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7">
        <f>+C103+D103-E103+F103+G103+H103-I103-J103-K103-L103-O103+M103-N103</f>
        <v>0</v>
      </c>
    </row>
    <row r="104" spans="1:19" ht="15">
      <c r="A104" s="116"/>
      <c r="B104" s="195">
        <v>2008</v>
      </c>
      <c r="C104" s="196">
        <v>0</v>
      </c>
      <c r="D104" s="196"/>
      <c r="E104" s="196"/>
      <c r="F104" s="196"/>
      <c r="G104" s="196"/>
      <c r="H104" s="166">
        <f>983</f>
        <v>983</v>
      </c>
      <c r="I104" s="196"/>
      <c r="J104" s="196"/>
      <c r="K104" s="196"/>
      <c r="L104" s="196"/>
      <c r="M104" s="196"/>
      <c r="N104" s="196"/>
      <c r="O104" s="196"/>
      <c r="P104" s="199">
        <f>+C104+D104-E104+F104+G104+H104-I104-J104-K104-L104-O104+M104-N104</f>
        <v>983</v>
      </c>
    </row>
    <row r="105" spans="1:19">
      <c r="A105" s="116"/>
      <c r="B105" s="195">
        <v>2009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7">
        <f>+C105+D105-E105+F105+G105+H105-I105-J105-K105-L105-O105+M105-N105</f>
        <v>0</v>
      </c>
    </row>
    <row r="106" spans="1:19">
      <c r="A106" s="116"/>
      <c r="B106" s="195">
        <v>2010</v>
      </c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9">
        <f>+C106+D106-E106+F106+G106+H106-I106-J106-K106-L106-O106+M106-N106</f>
        <v>0</v>
      </c>
    </row>
    <row r="107" spans="1:19">
      <c r="A107" s="116"/>
      <c r="B107" s="20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2"/>
    </row>
    <row r="108" spans="1:19" ht="15">
      <c r="A108" s="129"/>
      <c r="B108" s="117" t="s">
        <v>356</v>
      </c>
      <c r="C108" s="164">
        <v>0</v>
      </c>
      <c r="D108" s="164">
        <f t="shared" ref="D108:I108" si="6">SUM(D102:D103)</f>
        <v>0</v>
      </c>
      <c r="E108" s="164">
        <f t="shared" si="6"/>
        <v>0</v>
      </c>
      <c r="F108" s="164">
        <f t="shared" si="6"/>
        <v>0</v>
      </c>
      <c r="G108" s="164">
        <f t="shared" si="6"/>
        <v>0</v>
      </c>
      <c r="H108" s="164">
        <f>SUM(H103:H104)</f>
        <v>983</v>
      </c>
      <c r="I108" s="164">
        <f t="shared" si="6"/>
        <v>0</v>
      </c>
      <c r="J108" s="164">
        <f>SUM(J104)</f>
        <v>0</v>
      </c>
      <c r="K108" s="164"/>
      <c r="L108" s="164">
        <f>SUM(L102:L103)</f>
        <v>0</v>
      </c>
      <c r="M108" s="164">
        <f>SUM(M103:M104)</f>
        <v>0</v>
      </c>
      <c r="N108" s="164"/>
      <c r="O108" s="164">
        <f>SUM(O103:O104)</f>
        <v>0</v>
      </c>
      <c r="P108" s="165">
        <f>SUM(P102:P106)</f>
        <v>983</v>
      </c>
    </row>
    <row r="109" spans="1:19" ht="15">
      <c r="A109" s="116"/>
      <c r="B109" s="155" t="s">
        <v>389</v>
      </c>
      <c r="C109" s="156"/>
      <c r="D109" s="179"/>
      <c r="E109" s="180"/>
      <c r="F109" s="16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179"/>
      <c r="E110" s="180"/>
      <c r="F110" s="166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407</v>
      </c>
      <c r="S110" s="6" t="s">
        <v>408</v>
      </c>
    </row>
    <row r="111" spans="1:19" ht="15">
      <c r="A111" s="116"/>
      <c r="B111" s="117" t="s">
        <v>353</v>
      </c>
      <c r="C111" s="158"/>
      <c r="D111" s="179"/>
      <c r="E111" s="180"/>
      <c r="F111" s="166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03">
        <v>1995</v>
      </c>
      <c r="C112" s="204">
        <v>2</v>
      </c>
      <c r="D112" s="179"/>
      <c r="E112" s="180"/>
      <c r="F112" s="166"/>
      <c r="G112" s="204"/>
      <c r="H112" s="204"/>
      <c r="I112" s="204"/>
      <c r="J112" s="204">
        <v>0.60000000000000009</v>
      </c>
      <c r="K112" s="204"/>
      <c r="L112" s="204"/>
      <c r="M112" s="204"/>
      <c r="N112" s="204"/>
      <c r="O112" s="204"/>
      <c r="P112" s="205">
        <f t="shared" ref="P112:P126" si="7">+C112+D112-E112+F112+G112+H112-I112-J112-K112-L112-O112+M112-N112</f>
        <v>1.4</v>
      </c>
      <c r="R112" s="44">
        <f>C112*0.7</f>
        <v>1.4</v>
      </c>
      <c r="S112" s="206">
        <f>C112-R112</f>
        <v>0.60000000000000009</v>
      </c>
    </row>
    <row r="113" spans="1:19" ht="15">
      <c r="A113" s="116"/>
      <c r="B113" s="203">
        <v>1996</v>
      </c>
      <c r="C113" s="204">
        <v>13</v>
      </c>
      <c r="D113" s="179"/>
      <c r="E113" s="180"/>
      <c r="F113" s="166"/>
      <c r="G113" s="204"/>
      <c r="H113" s="204"/>
      <c r="I113" s="204"/>
      <c r="J113" s="204">
        <v>3.9000000000000004</v>
      </c>
      <c r="K113" s="204"/>
      <c r="L113" s="204"/>
      <c r="M113" s="204"/>
      <c r="N113" s="204"/>
      <c r="O113" s="204"/>
      <c r="P113" s="205">
        <f t="shared" si="7"/>
        <v>9.1</v>
      </c>
      <c r="R113" s="44">
        <f t="shared" ref="R113:R125" si="8">C113*0.7</f>
        <v>9.1</v>
      </c>
      <c r="S113" s="206">
        <f t="shared" ref="S113:S125" si="9">C113-R113</f>
        <v>3.9000000000000004</v>
      </c>
    </row>
    <row r="114" spans="1:19" ht="15">
      <c r="A114" s="116"/>
      <c r="B114" s="203">
        <v>1997</v>
      </c>
      <c r="C114" s="204">
        <v>26</v>
      </c>
      <c r="D114" s="179"/>
      <c r="E114" s="180"/>
      <c r="F114" s="166"/>
      <c r="G114" s="204"/>
      <c r="H114" s="204"/>
      <c r="I114" s="204"/>
      <c r="J114" s="204">
        <v>7.8000000000000007</v>
      </c>
      <c r="K114" s="204"/>
      <c r="L114" s="204"/>
      <c r="M114" s="204"/>
      <c r="N114" s="204"/>
      <c r="O114" s="204"/>
      <c r="P114" s="205">
        <f t="shared" si="7"/>
        <v>18.2</v>
      </c>
      <c r="R114" s="44">
        <f t="shared" si="8"/>
        <v>18.2</v>
      </c>
      <c r="S114" s="206">
        <f t="shared" si="9"/>
        <v>7.8000000000000007</v>
      </c>
    </row>
    <row r="115" spans="1:19" ht="15">
      <c r="A115" s="116"/>
      <c r="B115" s="203">
        <v>1998</v>
      </c>
      <c r="C115" s="204">
        <v>97</v>
      </c>
      <c r="D115" s="179"/>
      <c r="E115" s="180"/>
      <c r="F115" s="166"/>
      <c r="G115" s="204"/>
      <c r="H115" s="204"/>
      <c r="I115" s="204"/>
      <c r="J115" s="204">
        <v>29.100000000000009</v>
      </c>
      <c r="K115" s="204"/>
      <c r="L115" s="204"/>
      <c r="M115" s="204"/>
      <c r="N115" s="204"/>
      <c r="O115" s="204"/>
      <c r="P115" s="205">
        <f t="shared" si="7"/>
        <v>67.899999999999991</v>
      </c>
      <c r="R115" s="44">
        <f t="shared" si="8"/>
        <v>67.899999999999991</v>
      </c>
      <c r="S115" s="206">
        <f t="shared" si="9"/>
        <v>29.100000000000009</v>
      </c>
    </row>
    <row r="116" spans="1:19" ht="15">
      <c r="A116" s="116"/>
      <c r="B116" s="203">
        <v>1999</v>
      </c>
      <c r="C116" s="204">
        <v>104</v>
      </c>
      <c r="D116" s="179"/>
      <c r="E116" s="180"/>
      <c r="F116" s="166"/>
      <c r="G116" s="204"/>
      <c r="H116" s="204"/>
      <c r="I116" s="204"/>
      <c r="J116" s="204">
        <v>31.200000000000003</v>
      </c>
      <c r="K116" s="204"/>
      <c r="L116" s="204"/>
      <c r="M116" s="204"/>
      <c r="N116" s="204"/>
      <c r="O116" s="204"/>
      <c r="P116" s="205">
        <f t="shared" si="7"/>
        <v>72.8</v>
      </c>
      <c r="R116" s="44">
        <f t="shared" si="8"/>
        <v>72.8</v>
      </c>
      <c r="S116" s="206">
        <f t="shared" si="9"/>
        <v>31.200000000000003</v>
      </c>
    </row>
    <row r="117" spans="1:19" ht="15">
      <c r="A117" s="116"/>
      <c r="B117" s="203">
        <v>2000</v>
      </c>
      <c r="C117" s="207">
        <v>165</v>
      </c>
      <c r="D117" s="179"/>
      <c r="E117" s="180"/>
      <c r="F117" s="166"/>
      <c r="G117" s="207"/>
      <c r="H117" s="207"/>
      <c r="I117" s="207"/>
      <c r="J117" s="207">
        <v>49.500000000000014</v>
      </c>
      <c r="K117" s="207"/>
      <c r="L117" s="207"/>
      <c r="M117" s="207"/>
      <c r="N117" s="207"/>
      <c r="O117" s="207"/>
      <c r="P117" s="208">
        <f t="shared" si="7"/>
        <v>115.49999999999999</v>
      </c>
      <c r="R117" s="44">
        <f t="shared" si="8"/>
        <v>115.49999999999999</v>
      </c>
      <c r="S117" s="206">
        <f t="shared" si="9"/>
        <v>49.500000000000014</v>
      </c>
    </row>
    <row r="118" spans="1:19" ht="15">
      <c r="A118" s="116"/>
      <c r="B118" s="203">
        <v>2001</v>
      </c>
      <c r="C118" s="207">
        <v>348</v>
      </c>
      <c r="D118" s="179"/>
      <c r="E118" s="180"/>
      <c r="F118" s="166"/>
      <c r="G118" s="207"/>
      <c r="H118" s="207"/>
      <c r="I118" s="207"/>
      <c r="J118" s="207">
        <v>104.4</v>
      </c>
      <c r="K118" s="207"/>
      <c r="L118" s="207"/>
      <c r="M118" s="207"/>
      <c r="N118" s="207"/>
      <c r="O118" s="207"/>
      <c r="P118" s="208">
        <f t="shared" si="7"/>
        <v>243.6</v>
      </c>
      <c r="R118" s="44">
        <f t="shared" si="8"/>
        <v>243.6</v>
      </c>
      <c r="S118" s="206">
        <f t="shared" si="9"/>
        <v>104.4</v>
      </c>
    </row>
    <row r="119" spans="1:19" ht="15">
      <c r="A119" s="116"/>
      <c r="B119" s="203">
        <v>2002</v>
      </c>
      <c r="C119" s="207">
        <v>279</v>
      </c>
      <c r="D119" s="179"/>
      <c r="E119" s="180"/>
      <c r="F119" s="166"/>
      <c r="G119" s="207"/>
      <c r="H119" s="207"/>
      <c r="I119" s="207"/>
      <c r="J119" s="207">
        <v>83.700000000000017</v>
      </c>
      <c r="K119" s="207"/>
      <c r="L119" s="207"/>
      <c r="M119" s="207"/>
      <c r="N119" s="207"/>
      <c r="O119" s="207"/>
      <c r="P119" s="208">
        <f t="shared" si="7"/>
        <v>195.29999999999998</v>
      </c>
      <c r="R119" s="44">
        <f t="shared" si="8"/>
        <v>195.29999999999998</v>
      </c>
      <c r="S119" s="206">
        <f t="shared" si="9"/>
        <v>83.700000000000017</v>
      </c>
    </row>
    <row r="120" spans="1:19" ht="15">
      <c r="A120" s="116"/>
      <c r="B120" s="203">
        <v>2003</v>
      </c>
      <c r="C120" s="207">
        <v>496</v>
      </c>
      <c r="D120" s="179"/>
      <c r="E120" s="180"/>
      <c r="F120" s="166"/>
      <c r="G120" s="207"/>
      <c r="H120" s="207"/>
      <c r="I120" s="207"/>
      <c r="J120" s="207">
        <v>90</v>
      </c>
      <c r="K120" s="207"/>
      <c r="L120" s="207"/>
      <c r="M120" s="207"/>
      <c r="N120" s="207"/>
      <c r="O120" s="207"/>
      <c r="P120" s="208">
        <f t="shared" si="7"/>
        <v>406</v>
      </c>
      <c r="R120" s="44">
        <f t="shared" si="8"/>
        <v>347.2</v>
      </c>
      <c r="S120" s="206">
        <f t="shared" si="9"/>
        <v>148.80000000000001</v>
      </c>
    </row>
    <row r="121" spans="1:19" ht="15">
      <c r="A121" s="116"/>
      <c r="B121" s="203">
        <v>2004</v>
      </c>
      <c r="C121" s="207">
        <v>680</v>
      </c>
      <c r="D121" s="179"/>
      <c r="E121" s="180"/>
      <c r="F121" s="166"/>
      <c r="G121" s="207"/>
      <c r="H121" s="207"/>
      <c r="I121" s="207"/>
      <c r="J121" s="207"/>
      <c r="K121" s="207"/>
      <c r="L121" s="207"/>
      <c r="M121" s="207"/>
      <c r="N121" s="207"/>
      <c r="O121" s="207"/>
      <c r="P121" s="208">
        <f t="shared" si="7"/>
        <v>680</v>
      </c>
      <c r="R121" s="44">
        <f t="shared" si="8"/>
        <v>475.99999999999994</v>
      </c>
      <c r="S121" s="206">
        <f t="shared" si="9"/>
        <v>204.00000000000006</v>
      </c>
    </row>
    <row r="122" spans="1:19" ht="15">
      <c r="A122" s="116"/>
      <c r="B122" s="203">
        <v>2005</v>
      </c>
      <c r="C122" s="207">
        <v>687</v>
      </c>
      <c r="D122" s="179"/>
      <c r="E122" s="180"/>
      <c r="F122" s="166"/>
      <c r="G122" s="207"/>
      <c r="H122" s="207"/>
      <c r="I122" s="207"/>
      <c r="J122" s="207"/>
      <c r="K122" s="207"/>
      <c r="L122" s="207"/>
      <c r="M122" s="207"/>
      <c r="N122" s="207"/>
      <c r="O122" s="207"/>
      <c r="P122" s="208">
        <f t="shared" si="7"/>
        <v>687</v>
      </c>
      <c r="R122" s="44">
        <f t="shared" si="8"/>
        <v>480.9</v>
      </c>
      <c r="S122" s="206">
        <f t="shared" si="9"/>
        <v>206.10000000000002</v>
      </c>
    </row>
    <row r="123" spans="1:19" ht="15">
      <c r="A123" s="116"/>
      <c r="B123" s="203">
        <v>2006</v>
      </c>
      <c r="C123" s="207">
        <v>1041</v>
      </c>
      <c r="D123" s="179"/>
      <c r="E123" s="180"/>
      <c r="F123" s="166"/>
      <c r="G123" s="207"/>
      <c r="H123" s="207"/>
      <c r="I123" s="207"/>
      <c r="J123" s="207"/>
      <c r="K123" s="207"/>
      <c r="L123" s="207"/>
      <c r="M123" s="207"/>
      <c r="N123" s="207"/>
      <c r="O123" s="207"/>
      <c r="P123" s="208">
        <f t="shared" si="7"/>
        <v>1041</v>
      </c>
      <c r="R123" s="44">
        <f t="shared" si="8"/>
        <v>728.69999999999993</v>
      </c>
      <c r="S123" s="206">
        <f t="shared" si="9"/>
        <v>312.30000000000007</v>
      </c>
    </row>
    <row r="124" spans="1:19" ht="15">
      <c r="A124" s="116"/>
      <c r="B124" s="203">
        <v>2007</v>
      </c>
      <c r="C124" s="207"/>
      <c r="D124" s="179"/>
      <c r="E124" s="180"/>
      <c r="F124" s="166"/>
      <c r="G124" s="207"/>
      <c r="H124" s="207"/>
      <c r="I124" s="207"/>
      <c r="J124" s="207"/>
      <c r="K124" s="207"/>
      <c r="L124" s="207"/>
      <c r="M124" s="207"/>
      <c r="N124" s="207"/>
      <c r="O124" s="207"/>
      <c r="P124" s="208">
        <f t="shared" si="7"/>
        <v>0</v>
      </c>
      <c r="R124" s="44">
        <f t="shared" si="8"/>
        <v>0</v>
      </c>
      <c r="S124" s="206">
        <f t="shared" si="9"/>
        <v>0</v>
      </c>
    </row>
    <row r="125" spans="1:19" ht="15">
      <c r="A125" s="116"/>
      <c r="B125" s="203">
        <v>2008</v>
      </c>
      <c r="C125" s="207">
        <v>674</v>
      </c>
      <c r="D125" s="179"/>
      <c r="E125" s="180"/>
      <c r="F125" s="166"/>
      <c r="G125" s="207"/>
      <c r="H125" s="207"/>
      <c r="I125" s="207"/>
      <c r="J125" s="207"/>
      <c r="K125" s="207"/>
      <c r="L125" s="207"/>
      <c r="M125" s="207"/>
      <c r="N125" s="207"/>
      <c r="O125" s="207"/>
      <c r="P125" s="208">
        <f t="shared" si="7"/>
        <v>674</v>
      </c>
      <c r="R125" s="44">
        <f t="shared" si="8"/>
        <v>471.79999999999995</v>
      </c>
      <c r="S125" s="206">
        <f t="shared" si="9"/>
        <v>202.20000000000005</v>
      </c>
    </row>
    <row r="126" spans="1:19" ht="15">
      <c r="A126" s="116"/>
      <c r="B126" s="203">
        <v>2009</v>
      </c>
      <c r="C126" s="207"/>
      <c r="D126" s="209"/>
      <c r="E126" s="210"/>
      <c r="F126" s="164"/>
      <c r="G126" s="207"/>
      <c r="H126" s="207"/>
      <c r="I126" s="207"/>
      <c r="J126" s="207"/>
      <c r="K126" s="207"/>
      <c r="L126" s="207"/>
      <c r="M126" s="207"/>
      <c r="N126" s="207"/>
      <c r="O126" s="207"/>
      <c r="P126" s="208">
        <f t="shared" si="7"/>
        <v>0</v>
      </c>
      <c r="Q126" s="145"/>
      <c r="R126" s="44">
        <f>SUM(R112:R125)</f>
        <v>3228.3999999999996</v>
      </c>
      <c r="S126" s="206">
        <f>SUM(S112:S125)</f>
        <v>1383.6000000000001</v>
      </c>
    </row>
    <row r="127" spans="1:19" ht="15">
      <c r="A127" s="116"/>
      <c r="B127" s="203">
        <v>2010</v>
      </c>
      <c r="C127" s="207"/>
      <c r="D127" s="209"/>
      <c r="E127" s="210"/>
      <c r="F127" s="164"/>
      <c r="G127" s="207"/>
      <c r="H127" s="207"/>
      <c r="I127" s="207"/>
      <c r="J127" s="207"/>
      <c r="K127" s="207"/>
      <c r="L127" s="207"/>
      <c r="M127" s="207"/>
      <c r="N127" s="207"/>
      <c r="O127" s="207"/>
      <c r="P127" s="208"/>
      <c r="Q127" s="145"/>
      <c r="R127" s="44"/>
      <c r="S127" s="206"/>
    </row>
    <row r="128" spans="1:19" ht="15">
      <c r="A128" s="116"/>
      <c r="B128" s="203">
        <v>2011</v>
      </c>
      <c r="C128" s="207"/>
      <c r="D128" s="209"/>
      <c r="E128" s="210"/>
      <c r="F128" s="164"/>
      <c r="G128" s="207"/>
      <c r="H128" s="207"/>
      <c r="I128" s="207"/>
      <c r="J128" s="207"/>
      <c r="K128" s="207"/>
      <c r="L128" s="207"/>
      <c r="M128" s="207"/>
      <c r="N128" s="207"/>
      <c r="O128" s="207"/>
      <c r="P128" s="208"/>
      <c r="Q128" s="145"/>
      <c r="R128" s="44"/>
      <c r="S128" s="206"/>
    </row>
    <row r="129" spans="1:19" ht="15">
      <c r="A129" s="116"/>
      <c r="B129" s="211"/>
      <c r="C129" s="212"/>
      <c r="D129" s="209"/>
      <c r="E129" s="210"/>
      <c r="F129" s="164"/>
      <c r="G129" s="212"/>
      <c r="H129" s="212"/>
      <c r="I129" s="212"/>
      <c r="J129" s="212"/>
      <c r="K129" s="212"/>
      <c r="L129" s="212"/>
      <c r="M129" s="212"/>
      <c r="N129" s="212"/>
      <c r="O129" s="212"/>
      <c r="P129" s="213"/>
      <c r="Q129" s="145"/>
      <c r="R129" s="44"/>
      <c r="S129" s="206"/>
    </row>
    <row r="130" spans="1:19" ht="15.75" thickBot="1">
      <c r="A130" s="129"/>
      <c r="B130" s="130" t="s">
        <v>356</v>
      </c>
      <c r="C130" s="164">
        <v>4612</v>
      </c>
      <c r="D130" s="164">
        <f t="shared" ref="D130:I130" si="10">SUM(D112:D123)</f>
        <v>0</v>
      </c>
      <c r="E130" s="164">
        <f t="shared" si="10"/>
        <v>0</v>
      </c>
      <c r="F130" s="164">
        <f t="shared" si="10"/>
        <v>0</v>
      </c>
      <c r="G130" s="164">
        <f t="shared" si="10"/>
        <v>0</v>
      </c>
      <c r="H130" s="164">
        <f>SUM(H112:H126)</f>
        <v>0</v>
      </c>
      <c r="I130" s="164">
        <f t="shared" si="10"/>
        <v>0</v>
      </c>
      <c r="J130" s="164">
        <f>SUM(J111:J123)</f>
        <v>400.20000000000005</v>
      </c>
      <c r="K130" s="164">
        <f>SUM(K112:K123)</f>
        <v>0</v>
      </c>
      <c r="L130" s="164">
        <f>SUM(L112:L123)</f>
        <v>0</v>
      </c>
      <c r="M130" s="164">
        <f>SUM(M116:M123)</f>
        <v>0</v>
      </c>
      <c r="N130" s="164"/>
      <c r="O130" s="164">
        <f>SUM(O112:O123)</f>
        <v>0</v>
      </c>
      <c r="P130" s="181">
        <f>SUM(P112:P126)</f>
        <v>4211.8</v>
      </c>
    </row>
    <row r="131" spans="1:19" ht="16.5" thickTop="1" thickBot="1">
      <c r="A131" s="147"/>
      <c r="B131" s="148" t="s">
        <v>399</v>
      </c>
      <c r="C131" s="214">
        <v>10535</v>
      </c>
      <c r="D131" s="214">
        <f t="shared" ref="D131:M131" si="11">+D14+D24+D35+D53+D70+D79+D88+D98+D108+D130</f>
        <v>0</v>
      </c>
      <c r="E131" s="214">
        <f t="shared" si="11"/>
        <v>0</v>
      </c>
      <c r="F131" s="214">
        <f t="shared" si="11"/>
        <v>0</v>
      </c>
      <c r="G131" s="214">
        <f t="shared" si="11"/>
        <v>3132</v>
      </c>
      <c r="H131" s="214">
        <f t="shared" si="11"/>
        <v>4851</v>
      </c>
      <c r="I131" s="214">
        <f t="shared" si="11"/>
        <v>4851</v>
      </c>
      <c r="J131" s="214">
        <f t="shared" si="11"/>
        <v>2200.1999999999998</v>
      </c>
      <c r="K131" s="214">
        <f t="shared" si="11"/>
        <v>0</v>
      </c>
      <c r="L131" s="214">
        <f t="shared" si="11"/>
        <v>0</v>
      </c>
      <c r="M131" s="214">
        <f t="shared" si="11"/>
        <v>0</v>
      </c>
      <c r="N131" s="214"/>
      <c r="O131" s="214">
        <f>+O14+O24+O35+O53+O70+O79+O88+O98+O108+O130</f>
        <v>218</v>
      </c>
      <c r="P131" s="215">
        <f>+P14+P24+P35+P53+P70+P79+P88+P98+P108+P130</f>
        <v>11248.8</v>
      </c>
      <c r="Q131" s="206">
        <f>P131-2200</f>
        <v>9048.7999999999993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2" manualBreakCount="2">
    <brk id="70" max="15" man="1"/>
    <brk id="13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111111111111111111111159"/>
  <dimension ref="A1:S161"/>
  <sheetViews>
    <sheetView showGridLines="0" view="pageBreakPreview" topLeftCell="A3" zoomScale="60" zoomScaleNormal="85" workbookViewId="0">
      <pane xSplit="3" ySplit="3" topLeftCell="D111" activePane="bottomRight" state="frozen"/>
      <selection activeCell="P94" sqref="P94"/>
      <selection pane="topRight" activeCell="P94" sqref="P94"/>
      <selection pane="bottomLeft" activeCell="P94" sqref="P94"/>
      <selection pane="bottomRight" activeCell="E124" sqref="E124"/>
    </sheetView>
  </sheetViews>
  <sheetFormatPr baseColWidth="10" defaultRowHeight="12.75"/>
  <cols>
    <col min="1" max="1" width="12.7109375" style="6" customWidth="1"/>
    <col min="2" max="2" width="16.5703125" style="6" customWidth="1"/>
    <col min="3" max="3" width="19" style="6" customWidth="1"/>
    <col min="4" max="4" width="10.140625" style="6" customWidth="1"/>
    <col min="5" max="5" width="11.7109375" style="6" customWidth="1"/>
    <col min="6" max="6" width="10.28515625" style="6" customWidth="1"/>
    <col min="7" max="9" width="11.85546875" style="6" customWidth="1"/>
    <col min="10" max="10" width="12.1406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0.140625" style="6" customWidth="1"/>
    <col min="16" max="16" width="12.5703125" style="6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427</v>
      </c>
      <c r="F3" s="95"/>
      <c r="G3" s="93" t="s">
        <v>428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23">
        <v>2008</v>
      </c>
      <c r="C9" s="160"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23">
        <v>2009</v>
      </c>
      <c r="C10" s="160"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123">
        <v>2010</v>
      </c>
      <c r="C11" s="160">
        <v>1457</v>
      </c>
      <c r="D11" s="160"/>
      <c r="E11" s="160"/>
      <c r="F11" s="160"/>
      <c r="G11" s="160"/>
      <c r="H11" s="160"/>
      <c r="I11" s="160">
        <v>1348</v>
      </c>
      <c r="J11" s="160"/>
      <c r="K11" s="160"/>
      <c r="L11" s="160"/>
      <c r="M11" s="160"/>
      <c r="N11" s="160"/>
      <c r="O11" s="160"/>
      <c r="P11" s="161">
        <f>+C11+D11-E11+F11+G11+H11-I11-J11-K11-L11-O11+M11-N11</f>
        <v>109</v>
      </c>
    </row>
    <row r="12" spans="1:19">
      <c r="A12" s="116"/>
      <c r="B12" s="123">
        <v>2011</v>
      </c>
      <c r="C12" s="160"/>
      <c r="D12" s="160"/>
      <c r="E12" s="160"/>
      <c r="F12" s="160"/>
      <c r="G12" s="160">
        <v>1532</v>
      </c>
      <c r="H12" s="160"/>
      <c r="I12" s="160"/>
      <c r="J12" s="160"/>
      <c r="K12" s="160"/>
      <c r="L12" s="160"/>
      <c r="M12" s="160"/>
      <c r="N12" s="160"/>
      <c r="O12" s="160">
        <v>77</v>
      </c>
      <c r="P12" s="161">
        <f>+C12+D12-E12+F12+G12+H12-I12-J12-K12-L12-O12+M12-N12</f>
        <v>1455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216">
        <f>SUM(C9:C13)</f>
        <v>1457</v>
      </c>
      <c r="D14" s="216">
        <f t="shared" ref="D14:J14" si="0">SUM(D9:D10)</f>
        <v>0</v>
      </c>
      <c r="E14" s="216">
        <f t="shared" si="0"/>
        <v>0</v>
      </c>
      <c r="F14" s="216">
        <f t="shared" si="0"/>
        <v>0</v>
      </c>
      <c r="G14" s="216">
        <f>SUM(G9:G13)</f>
        <v>1532</v>
      </c>
      <c r="H14" s="216">
        <f t="shared" si="0"/>
        <v>0</v>
      </c>
      <c r="I14" s="216">
        <f>SUM(I9:I13)</f>
        <v>1348</v>
      </c>
      <c r="J14" s="216">
        <f t="shared" si="0"/>
        <v>0</v>
      </c>
      <c r="K14" s="216">
        <f>SUM(K10)</f>
        <v>0</v>
      </c>
      <c r="L14" s="216">
        <f>SUM(L9:L10)</f>
        <v>0</v>
      </c>
      <c r="M14" s="216">
        <f>SUM(M10)</f>
        <v>0</v>
      </c>
      <c r="N14" s="216"/>
      <c r="O14" s="216">
        <f>SUM(O12:O13)</f>
        <v>77</v>
      </c>
      <c r="P14" s="217">
        <f>SUM(P9:P13)</f>
        <v>1564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8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8">
      <c r="A18" s="116"/>
      <c r="B18" s="123">
        <v>2007</v>
      </c>
      <c r="C18" s="160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8">
      <c r="A19" s="116"/>
      <c r="B19" s="123">
        <v>2008</v>
      </c>
      <c r="C19" s="160">
        <v>2</v>
      </c>
      <c r="D19" s="160"/>
      <c r="E19" s="160"/>
      <c r="F19" s="160"/>
      <c r="G19" s="160"/>
      <c r="H19" s="160"/>
      <c r="I19" s="160">
        <v>2</v>
      </c>
      <c r="J19" s="160"/>
      <c r="K19" s="160"/>
      <c r="L19" s="160"/>
      <c r="M19" s="160"/>
      <c r="N19" s="160"/>
      <c r="O19" s="160"/>
      <c r="P19" s="161">
        <f>+C19+D19-E19+F19+G19+H19-I19-J19-K19-L19-O19+M19-N19</f>
        <v>0</v>
      </c>
    </row>
    <row r="20" spans="1:18">
      <c r="A20" s="116"/>
      <c r="B20" s="123">
        <v>2009</v>
      </c>
      <c r="C20" s="160">
        <v>1238</v>
      </c>
      <c r="D20" s="160"/>
      <c r="E20" s="160"/>
      <c r="F20" s="160"/>
      <c r="G20" s="160"/>
      <c r="H20" s="160"/>
      <c r="I20" s="160">
        <v>1238</v>
      </c>
      <c r="J20" s="160"/>
      <c r="K20" s="160"/>
      <c r="L20" s="160"/>
      <c r="M20" s="160"/>
      <c r="N20" s="160"/>
      <c r="O20" s="160"/>
      <c r="P20" s="161">
        <f>+C20+D20-E20+F20+G20+H20-I20-J20-K20-L20-O20+M20-N20</f>
        <v>0</v>
      </c>
    </row>
    <row r="21" spans="1:18">
      <c r="A21" s="116"/>
      <c r="B21" s="123">
        <v>2010</v>
      </c>
      <c r="C21" s="160">
        <v>0</v>
      </c>
      <c r="D21" s="160"/>
      <c r="E21" s="160"/>
      <c r="F21" s="160"/>
      <c r="G21" s="160"/>
      <c r="H21" s="160">
        <v>347</v>
      </c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347</v>
      </c>
      <c r="R21" s="6">
        <f>153/2</f>
        <v>76.5</v>
      </c>
    </row>
    <row r="22" spans="1:18">
      <c r="A22" s="116"/>
      <c r="B22" s="123">
        <v>2011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8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8" ht="15">
      <c r="A24" s="129"/>
      <c r="B24" s="117" t="s">
        <v>356</v>
      </c>
      <c r="C24" s="218">
        <f>SUM(C18:C23)</f>
        <v>1240</v>
      </c>
      <c r="D24" s="216">
        <f>SUM(D18:D19)</f>
        <v>0</v>
      </c>
      <c r="E24" s="216">
        <f>SUM(E20)</f>
        <v>0</v>
      </c>
      <c r="F24" s="216"/>
      <c r="G24" s="216">
        <f>SUM(G19:G21)</f>
        <v>0</v>
      </c>
      <c r="H24" s="216">
        <f>SUM(H19:H23)</f>
        <v>347</v>
      </c>
      <c r="I24" s="216">
        <f>SUM(I18:I23)</f>
        <v>1240</v>
      </c>
      <c r="J24" s="216">
        <f>SUM(J18:J19)</f>
        <v>0</v>
      </c>
      <c r="K24" s="216"/>
      <c r="L24" s="216">
        <f>SUM(L18:L19)</f>
        <v>0</v>
      </c>
      <c r="M24" s="216">
        <f>SUM(M19)</f>
        <v>0</v>
      </c>
      <c r="N24" s="216"/>
      <c r="O24" s="216">
        <f>SUM(O18:O19)</f>
        <v>0</v>
      </c>
      <c r="P24" s="217">
        <f>SUM(P18:P23)</f>
        <v>347</v>
      </c>
    </row>
    <row r="25" spans="1:18" ht="15">
      <c r="A25" s="116"/>
      <c r="B25" s="167" t="s">
        <v>83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/>
    </row>
    <row r="26" spans="1:18" ht="15">
      <c r="A26" s="116"/>
      <c r="B26" s="170" t="s">
        <v>360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21"/>
    </row>
    <row r="27" spans="1:18" ht="15">
      <c r="A27" s="116" t="s">
        <v>361</v>
      </c>
      <c r="B27" s="170" t="s">
        <v>353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21"/>
    </row>
    <row r="28" spans="1:18" ht="15">
      <c r="A28" s="116"/>
      <c r="B28" s="172">
        <v>2006</v>
      </c>
      <c r="C28" s="218">
        <v>0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21">
        <f>+C28+D28-E28+F28+G28+H28-I28-J28-K28-L28-O28+M28-N28</f>
        <v>0</v>
      </c>
      <c r="R28" s="6">
        <f>3064*0.5</f>
        <v>1532</v>
      </c>
    </row>
    <row r="29" spans="1:18" ht="15">
      <c r="A29" s="116"/>
      <c r="B29" s="172">
        <v>2007</v>
      </c>
      <c r="C29" s="218">
        <v>0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21">
        <f>+C29+D29-E29+F29+G29+H29-I29-J29-K29-L29-O29+M29-N29</f>
        <v>0</v>
      </c>
      <c r="Q29" s="56"/>
    </row>
    <row r="30" spans="1:18" ht="15">
      <c r="A30" s="116"/>
      <c r="B30" s="172">
        <v>2008</v>
      </c>
      <c r="C30" s="218">
        <v>356</v>
      </c>
      <c r="D30" s="218"/>
      <c r="E30" s="218"/>
      <c r="F30" s="218"/>
      <c r="G30" s="218"/>
      <c r="H30" s="218">
        <v>2</v>
      </c>
      <c r="I30" s="218">
        <v>356</v>
      </c>
      <c r="J30" s="218">
        <v>2</v>
      </c>
      <c r="K30" s="218"/>
      <c r="L30" s="218"/>
      <c r="M30" s="218"/>
      <c r="N30" s="218"/>
      <c r="O30" s="218"/>
      <c r="P30" s="221">
        <f>+C30+D30-E30+F30+G30+H30-I30-J30-K30-L30-O30+M30-N30</f>
        <v>0</v>
      </c>
      <c r="Q30" s="56"/>
    </row>
    <row r="31" spans="1:18" ht="15">
      <c r="A31" s="116"/>
      <c r="B31" s="172">
        <v>2009</v>
      </c>
      <c r="C31" s="218">
        <v>0</v>
      </c>
      <c r="D31" s="218"/>
      <c r="E31" s="218"/>
      <c r="F31" s="218"/>
      <c r="G31" s="218"/>
      <c r="H31" s="218">
        <v>258</v>
      </c>
      <c r="I31" s="218"/>
      <c r="J31" s="218">
        <v>258</v>
      </c>
      <c r="K31" s="218"/>
      <c r="L31" s="218"/>
      <c r="M31" s="218"/>
      <c r="N31" s="218"/>
      <c r="O31" s="218"/>
      <c r="P31" s="221">
        <f>+C31+D31-E31+F31+G31+H31-I31-J31-K31-L31-O31+M31-N31</f>
        <v>0</v>
      </c>
      <c r="Q31" s="56"/>
    </row>
    <row r="32" spans="1:18" ht="15">
      <c r="A32" s="116"/>
      <c r="B32" s="172">
        <v>2010</v>
      </c>
      <c r="C32" s="218">
        <v>0</v>
      </c>
      <c r="D32" s="218"/>
      <c r="E32" s="218"/>
      <c r="F32" s="218"/>
      <c r="G32" s="218"/>
      <c r="H32" s="218">
        <v>1001</v>
      </c>
      <c r="I32" s="218"/>
      <c r="J32" s="218">
        <v>500</v>
      </c>
      <c r="K32" s="218"/>
      <c r="L32" s="218"/>
      <c r="M32" s="218"/>
      <c r="N32" s="218"/>
      <c r="O32" s="218"/>
      <c r="P32" s="221">
        <f>+C32+D32-E32+F32+G32+H32-I32-J32-K32-L32-O32+M32-N32</f>
        <v>501</v>
      </c>
      <c r="Q32" s="56"/>
    </row>
    <row r="33" spans="1:17" ht="15">
      <c r="A33" s="116"/>
      <c r="B33" s="172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21"/>
      <c r="Q33" s="56"/>
    </row>
    <row r="34" spans="1:17" ht="15">
      <c r="A34" s="116"/>
      <c r="B34" s="124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22"/>
      <c r="Q34" s="56"/>
    </row>
    <row r="35" spans="1:17" ht="15">
      <c r="A35" s="129"/>
      <c r="B35" s="117" t="s">
        <v>356</v>
      </c>
      <c r="C35" s="216">
        <f>SUM(C28:C34)</f>
        <v>356</v>
      </c>
      <c r="D35" s="216">
        <f>SUM(D28:D29)</f>
        <v>0</v>
      </c>
      <c r="E35" s="216">
        <f>SUM(E28:E29)</f>
        <v>0</v>
      </c>
      <c r="F35" s="216">
        <f>SUM(F29:F29)</f>
        <v>0</v>
      </c>
      <c r="G35" s="216">
        <f>SUM(G29:G29)</f>
        <v>0</v>
      </c>
      <c r="H35" s="216">
        <f>SUM(H28:H34)</f>
        <v>1261</v>
      </c>
      <c r="I35" s="216">
        <f>SUM(I28:I34)</f>
        <v>356</v>
      </c>
      <c r="J35" s="216">
        <f>SUM(J28:J34)</f>
        <v>760</v>
      </c>
      <c r="K35" s="216"/>
      <c r="L35" s="216">
        <f>SUM(L28:L29)</f>
        <v>0</v>
      </c>
      <c r="M35" s="216"/>
      <c r="N35" s="216"/>
      <c r="O35" s="216">
        <f>SUM(O28:O29)</f>
        <v>0</v>
      </c>
      <c r="P35" s="217">
        <f>SUM(P28:P34)</f>
        <v>501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31">
        <v>1997</v>
      </c>
      <c r="C39" s="176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1">+C39+D39-E39+F39+G39+H39-I39-J39-K39-L39-O39+M39-N39</f>
        <v>0</v>
      </c>
    </row>
    <row r="40" spans="1:17">
      <c r="A40" s="116"/>
      <c r="B40" s="123">
        <v>2000</v>
      </c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123">
        <v>2001</v>
      </c>
      <c r="C41" s="160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123">
        <v>2002</v>
      </c>
      <c r="C42" s="160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1"/>
        <v>0</v>
      </c>
      <c r="Q42" s="56"/>
    </row>
    <row r="43" spans="1:17">
      <c r="A43" s="116"/>
      <c r="B43" s="123">
        <v>2003</v>
      </c>
      <c r="C43" s="160"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>
        <f t="shared" si="1"/>
        <v>0</v>
      </c>
      <c r="Q43" s="56"/>
    </row>
    <row r="44" spans="1:17">
      <c r="A44" s="116"/>
      <c r="B44" s="123">
        <v>2004</v>
      </c>
      <c r="C44" s="160"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123">
        <v>2005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123">
        <v>2006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123">
        <v>2007</v>
      </c>
      <c r="C47" s="160">
        <v>169</v>
      </c>
      <c r="D47" s="160"/>
      <c r="E47" s="160"/>
      <c r="F47" s="160"/>
      <c r="G47" s="160"/>
      <c r="H47" s="160"/>
      <c r="I47" s="160">
        <v>20</v>
      </c>
      <c r="J47" s="160">
        <v>149</v>
      </c>
      <c r="K47" s="160"/>
      <c r="L47" s="160"/>
      <c r="M47" s="160"/>
      <c r="N47" s="160"/>
      <c r="O47" s="160"/>
      <c r="P47" s="161">
        <f t="shared" si="1"/>
        <v>0</v>
      </c>
    </row>
    <row r="48" spans="1:17">
      <c r="A48" s="116"/>
      <c r="B48" s="123">
        <v>2008</v>
      </c>
      <c r="C48" s="160">
        <v>40</v>
      </c>
      <c r="D48" s="160"/>
      <c r="E48" s="160"/>
      <c r="F48" s="160"/>
      <c r="G48" s="160"/>
      <c r="H48" s="160">
        <v>356</v>
      </c>
      <c r="I48" s="160">
        <v>10</v>
      </c>
      <c r="J48" s="160">
        <v>386</v>
      </c>
      <c r="K48" s="160"/>
      <c r="L48" s="160"/>
      <c r="M48" s="160"/>
      <c r="N48" s="160"/>
      <c r="O48" s="160"/>
      <c r="P48" s="161">
        <f t="shared" si="1"/>
        <v>0</v>
      </c>
    </row>
    <row r="49" spans="1:17">
      <c r="A49" s="116"/>
      <c r="B49" s="123">
        <v>2009</v>
      </c>
      <c r="C49" s="160">
        <v>0</v>
      </c>
      <c r="D49" s="160"/>
      <c r="E49" s="160"/>
      <c r="F49" s="160"/>
      <c r="G49" s="160"/>
      <c r="H49" s="160">
        <v>980</v>
      </c>
      <c r="I49" s="160"/>
      <c r="J49" s="160">
        <v>465</v>
      </c>
      <c r="K49" s="160"/>
      <c r="L49" s="160"/>
      <c r="M49" s="160"/>
      <c r="N49" s="160"/>
      <c r="O49" s="160"/>
      <c r="P49" s="161">
        <f t="shared" si="1"/>
        <v>515</v>
      </c>
    </row>
    <row r="50" spans="1:17">
      <c r="A50" s="116"/>
      <c r="B50" s="123">
        <v>2010</v>
      </c>
      <c r="C50" s="160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>
        <v>2011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216">
        <f>SUM(C39:C52)</f>
        <v>209</v>
      </c>
      <c r="D53" s="216">
        <f>SUM(D39:D46)</f>
        <v>0</v>
      </c>
      <c r="E53" s="216">
        <f>SUM(E39:E46)</f>
        <v>0</v>
      </c>
      <c r="F53" s="216">
        <f>SUM(F39:F46)</f>
        <v>0</v>
      </c>
      <c r="G53" s="216">
        <f>SUM(G39:G46)</f>
        <v>0</v>
      </c>
      <c r="H53" s="216">
        <f>SUM(H47:H52)</f>
        <v>1336</v>
      </c>
      <c r="I53" s="216">
        <f>SUM(I47:I52)</f>
        <v>30</v>
      </c>
      <c r="J53" s="216">
        <f>SUM(J39:J50)</f>
        <v>1000</v>
      </c>
      <c r="K53" s="216">
        <f>SUM(K43:K46)</f>
        <v>0</v>
      </c>
      <c r="L53" s="216">
        <f>SUM(L45:L46)</f>
        <v>0</v>
      </c>
      <c r="M53" s="216"/>
      <c r="N53" s="216"/>
      <c r="O53" s="216">
        <f>SUM(O39:O46)</f>
        <v>0</v>
      </c>
      <c r="P53" s="217">
        <f>SUM(P39:P52)</f>
        <v>515</v>
      </c>
    </row>
    <row r="54" spans="1:17" ht="15">
      <c r="A54" s="116"/>
      <c r="B54" s="117" t="s">
        <v>372</v>
      </c>
      <c r="C54" s="218"/>
      <c r="D54" s="223"/>
      <c r="E54" s="224"/>
      <c r="F54" s="218"/>
      <c r="G54" s="218"/>
      <c r="H54" s="223"/>
      <c r="I54" s="224"/>
      <c r="J54" s="218"/>
      <c r="K54" s="218"/>
      <c r="L54" s="218"/>
      <c r="M54" s="218"/>
      <c r="N54" s="218"/>
      <c r="O54" s="218"/>
      <c r="P54" s="225"/>
    </row>
    <row r="55" spans="1:17" ht="15">
      <c r="A55" s="116"/>
      <c r="B55" s="117" t="s">
        <v>373</v>
      </c>
      <c r="C55" s="218"/>
      <c r="D55" s="223"/>
      <c r="E55" s="224"/>
      <c r="F55" s="218"/>
      <c r="G55" s="218"/>
      <c r="H55" s="223"/>
      <c r="I55" s="224"/>
      <c r="J55" s="218"/>
      <c r="K55" s="218"/>
      <c r="L55" s="218"/>
      <c r="M55" s="218"/>
      <c r="N55" s="218"/>
      <c r="O55" s="218"/>
      <c r="P55" s="225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82">
        <v>1998</v>
      </c>
      <c r="C57" s="183">
        <v>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0</v>
      </c>
      <c r="Q57" s="56"/>
    </row>
    <row r="58" spans="1:17">
      <c r="A58" s="116"/>
      <c r="B58" s="131">
        <v>1999</v>
      </c>
      <c r="C58" s="176">
        <v>15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2"/>
        <v>15</v>
      </c>
      <c r="Q58" s="56"/>
    </row>
    <row r="59" spans="1:17">
      <c r="A59" s="116"/>
      <c r="B59" s="123">
        <v>2000</v>
      </c>
      <c r="C59" s="160">
        <v>8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8</v>
      </c>
      <c r="Q59" s="56"/>
    </row>
    <row r="60" spans="1:17">
      <c r="A60" s="116"/>
      <c r="B60" s="123">
        <v>2001</v>
      </c>
      <c r="C60" s="160">
        <v>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1</v>
      </c>
      <c r="Q60" s="56"/>
    </row>
    <row r="61" spans="1:17">
      <c r="A61" s="116"/>
      <c r="B61" s="123">
        <v>2003</v>
      </c>
      <c r="C61" s="160">
        <v>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5</v>
      </c>
      <c r="Q61" s="56"/>
    </row>
    <row r="62" spans="1:17">
      <c r="A62" s="116"/>
      <c r="B62" s="123">
        <v>2005</v>
      </c>
      <c r="C62" s="160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0</v>
      </c>
      <c r="Q62" s="56"/>
    </row>
    <row r="63" spans="1:17">
      <c r="A63" s="116"/>
      <c r="B63" s="123">
        <v>2006</v>
      </c>
      <c r="C63" s="160"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0</v>
      </c>
    </row>
    <row r="64" spans="1:17">
      <c r="A64" s="116"/>
      <c r="B64" s="123">
        <v>2007</v>
      </c>
      <c r="C64" s="160">
        <v>0</v>
      </c>
      <c r="D64" s="160"/>
      <c r="E64" s="160"/>
      <c r="F64" s="160"/>
      <c r="G64" s="160"/>
      <c r="H64" s="160">
        <v>20</v>
      </c>
      <c r="I64" s="160"/>
      <c r="J64" s="160"/>
      <c r="K64" s="160"/>
      <c r="L64" s="160"/>
      <c r="M64" s="160"/>
      <c r="N64" s="160"/>
      <c r="O64" s="160"/>
      <c r="P64" s="161">
        <f t="shared" si="2"/>
        <v>20</v>
      </c>
    </row>
    <row r="65" spans="1:17">
      <c r="A65" s="116"/>
      <c r="B65" s="123">
        <v>2008</v>
      </c>
      <c r="C65" s="160">
        <v>0</v>
      </c>
      <c r="D65" s="160"/>
      <c r="E65" s="160"/>
      <c r="F65" s="160"/>
      <c r="G65" s="160"/>
      <c r="H65" s="160">
        <v>10</v>
      </c>
      <c r="I65" s="160"/>
      <c r="J65" s="160"/>
      <c r="K65" s="160"/>
      <c r="L65" s="160"/>
      <c r="M65" s="160"/>
      <c r="N65" s="160"/>
      <c r="O65" s="160"/>
      <c r="P65" s="161">
        <f t="shared" si="2"/>
        <v>10</v>
      </c>
    </row>
    <row r="66" spans="1:17">
      <c r="A66" s="116"/>
      <c r="B66" s="123">
        <v>2009</v>
      </c>
      <c r="C66" s="160">
        <v>0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2"/>
        <v>0</v>
      </c>
    </row>
    <row r="67" spans="1:17">
      <c r="A67" s="116"/>
      <c r="B67" s="123">
        <v>2010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7">
      <c r="A68" s="116"/>
      <c r="B68" s="123">
        <v>2011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7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7" ht="15">
      <c r="A70" s="129"/>
      <c r="B70" s="117" t="s">
        <v>356</v>
      </c>
      <c r="C70" s="216">
        <v>29</v>
      </c>
      <c r="D70" s="216">
        <f t="shared" ref="D70:J70" si="3">SUM(D57:D63)</f>
        <v>0</v>
      </c>
      <c r="E70" s="216">
        <f t="shared" si="3"/>
        <v>0</v>
      </c>
      <c r="F70" s="216">
        <f t="shared" si="3"/>
        <v>0</v>
      </c>
      <c r="G70" s="216">
        <f t="shared" si="3"/>
        <v>0</v>
      </c>
      <c r="H70" s="216">
        <f>SUM(H57:H69)</f>
        <v>30</v>
      </c>
      <c r="I70" s="216">
        <f>SUM(I57:I69)</f>
        <v>0</v>
      </c>
      <c r="J70" s="216">
        <f t="shared" si="3"/>
        <v>0</v>
      </c>
      <c r="K70" s="216"/>
      <c r="L70" s="216">
        <f>SUM(L57:L63)</f>
        <v>0</v>
      </c>
      <c r="M70" s="216"/>
      <c r="N70" s="216"/>
      <c r="O70" s="216">
        <f>SUM(O57:O63)</f>
        <v>0</v>
      </c>
      <c r="P70" s="217">
        <f>SUM(P57:P69)</f>
        <v>59</v>
      </c>
    </row>
    <row r="71" spans="1:17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7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7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7">
      <c r="A74" s="116"/>
      <c r="B74" s="123">
        <v>2008</v>
      </c>
      <c r="C74" s="226">
        <v>0</v>
      </c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7">
        <f>+C74+D74-E74+F74+G74+H74-I74-J74-K74-L74-O74+M74-N74</f>
        <v>0</v>
      </c>
      <c r="Q74" s="56"/>
    </row>
    <row r="75" spans="1:17">
      <c r="A75" s="116"/>
      <c r="B75" s="123">
        <v>2009</v>
      </c>
      <c r="C75" s="226">
        <v>0</v>
      </c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7">
        <f>+C75+D75-E75+F75+G75+H75-I75-J75-K75-L75-O75+M75-N75</f>
        <v>0</v>
      </c>
    </row>
    <row r="76" spans="1:17">
      <c r="A76" s="116"/>
      <c r="B76" s="123">
        <v>2010</v>
      </c>
      <c r="C76" s="226">
        <v>1457</v>
      </c>
      <c r="D76" s="226"/>
      <c r="E76" s="226"/>
      <c r="F76" s="226"/>
      <c r="G76" s="226"/>
      <c r="H76" s="226"/>
      <c r="I76" s="226">
        <v>1348</v>
      </c>
      <c r="J76" s="226"/>
      <c r="K76" s="226"/>
      <c r="L76" s="226"/>
      <c r="M76" s="226"/>
      <c r="N76" s="226"/>
      <c r="O76" s="226"/>
      <c r="P76" s="227">
        <f>+C76+D76-E76+F76+G76+H76-I76-J76-K76-L76-O76+M76-N76</f>
        <v>109</v>
      </c>
    </row>
    <row r="77" spans="1:17">
      <c r="A77" s="116"/>
      <c r="B77" s="123">
        <v>2011</v>
      </c>
      <c r="C77" s="226">
        <v>0</v>
      </c>
      <c r="D77" s="226"/>
      <c r="E77" s="226"/>
      <c r="F77" s="226"/>
      <c r="G77" s="226">
        <v>1532</v>
      </c>
      <c r="H77" s="226"/>
      <c r="I77" s="226"/>
      <c r="J77" s="226"/>
      <c r="K77" s="226"/>
      <c r="L77" s="226"/>
      <c r="M77" s="226"/>
      <c r="N77" s="226"/>
      <c r="O77" s="226">
        <v>76</v>
      </c>
      <c r="P77" s="227">
        <f>+C77+D77-E77+F77+G77+H77-I77-J77-K77-L77-O77+M77-N77</f>
        <v>1456</v>
      </c>
    </row>
    <row r="78" spans="1:17">
      <c r="A78" s="116"/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30"/>
    </row>
    <row r="79" spans="1:17" ht="15">
      <c r="A79" s="129"/>
      <c r="B79" s="117" t="s">
        <v>356</v>
      </c>
      <c r="C79" s="218">
        <f>SUM(C74:C78)</f>
        <v>1457</v>
      </c>
      <c r="D79" s="216">
        <f t="shared" ref="D79:J79" si="4">SUM(D74:D75)</f>
        <v>0</v>
      </c>
      <c r="E79" s="216">
        <f t="shared" si="4"/>
        <v>0</v>
      </c>
      <c r="F79" s="216">
        <f t="shared" si="4"/>
        <v>0</v>
      </c>
      <c r="G79" s="216">
        <f>SUM(G74:G78)</f>
        <v>1532</v>
      </c>
      <c r="H79" s="216">
        <f>SUM(H74:H78)</f>
        <v>0</v>
      </c>
      <c r="I79" s="216">
        <f>SUM(I74:I78)</f>
        <v>1348</v>
      </c>
      <c r="J79" s="216">
        <f t="shared" si="4"/>
        <v>0</v>
      </c>
      <c r="K79" s="216"/>
      <c r="L79" s="216"/>
      <c r="M79" s="216">
        <f>SUM(M74:M75)</f>
        <v>0</v>
      </c>
      <c r="N79" s="216"/>
      <c r="O79" s="216">
        <f>SUM(O77:O78)</f>
        <v>76</v>
      </c>
      <c r="P79" s="217">
        <f>SUM(P74:P78)</f>
        <v>1565</v>
      </c>
    </row>
    <row r="80" spans="1:17" ht="15">
      <c r="A80" s="116"/>
      <c r="B80" s="167" t="s">
        <v>75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20"/>
    </row>
    <row r="81" spans="1:17" ht="15">
      <c r="A81" s="116"/>
      <c r="B81" s="170" t="s">
        <v>357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21"/>
    </row>
    <row r="82" spans="1:17" ht="15">
      <c r="A82" s="116" t="s">
        <v>375</v>
      </c>
      <c r="B82" s="170" t="s">
        <v>353</v>
      </c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21"/>
    </row>
    <row r="83" spans="1:17" ht="15">
      <c r="A83" s="116"/>
      <c r="B83" s="123">
        <v>2007</v>
      </c>
      <c r="C83" s="218">
        <v>0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21">
        <f>+C83+D83-E83+F83+G83+H83-I83-J83-K83-L83-O83+M83-N83</f>
        <v>0</v>
      </c>
      <c r="Q83" s="56"/>
    </row>
    <row r="84" spans="1:17" ht="15">
      <c r="A84" s="116"/>
      <c r="B84" s="123">
        <v>2008</v>
      </c>
      <c r="C84" s="218">
        <v>0</v>
      </c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21">
        <f>+C84+D84-E84+F84+G84+H84-I84-J84-K84-L84-O84+M84-N84</f>
        <v>0</v>
      </c>
      <c r="Q84" s="56"/>
    </row>
    <row r="85" spans="1:17" ht="15">
      <c r="A85" s="116"/>
      <c r="B85" s="123">
        <v>2009</v>
      </c>
      <c r="C85" s="218">
        <v>1272</v>
      </c>
      <c r="D85" s="218"/>
      <c r="E85" s="218"/>
      <c r="F85" s="218"/>
      <c r="G85" s="218"/>
      <c r="H85" s="218"/>
      <c r="I85" s="218">
        <v>1272</v>
      </c>
      <c r="J85" s="218"/>
      <c r="K85" s="218"/>
      <c r="L85" s="218"/>
      <c r="M85" s="218"/>
      <c r="N85" s="218"/>
      <c r="O85" s="218"/>
      <c r="P85" s="221">
        <f>+C85+D85-E85+F85+G85+H85-I85-J85-K85-L85-O85+M85-N85</f>
        <v>0</v>
      </c>
      <c r="Q85" s="56"/>
    </row>
    <row r="86" spans="1:17" ht="15">
      <c r="A86" s="116"/>
      <c r="B86" s="123">
        <v>2010</v>
      </c>
      <c r="C86" s="218">
        <v>0</v>
      </c>
      <c r="D86" s="218"/>
      <c r="E86" s="218"/>
      <c r="F86" s="218"/>
      <c r="G86" s="218"/>
      <c r="H86" s="218">
        <v>394</v>
      </c>
      <c r="I86" s="218"/>
      <c r="J86" s="218"/>
      <c r="K86" s="218"/>
      <c r="L86" s="218"/>
      <c r="M86" s="218"/>
      <c r="N86" s="218"/>
      <c r="O86" s="218"/>
      <c r="P86" s="221">
        <f>+C86+D86-E86+F86+G86+H86-I86-J86-K86-L86-O86+M86-N86</f>
        <v>394</v>
      </c>
      <c r="Q86" s="56"/>
    </row>
    <row r="87" spans="1:17" ht="15">
      <c r="A87" s="116"/>
      <c r="B87" s="123">
        <v>2011</v>
      </c>
      <c r="C87" s="216">
        <v>0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22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218">
        <f>SUM(C83:C87)</f>
        <v>1272</v>
      </c>
      <c r="D88" s="216">
        <f t="shared" ref="D88:J88" si="5">SUM(D83:D84)</f>
        <v>0</v>
      </c>
      <c r="E88" s="216">
        <f t="shared" si="5"/>
        <v>0</v>
      </c>
      <c r="F88" s="216">
        <f t="shared" si="5"/>
        <v>0</v>
      </c>
      <c r="G88" s="216">
        <f t="shared" si="5"/>
        <v>0</v>
      </c>
      <c r="H88" s="216">
        <f>SUM(H84:H87)</f>
        <v>394</v>
      </c>
      <c r="I88" s="216">
        <f>SUM(I84:I87)</f>
        <v>1272</v>
      </c>
      <c r="J88" s="216">
        <f t="shared" si="5"/>
        <v>0</v>
      </c>
      <c r="K88" s="216"/>
      <c r="L88" s="216">
        <f>SUM(L83:L84)</f>
        <v>0</v>
      </c>
      <c r="M88" s="216"/>
      <c r="N88" s="216"/>
      <c r="O88" s="216">
        <f>SUM(O83:O84)</f>
        <v>0</v>
      </c>
      <c r="P88" s="217">
        <f>SUM(P83:P87)</f>
        <v>394</v>
      </c>
    </row>
    <row r="89" spans="1:17" ht="15">
      <c r="A89" s="116"/>
      <c r="B89" s="167" t="s">
        <v>70</v>
      </c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</row>
    <row r="90" spans="1:17" ht="15">
      <c r="A90" s="116"/>
      <c r="B90" s="170" t="s">
        <v>379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21"/>
    </row>
    <row r="91" spans="1:17" ht="15">
      <c r="A91" s="116" t="s">
        <v>380</v>
      </c>
      <c r="B91" s="170" t="s">
        <v>353</v>
      </c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21"/>
    </row>
    <row r="92" spans="1:17" ht="15">
      <c r="A92" s="116"/>
      <c r="B92" s="123">
        <v>2007</v>
      </c>
      <c r="C92" s="218">
        <v>0</v>
      </c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21">
        <f>+C92+D92-E92+F92+G92+H92-I92-J92-K92-L92-O92+M92-N92</f>
        <v>0</v>
      </c>
    </row>
    <row r="93" spans="1:17" ht="15">
      <c r="A93" s="116"/>
      <c r="B93" s="123">
        <v>2008</v>
      </c>
      <c r="C93" s="218">
        <v>34</v>
      </c>
      <c r="D93" s="218"/>
      <c r="E93" s="218"/>
      <c r="F93" s="218"/>
      <c r="G93" s="218"/>
      <c r="H93" s="218"/>
      <c r="I93" s="218">
        <v>34</v>
      </c>
      <c r="J93" s="218"/>
      <c r="K93" s="218"/>
      <c r="L93" s="218"/>
      <c r="M93" s="218"/>
      <c r="N93" s="218"/>
      <c r="O93" s="218"/>
      <c r="P93" s="221">
        <f>+C93+D93-E93+F93+G93+H93-I93-J93-K93-L93-O93+M93-N93</f>
        <v>0</v>
      </c>
      <c r="Q93" s="56"/>
    </row>
    <row r="94" spans="1:17" ht="15">
      <c r="A94" s="116"/>
      <c r="B94" s="123">
        <v>2009</v>
      </c>
      <c r="C94" s="218">
        <v>0</v>
      </c>
      <c r="D94" s="218"/>
      <c r="E94" s="218"/>
      <c r="F94" s="218"/>
      <c r="G94" s="218"/>
      <c r="H94" s="218">
        <v>354</v>
      </c>
      <c r="I94" s="218"/>
      <c r="J94" s="218"/>
      <c r="K94" s="218"/>
      <c r="L94" s="218"/>
      <c r="M94" s="218"/>
      <c r="N94" s="218"/>
      <c r="O94" s="218"/>
      <c r="P94" s="221">
        <f>+C94+D94-E94+F94+G94+H94-I94-J94-K94-L94-O94+M94-N94</f>
        <v>354</v>
      </c>
    </row>
    <row r="95" spans="1:17" ht="15">
      <c r="A95" s="116"/>
      <c r="B95" s="123">
        <v>2010</v>
      </c>
      <c r="C95" s="218">
        <v>0</v>
      </c>
      <c r="D95" s="218"/>
      <c r="E95" s="218"/>
      <c r="F95" s="218"/>
      <c r="G95" s="218"/>
      <c r="H95" s="218">
        <v>954</v>
      </c>
      <c r="I95" s="218"/>
      <c r="J95" s="218"/>
      <c r="K95" s="218"/>
      <c r="L95" s="218"/>
      <c r="M95" s="218"/>
      <c r="N95" s="218"/>
      <c r="O95" s="218"/>
      <c r="P95" s="221">
        <f>+C95+D95-E95+F95+G95+H95-I95-J95-K95-L95-O95+M95-N95</f>
        <v>954</v>
      </c>
    </row>
    <row r="96" spans="1:17" ht="15">
      <c r="A96" s="116"/>
      <c r="B96" s="123">
        <v>2011</v>
      </c>
      <c r="C96" s="218">
        <v>0</v>
      </c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21">
        <f>+C96+D96-E96+F96+G96+H96-I96-J96-K96-L96-O96+M96-N96</f>
        <v>0</v>
      </c>
    </row>
    <row r="97" spans="1:19" ht="15">
      <c r="A97" s="116"/>
      <c r="B97" s="231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22"/>
    </row>
    <row r="98" spans="1:19" ht="15">
      <c r="A98" s="129"/>
      <c r="B98" s="117" t="s">
        <v>356</v>
      </c>
      <c r="C98" s="216">
        <v>34</v>
      </c>
      <c r="D98" s="216">
        <f>SUM(D93:D94)</f>
        <v>0</v>
      </c>
      <c r="E98" s="216">
        <f>SUM(E93:E94)</f>
        <v>0</v>
      </c>
      <c r="F98" s="216">
        <f>SUM(F93:F94)</f>
        <v>0</v>
      </c>
      <c r="G98" s="216">
        <f>SUM(G93:G94)</f>
        <v>0</v>
      </c>
      <c r="H98" s="216">
        <f>SUM(H92:H97)</f>
        <v>1308</v>
      </c>
      <c r="I98" s="216">
        <f>SUM(I92:I97)</f>
        <v>34</v>
      </c>
      <c r="J98" s="216">
        <f>SUM(J92:J94)</f>
        <v>0</v>
      </c>
      <c r="K98" s="216"/>
      <c r="L98" s="216">
        <f>SUM(L92)</f>
        <v>0</v>
      </c>
      <c r="M98" s="216"/>
      <c r="N98" s="216"/>
      <c r="O98" s="216">
        <f>SUM(O92:O94)</f>
        <v>0</v>
      </c>
      <c r="P98" s="217">
        <f>SUM(P92:P97)</f>
        <v>1308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609">
        <v>2006</v>
      </c>
      <c r="C102" s="232">
        <v>0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3">
        <f>+C102+D102-E102+F102+G102+H102-I102-J102-K102-L102-O102+M102-N102</f>
        <v>0</v>
      </c>
    </row>
    <row r="103" spans="1:19">
      <c r="A103" s="116"/>
      <c r="B103" s="123">
        <v>2007</v>
      </c>
      <c r="C103" s="232">
        <v>0</v>
      </c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3">
        <f>+C103+D103-E103+F103+G103+H103-I103-J103-K103-L103-O103+M103-N103</f>
        <v>0</v>
      </c>
      <c r="R103" s="6" t="s">
        <v>410</v>
      </c>
      <c r="S103" s="6">
        <v>835</v>
      </c>
    </row>
    <row r="104" spans="1:19">
      <c r="A104" s="116"/>
      <c r="B104" s="123">
        <v>2008</v>
      </c>
      <c r="C104" s="234">
        <v>983</v>
      </c>
      <c r="D104" s="232"/>
      <c r="E104" s="232"/>
      <c r="F104" s="232"/>
      <c r="G104" s="232"/>
      <c r="H104" s="232"/>
      <c r="I104" s="234">
        <v>983</v>
      </c>
      <c r="J104" s="232"/>
      <c r="K104" s="232"/>
      <c r="L104" s="232"/>
      <c r="M104" s="232"/>
      <c r="N104" s="232"/>
      <c r="O104" s="232"/>
      <c r="P104" s="233">
        <f>+C104+D104-E104+F104+G104+H104-I104-J104-K104-L104-O104+M104-N104</f>
        <v>0</v>
      </c>
      <c r="R104" s="6" t="s">
        <v>411</v>
      </c>
    </row>
    <row r="105" spans="1:19">
      <c r="A105" s="116"/>
      <c r="B105" s="123">
        <v>2009</v>
      </c>
      <c r="C105" s="232">
        <v>0</v>
      </c>
      <c r="D105" s="232"/>
      <c r="E105" s="232"/>
      <c r="F105" s="232"/>
      <c r="G105" s="232"/>
      <c r="H105" s="234">
        <v>918</v>
      </c>
      <c r="I105" s="232"/>
      <c r="J105" s="232"/>
      <c r="K105" s="232"/>
      <c r="L105" s="232"/>
      <c r="M105" s="232"/>
      <c r="N105" s="232"/>
      <c r="O105" s="232"/>
      <c r="P105" s="235">
        <f>+C105+D105-E105+F105+G105+H105-I105-J105-K105-L105-O105+M105-N105</f>
        <v>918</v>
      </c>
      <c r="R105" s="6" t="s">
        <v>412</v>
      </c>
      <c r="S105" s="6">
        <v>550</v>
      </c>
    </row>
    <row r="106" spans="1:19">
      <c r="A106" s="116"/>
      <c r="B106" s="123">
        <v>2010</v>
      </c>
      <c r="C106" s="234">
        <v>0</v>
      </c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5">
        <f>+C106+D106-E106+F106+G106+H106-I106-J106-K106-L106-O106+M106-N106</f>
        <v>0</v>
      </c>
      <c r="S106" s="6">
        <f>SUM(S103:S105)</f>
        <v>1385</v>
      </c>
    </row>
    <row r="107" spans="1:19">
      <c r="A107" s="116"/>
      <c r="B107" s="123">
        <v>2011</v>
      </c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7"/>
    </row>
    <row r="108" spans="1:19" ht="15">
      <c r="A108" s="129"/>
      <c r="B108" s="117" t="s">
        <v>356</v>
      </c>
      <c r="C108" s="216">
        <v>983</v>
      </c>
      <c r="D108" s="216">
        <f>SUM(D102:D103)</f>
        <v>0</v>
      </c>
      <c r="E108" s="216">
        <f>SUM(E102:E103)</f>
        <v>0</v>
      </c>
      <c r="F108" s="216">
        <f>SUM(F102:F103)</f>
        <v>0</v>
      </c>
      <c r="G108" s="216">
        <f>SUM(G102:G103)</f>
        <v>0</v>
      </c>
      <c r="H108" s="216">
        <f>SUM(H103:H107)</f>
        <v>918</v>
      </c>
      <c r="I108" s="216">
        <f>SUM(I103:I107)</f>
        <v>983</v>
      </c>
      <c r="J108" s="216">
        <f>SUM(J104)</f>
        <v>0</v>
      </c>
      <c r="K108" s="216"/>
      <c r="L108" s="216">
        <f>SUM(L102:L103)</f>
        <v>0</v>
      </c>
      <c r="M108" s="216">
        <f>SUM(M103:M104)</f>
        <v>0</v>
      </c>
      <c r="N108" s="216"/>
      <c r="O108" s="216">
        <f>SUM(O103:O104)</f>
        <v>0</v>
      </c>
      <c r="P108" s="217">
        <f>SUM(P102:P107)</f>
        <v>918</v>
      </c>
    </row>
    <row r="109" spans="1:19" ht="15">
      <c r="A109" s="116"/>
      <c r="B109" s="155" t="s">
        <v>389</v>
      </c>
      <c r="C109" s="156"/>
      <c r="D109" s="223"/>
      <c r="E109" s="224"/>
      <c r="F109" s="218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223"/>
      <c r="E110" s="224"/>
      <c r="F110" s="21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413</v>
      </c>
      <c r="S110" s="6" t="s">
        <v>408</v>
      </c>
    </row>
    <row r="111" spans="1:19" ht="15">
      <c r="A111" s="116"/>
      <c r="B111" s="117" t="s">
        <v>353</v>
      </c>
      <c r="C111" s="158"/>
      <c r="D111" s="223"/>
      <c r="E111" s="224"/>
      <c r="F111" s="21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38">
        <v>1995</v>
      </c>
      <c r="C112" s="239">
        <v>1.4</v>
      </c>
      <c r="D112" s="223"/>
      <c r="E112" s="224"/>
      <c r="F112" s="218"/>
      <c r="G112" s="239"/>
      <c r="H112" s="239"/>
      <c r="I112" s="239"/>
      <c r="J112" s="239">
        <v>1</v>
      </c>
      <c r="K112" s="239"/>
      <c r="L112" s="239"/>
      <c r="M112" s="239"/>
      <c r="N112" s="239"/>
      <c r="O112" s="239"/>
      <c r="P112" s="240">
        <f t="shared" ref="P112:P128" si="6">+C112+D112-E112+F112+G112+H112-I112-J112-K112-L112-O112+M112-N112</f>
        <v>0.39999999999999991</v>
      </c>
      <c r="R112" s="44">
        <v>1.0499999999999998</v>
      </c>
      <c r="S112" s="206">
        <v>0.35000000000000009</v>
      </c>
    </row>
    <row r="113" spans="1:19" ht="15">
      <c r="A113" s="116"/>
      <c r="B113" s="238">
        <v>1996</v>
      </c>
      <c r="C113" s="239">
        <v>9.1</v>
      </c>
      <c r="D113" s="223"/>
      <c r="E113" s="224"/>
      <c r="F113" s="218"/>
      <c r="G113" s="239"/>
      <c r="H113" s="239"/>
      <c r="I113" s="239"/>
      <c r="J113" s="239">
        <v>9</v>
      </c>
      <c r="K113" s="239"/>
      <c r="L113" s="239"/>
      <c r="M113" s="239"/>
      <c r="N113" s="239"/>
      <c r="O113" s="239"/>
      <c r="P113" s="240">
        <f t="shared" si="6"/>
        <v>9.9999999999999645E-2</v>
      </c>
      <c r="R113" s="44">
        <v>6.8249999999999993</v>
      </c>
      <c r="S113" s="206">
        <v>2.2750000000000004</v>
      </c>
    </row>
    <row r="114" spans="1:19" ht="15">
      <c r="A114" s="116"/>
      <c r="B114" s="238">
        <v>1997</v>
      </c>
      <c r="C114" s="239">
        <v>18.2</v>
      </c>
      <c r="D114" s="223"/>
      <c r="E114" s="224"/>
      <c r="F114" s="218"/>
      <c r="G114" s="239"/>
      <c r="H114" s="239"/>
      <c r="I114" s="239"/>
      <c r="J114" s="239">
        <v>18</v>
      </c>
      <c r="K114" s="239"/>
      <c r="L114" s="239"/>
      <c r="M114" s="239"/>
      <c r="N114" s="239"/>
      <c r="O114" s="239"/>
      <c r="P114" s="240">
        <f t="shared" si="6"/>
        <v>0.19999999999999929</v>
      </c>
      <c r="R114" s="44">
        <v>13.649999999999999</v>
      </c>
      <c r="S114" s="206">
        <v>4.5500000000000007</v>
      </c>
    </row>
    <row r="115" spans="1:19" ht="15">
      <c r="A115" s="116"/>
      <c r="B115" s="238">
        <v>1998</v>
      </c>
      <c r="C115" s="239">
        <v>67.899999999999991</v>
      </c>
      <c r="D115" s="223"/>
      <c r="E115" s="224"/>
      <c r="F115" s="218"/>
      <c r="G115" s="239"/>
      <c r="H115" s="239"/>
      <c r="I115" s="239"/>
      <c r="J115" s="239">
        <v>68</v>
      </c>
      <c r="K115" s="239"/>
      <c r="L115" s="239"/>
      <c r="M115" s="239"/>
      <c r="N115" s="239"/>
      <c r="O115" s="239"/>
      <c r="P115" s="240">
        <f t="shared" si="6"/>
        <v>-0.10000000000000853</v>
      </c>
      <c r="R115" s="44">
        <v>50.924999999999997</v>
      </c>
      <c r="S115" s="206">
        <v>16.974999999999994</v>
      </c>
    </row>
    <row r="116" spans="1:19" ht="15">
      <c r="A116" s="116"/>
      <c r="B116" s="238">
        <v>1999</v>
      </c>
      <c r="C116" s="239">
        <v>72.8</v>
      </c>
      <c r="D116" s="223"/>
      <c r="E116" s="224"/>
      <c r="F116" s="218"/>
      <c r="G116" s="239"/>
      <c r="H116" s="239"/>
      <c r="I116" s="239"/>
      <c r="J116" s="239">
        <v>73</v>
      </c>
      <c r="K116" s="239"/>
      <c r="L116" s="239"/>
      <c r="M116" s="239"/>
      <c r="N116" s="239"/>
      <c r="O116" s="239"/>
      <c r="P116" s="240">
        <f t="shared" si="6"/>
        <v>-0.20000000000000284</v>
      </c>
      <c r="R116" s="44">
        <v>54.599999999999994</v>
      </c>
      <c r="S116" s="206">
        <v>18.200000000000003</v>
      </c>
    </row>
    <row r="117" spans="1:19" ht="15">
      <c r="A117" s="116"/>
      <c r="B117" s="238">
        <v>2000</v>
      </c>
      <c r="C117" s="241">
        <v>115.49999999999999</v>
      </c>
      <c r="D117" s="223"/>
      <c r="E117" s="224"/>
      <c r="F117" s="218"/>
      <c r="G117" s="241"/>
      <c r="H117" s="241"/>
      <c r="I117" s="241"/>
      <c r="J117" s="241">
        <v>116</v>
      </c>
      <c r="K117" s="241"/>
      <c r="L117" s="241"/>
      <c r="M117" s="241"/>
      <c r="N117" s="241"/>
      <c r="O117" s="241"/>
      <c r="P117" s="242">
        <f t="shared" si="6"/>
        <v>-0.50000000000001421</v>
      </c>
      <c r="R117" s="44">
        <v>86.624999999999986</v>
      </c>
      <c r="S117" s="206">
        <v>28.875</v>
      </c>
    </row>
    <row r="118" spans="1:19" ht="15">
      <c r="A118" s="116"/>
      <c r="B118" s="238">
        <v>2001</v>
      </c>
      <c r="C118" s="241">
        <v>243.6</v>
      </c>
      <c r="D118" s="223"/>
      <c r="E118" s="224"/>
      <c r="F118" s="218"/>
      <c r="G118" s="241"/>
      <c r="H118" s="241"/>
      <c r="I118" s="241"/>
      <c r="J118" s="241">
        <f>-89+244</f>
        <v>155</v>
      </c>
      <c r="K118" s="241"/>
      <c r="L118" s="241"/>
      <c r="M118" s="241"/>
      <c r="N118" s="241"/>
      <c r="O118" s="241"/>
      <c r="P118" s="242">
        <f t="shared" si="6"/>
        <v>88.6</v>
      </c>
      <c r="R118" s="44">
        <v>182.7</v>
      </c>
      <c r="S118" s="206">
        <v>60.900000000000006</v>
      </c>
    </row>
    <row r="119" spans="1:19" ht="15">
      <c r="A119" s="116"/>
      <c r="B119" s="238">
        <v>2002</v>
      </c>
      <c r="C119" s="241">
        <v>195.29999999999998</v>
      </c>
      <c r="D119" s="223"/>
      <c r="E119" s="224"/>
      <c r="F119" s="218"/>
      <c r="G119" s="241"/>
      <c r="H119" s="241"/>
      <c r="I119" s="241"/>
      <c r="J119" s="241"/>
      <c r="K119" s="241"/>
      <c r="L119" s="241"/>
      <c r="M119" s="241"/>
      <c r="N119" s="241"/>
      <c r="O119" s="241"/>
      <c r="P119" s="242">
        <f t="shared" si="6"/>
        <v>195.29999999999998</v>
      </c>
      <c r="R119" s="44">
        <v>146.47499999999999</v>
      </c>
      <c r="S119" s="206">
        <v>48.824999999999989</v>
      </c>
    </row>
    <row r="120" spans="1:19" ht="15">
      <c r="A120" s="116"/>
      <c r="B120" s="238">
        <v>2003</v>
      </c>
      <c r="C120" s="241">
        <v>406</v>
      </c>
      <c r="D120" s="223"/>
      <c r="E120" s="224"/>
      <c r="F120" s="218"/>
      <c r="G120" s="241"/>
      <c r="H120" s="241"/>
      <c r="I120" s="241"/>
      <c r="J120" s="241"/>
      <c r="K120" s="241"/>
      <c r="L120" s="241"/>
      <c r="M120" s="241"/>
      <c r="N120" s="241"/>
      <c r="O120" s="241"/>
      <c r="P120" s="242">
        <f t="shared" si="6"/>
        <v>406</v>
      </c>
      <c r="R120" s="44">
        <v>304.5</v>
      </c>
      <c r="S120" s="206">
        <v>101.5</v>
      </c>
    </row>
    <row r="121" spans="1:19" ht="15">
      <c r="A121" s="116"/>
      <c r="B121" s="238">
        <v>2004</v>
      </c>
      <c r="C121" s="241">
        <v>680</v>
      </c>
      <c r="D121" s="223"/>
      <c r="E121" s="224"/>
      <c r="F121" s="218"/>
      <c r="G121" s="241"/>
      <c r="H121" s="241"/>
      <c r="I121" s="241"/>
      <c r="J121" s="241"/>
      <c r="K121" s="241"/>
      <c r="L121" s="241"/>
      <c r="M121" s="241"/>
      <c r="N121" s="241"/>
      <c r="O121" s="241"/>
      <c r="P121" s="242">
        <f t="shared" si="6"/>
        <v>680</v>
      </c>
      <c r="R121" s="44">
        <v>510</v>
      </c>
      <c r="S121" s="206">
        <v>170</v>
      </c>
    </row>
    <row r="122" spans="1:19" ht="15">
      <c r="A122" s="116"/>
      <c r="B122" s="238">
        <v>2005</v>
      </c>
      <c r="C122" s="241">
        <v>687</v>
      </c>
      <c r="D122" s="223"/>
      <c r="E122" s="224"/>
      <c r="F122" s="218"/>
      <c r="G122" s="241"/>
      <c r="H122" s="241"/>
      <c r="I122" s="241"/>
      <c r="J122" s="241"/>
      <c r="K122" s="241"/>
      <c r="L122" s="241"/>
      <c r="M122" s="241"/>
      <c r="N122" s="241"/>
      <c r="O122" s="241"/>
      <c r="P122" s="242">
        <f t="shared" si="6"/>
        <v>687</v>
      </c>
      <c r="R122" s="44">
        <v>515.25</v>
      </c>
      <c r="S122" s="206">
        <v>171.75</v>
      </c>
    </row>
    <row r="123" spans="1:19" ht="15">
      <c r="A123" s="116"/>
      <c r="B123" s="238">
        <v>2006</v>
      </c>
      <c r="C123" s="241">
        <v>1041</v>
      </c>
      <c r="D123" s="223"/>
      <c r="E123" s="224"/>
      <c r="F123" s="218"/>
      <c r="G123" s="241"/>
      <c r="H123" s="241"/>
      <c r="I123" s="241"/>
      <c r="J123" s="241"/>
      <c r="K123" s="241"/>
      <c r="L123" s="241"/>
      <c r="M123" s="241"/>
      <c r="N123" s="241"/>
      <c r="O123" s="241"/>
      <c r="P123" s="242">
        <f t="shared" si="6"/>
        <v>1041</v>
      </c>
      <c r="R123" s="44">
        <v>780.75</v>
      </c>
      <c r="S123" s="206">
        <v>260.25</v>
      </c>
    </row>
    <row r="124" spans="1:19" ht="15">
      <c r="A124" s="116"/>
      <c r="B124" s="238">
        <v>2007</v>
      </c>
      <c r="C124" s="241">
        <v>0</v>
      </c>
      <c r="D124" s="223"/>
      <c r="E124" s="224"/>
      <c r="F124" s="218"/>
      <c r="G124" s="241"/>
      <c r="H124" s="241"/>
      <c r="I124" s="241"/>
      <c r="J124" s="241"/>
      <c r="K124" s="241"/>
      <c r="L124" s="241"/>
      <c r="M124" s="241"/>
      <c r="N124" s="241"/>
      <c r="O124" s="241"/>
      <c r="P124" s="242">
        <f t="shared" si="6"/>
        <v>0</v>
      </c>
      <c r="R124" s="44">
        <v>0</v>
      </c>
      <c r="S124" s="206">
        <v>0</v>
      </c>
    </row>
    <row r="125" spans="1:19" ht="15">
      <c r="A125" s="116"/>
      <c r="B125" s="238">
        <v>2008</v>
      </c>
      <c r="C125" s="241">
        <v>674</v>
      </c>
      <c r="D125" s="223"/>
      <c r="E125" s="224"/>
      <c r="F125" s="218"/>
      <c r="G125" s="241"/>
      <c r="H125" s="241">
        <f>34+983</f>
        <v>1017</v>
      </c>
      <c r="I125" s="241"/>
      <c r="J125" s="241"/>
      <c r="K125" s="241"/>
      <c r="L125" s="241"/>
      <c r="M125" s="241"/>
      <c r="N125" s="241"/>
      <c r="O125" s="241"/>
      <c r="P125" s="242">
        <f t="shared" si="6"/>
        <v>1691</v>
      </c>
      <c r="R125" s="44">
        <v>505.5</v>
      </c>
      <c r="S125" s="206">
        <v>168.5</v>
      </c>
    </row>
    <row r="126" spans="1:19">
      <c r="A126" s="116"/>
      <c r="B126" s="238">
        <v>2009</v>
      </c>
      <c r="C126" s="241">
        <v>0</v>
      </c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2">
        <f t="shared" si="6"/>
        <v>0</v>
      </c>
      <c r="Q126" s="145"/>
      <c r="R126" s="44">
        <v>0</v>
      </c>
      <c r="S126" s="206">
        <v>0</v>
      </c>
    </row>
    <row r="127" spans="1:19">
      <c r="A127" s="116"/>
      <c r="B127" s="238">
        <v>2010</v>
      </c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2">
        <f t="shared" si="6"/>
        <v>0</v>
      </c>
      <c r="Q127" s="145"/>
      <c r="R127" s="44">
        <v>3158.85</v>
      </c>
      <c r="S127" s="44">
        <v>1052.95</v>
      </c>
    </row>
    <row r="128" spans="1:19">
      <c r="A128" s="243"/>
      <c r="B128" s="238">
        <v>2011</v>
      </c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2">
        <f t="shared" si="6"/>
        <v>0</v>
      </c>
      <c r="Q128" s="145"/>
      <c r="R128" s="44"/>
      <c r="S128" s="206"/>
    </row>
    <row r="129" spans="1:19">
      <c r="A129" s="116"/>
      <c r="B129" s="244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6"/>
      <c r="Q129" s="145"/>
      <c r="R129" s="44"/>
      <c r="S129" s="206"/>
    </row>
    <row r="130" spans="1:19" ht="15.75" thickBot="1">
      <c r="A130" s="129"/>
      <c r="B130" s="130" t="s">
        <v>356</v>
      </c>
      <c r="C130" s="216">
        <v>4211.8</v>
      </c>
      <c r="D130" s="216">
        <f>SUM(D112:D123)</f>
        <v>0</v>
      </c>
      <c r="E130" s="216">
        <f>SUM(E112:E123)</f>
        <v>0</v>
      </c>
      <c r="F130" s="216">
        <f>SUM(F112:F123)</f>
        <v>0</v>
      </c>
      <c r="G130" s="216">
        <f>SUM(G112:G123)</f>
        <v>0</v>
      </c>
      <c r="H130" s="216">
        <f>SUM(H112:H129)</f>
        <v>1017</v>
      </c>
      <c r="I130" s="216">
        <f>SUM(I112:I129)</f>
        <v>0</v>
      </c>
      <c r="J130" s="216">
        <f>SUM(J111:J123)</f>
        <v>440</v>
      </c>
      <c r="K130" s="216">
        <f>SUM(K112:K123)</f>
        <v>0</v>
      </c>
      <c r="L130" s="216">
        <f>SUM(L112:L123)</f>
        <v>0</v>
      </c>
      <c r="M130" s="216">
        <f>SUM(M116:M123)</f>
        <v>0</v>
      </c>
      <c r="N130" s="216"/>
      <c r="O130" s="216">
        <f>SUM(O112:O123)</f>
        <v>0</v>
      </c>
      <c r="P130" s="225">
        <f>SUM(P112:P129)</f>
        <v>4788.8</v>
      </c>
    </row>
    <row r="131" spans="1:19" ht="16.5" thickTop="1" thickBot="1">
      <c r="A131" s="147"/>
      <c r="B131" s="148" t="s">
        <v>399</v>
      </c>
      <c r="C131" s="247">
        <f>C130+C108+C98+C88+C79+C70+C53+C35+C24+C14</f>
        <v>11248.8</v>
      </c>
      <c r="D131" s="247">
        <f t="shared" ref="D131:M131" si="7">+D14+D24+D35+D53+D70+D79+D88+D98+D108+D130</f>
        <v>0</v>
      </c>
      <c r="E131" s="247">
        <f t="shared" si="7"/>
        <v>0</v>
      </c>
      <c r="F131" s="247">
        <f t="shared" si="7"/>
        <v>0</v>
      </c>
      <c r="G131" s="247">
        <f t="shared" si="7"/>
        <v>3064</v>
      </c>
      <c r="H131" s="247">
        <f t="shared" si="7"/>
        <v>6611</v>
      </c>
      <c r="I131" s="247">
        <f t="shared" si="7"/>
        <v>6611</v>
      </c>
      <c r="J131" s="247">
        <f t="shared" si="7"/>
        <v>2200</v>
      </c>
      <c r="K131" s="247">
        <f t="shared" si="7"/>
        <v>0</v>
      </c>
      <c r="L131" s="247">
        <f t="shared" si="7"/>
        <v>0</v>
      </c>
      <c r="M131" s="247">
        <f t="shared" si="7"/>
        <v>0</v>
      </c>
      <c r="N131" s="247"/>
      <c r="O131" s="247">
        <f>+O14+O24+O35+O53+O70+O79+O88+O98+O108+O130</f>
        <v>153</v>
      </c>
      <c r="P131" s="248">
        <f>+P14+P24+P35+P53+P70+P79+P88+P98+P108+P130</f>
        <v>11959.8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1" manualBreakCount="1">
    <brk id="70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111111111111111111111160"/>
  <dimension ref="A1:S161"/>
  <sheetViews>
    <sheetView showGridLines="0" view="pageBreakPreview" topLeftCell="A3" zoomScale="60" zoomScaleNormal="70" workbookViewId="0">
      <pane xSplit="3" ySplit="3" topLeftCell="D105" activePane="bottomRight" state="frozen"/>
      <selection activeCell="P94" sqref="P94"/>
      <selection pane="topRight" activeCell="P94" sqref="P94"/>
      <selection pane="bottomLeft" activeCell="P94" sqref="P94"/>
      <selection pane="bottomRight" activeCell="B112" sqref="B112:B126"/>
    </sheetView>
  </sheetViews>
  <sheetFormatPr baseColWidth="10" defaultRowHeight="12.75"/>
  <cols>
    <col min="1" max="1" width="14.85546875" style="6" customWidth="1"/>
    <col min="2" max="2" width="19.140625" style="6" customWidth="1"/>
    <col min="3" max="3" width="13.140625" style="6" customWidth="1"/>
    <col min="4" max="4" width="10.140625" style="6" customWidth="1"/>
    <col min="5" max="5" width="11.7109375" style="6" customWidth="1"/>
    <col min="6" max="6" width="10.28515625" style="6" customWidth="1"/>
    <col min="7" max="7" width="12" style="6" customWidth="1"/>
    <col min="8" max="8" width="11.85546875" style="6" customWidth="1"/>
    <col min="9" max="9" width="12.42578125" style="6" customWidth="1"/>
    <col min="10" max="10" width="12.710937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3" style="6" bestFit="1" customWidth="1"/>
    <col min="17" max="17" width="11.42578125" style="6" customWidth="1"/>
    <col min="18" max="19" width="11.5703125" style="6" bestFit="1" customWidth="1"/>
    <col min="20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409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23">
        <v>2010</v>
      </c>
      <c r="C9" s="160">
        <v>109</v>
      </c>
      <c r="D9" s="160"/>
      <c r="E9" s="160"/>
      <c r="F9" s="160"/>
      <c r="G9" s="160"/>
      <c r="H9" s="160"/>
      <c r="I9" s="160">
        <v>109</v>
      </c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23">
        <v>2011</v>
      </c>
      <c r="C10" s="160">
        <v>1455</v>
      </c>
      <c r="D10" s="160"/>
      <c r="E10" s="160"/>
      <c r="F10" s="160"/>
      <c r="G10" s="160"/>
      <c r="H10" s="160"/>
      <c r="I10" s="160">
        <v>1356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99</v>
      </c>
    </row>
    <row r="11" spans="1:19">
      <c r="A11" s="116"/>
      <c r="B11" s="123">
        <v>2012</v>
      </c>
      <c r="C11" s="160">
        <v>0</v>
      </c>
      <c r="D11" s="160"/>
      <c r="E11" s="160"/>
      <c r="F11" s="160"/>
      <c r="G11" s="160">
        <v>1858</v>
      </c>
      <c r="H11" s="160"/>
      <c r="I11" s="160"/>
      <c r="J11" s="160"/>
      <c r="K11" s="160"/>
      <c r="L11" s="160"/>
      <c r="M11" s="160"/>
      <c r="N11" s="160"/>
      <c r="O11" s="160">
        <v>93</v>
      </c>
      <c r="P11" s="161">
        <f>+C11+D11-E11+F11+G11+H11-I11-J11-K11-L11-O11+M11-N11</f>
        <v>1765</v>
      </c>
    </row>
    <row r="12" spans="1:19">
      <c r="A12" s="116"/>
      <c r="B12" s="123">
        <v>2013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>+C12+D12-E12+F12+G12+H12-I12-J12-K12-L12-O12+M12-N12</f>
        <v>0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249">
        <f>SUM(C9:C13)</f>
        <v>1564</v>
      </c>
      <c r="D14" s="249">
        <f t="shared" ref="D14:J14" si="0">SUM(D9:D10)</f>
        <v>0</v>
      </c>
      <c r="E14" s="249">
        <f t="shared" si="0"/>
        <v>0</v>
      </c>
      <c r="F14" s="249">
        <f t="shared" si="0"/>
        <v>0</v>
      </c>
      <c r="G14" s="249">
        <f>SUM(G9:G13)</f>
        <v>1858</v>
      </c>
      <c r="H14" s="249">
        <f t="shared" si="0"/>
        <v>0</v>
      </c>
      <c r="I14" s="249">
        <f>SUM(I9:I13)</f>
        <v>1465</v>
      </c>
      <c r="J14" s="249">
        <f t="shared" si="0"/>
        <v>0</v>
      </c>
      <c r="K14" s="249">
        <f>SUM(K10)</f>
        <v>0</v>
      </c>
      <c r="L14" s="249">
        <f>SUM(L9:L10)</f>
        <v>0</v>
      </c>
      <c r="M14" s="249">
        <f>SUM(M10)</f>
        <v>0</v>
      </c>
      <c r="N14" s="249"/>
      <c r="O14" s="249">
        <f>SUM(O11:O13)</f>
        <v>93</v>
      </c>
      <c r="P14" s="250">
        <f>SUM(P9:P13)</f>
        <v>1864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  <c r="R16" s="6">
        <f>3716*0.5</f>
        <v>1858</v>
      </c>
    </row>
    <row r="17" spans="1:18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  <c r="R17" s="6">
        <f>186*0.5</f>
        <v>93</v>
      </c>
    </row>
    <row r="18" spans="1:18">
      <c r="A18" s="116"/>
      <c r="B18" s="123">
        <v>2010</v>
      </c>
      <c r="C18" s="160">
        <v>347</v>
      </c>
      <c r="D18" s="160"/>
      <c r="E18" s="160"/>
      <c r="F18" s="160"/>
      <c r="G18" s="160"/>
      <c r="H18" s="160"/>
      <c r="I18" s="160">
        <v>347</v>
      </c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8">
      <c r="A19" s="116"/>
      <c r="B19" s="123">
        <v>2011</v>
      </c>
      <c r="C19" s="160"/>
      <c r="D19" s="160"/>
      <c r="E19" s="160"/>
      <c r="F19" s="160"/>
      <c r="G19" s="160"/>
      <c r="H19" s="160">
        <v>156</v>
      </c>
      <c r="I19" s="160"/>
      <c r="J19" s="160"/>
      <c r="K19" s="160"/>
      <c r="L19" s="160"/>
      <c r="M19" s="160"/>
      <c r="N19" s="160"/>
      <c r="O19" s="160"/>
      <c r="P19" s="161">
        <f>+C19+D19-E19+F19+G19+H19-I19-J19-K19-L19-O19+M19-N19</f>
        <v>156</v>
      </c>
    </row>
    <row r="20" spans="1:18">
      <c r="A20" s="116"/>
      <c r="B20" s="123">
        <v>2012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>
        <f>+C20+D20-E20+F20+G20+H20-I20-J20-K20-L20-O20+M20-N20</f>
        <v>0</v>
      </c>
    </row>
    <row r="21" spans="1:18">
      <c r="A21" s="116"/>
      <c r="B21" s="123">
        <v>2013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0</v>
      </c>
    </row>
    <row r="22" spans="1:18">
      <c r="A22" s="116"/>
      <c r="B22" s="123">
        <v>2014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8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8" ht="15">
      <c r="A24" s="129"/>
      <c r="B24" s="117" t="s">
        <v>356</v>
      </c>
      <c r="C24" s="251">
        <f>SUM(C18:C23)</f>
        <v>347</v>
      </c>
      <c r="D24" s="249">
        <f>SUM(D18:D19)</f>
        <v>0</v>
      </c>
      <c r="E24" s="249">
        <f>SUM(E20)</f>
        <v>0</v>
      </c>
      <c r="F24" s="249"/>
      <c r="G24" s="249">
        <f>SUM(G19:G21)</f>
        <v>0</v>
      </c>
      <c r="H24" s="249">
        <f>SUM(H19:H23)</f>
        <v>156</v>
      </c>
      <c r="I24" s="249">
        <f>SUM(I18:I23)</f>
        <v>347</v>
      </c>
      <c r="J24" s="249">
        <f>SUM(J18:J19)</f>
        <v>0</v>
      </c>
      <c r="K24" s="249"/>
      <c r="L24" s="249">
        <f>SUM(L18:L19)</f>
        <v>0</v>
      </c>
      <c r="M24" s="249">
        <f>SUM(M19)</f>
        <v>0</v>
      </c>
      <c r="N24" s="249"/>
      <c r="O24" s="249">
        <f>SUM(O18:O19)</f>
        <v>0</v>
      </c>
      <c r="P24" s="250">
        <f>SUM(P18:P23)</f>
        <v>156</v>
      </c>
    </row>
    <row r="25" spans="1:18" ht="15">
      <c r="A25" s="116"/>
      <c r="B25" s="167" t="s">
        <v>83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3"/>
    </row>
    <row r="26" spans="1:18" ht="15">
      <c r="A26" s="116"/>
      <c r="B26" s="170" t="s">
        <v>360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4"/>
    </row>
    <row r="27" spans="1:18" ht="15">
      <c r="A27" s="116" t="s">
        <v>361</v>
      </c>
      <c r="B27" s="170" t="s">
        <v>353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4"/>
    </row>
    <row r="28" spans="1:18" ht="15">
      <c r="A28" s="116"/>
      <c r="B28" s="123">
        <v>2010</v>
      </c>
      <c r="C28" s="251">
        <v>501</v>
      </c>
      <c r="D28" s="251"/>
      <c r="E28" s="251"/>
      <c r="F28" s="251"/>
      <c r="G28" s="251"/>
      <c r="H28" s="251">
        <f>347+1200+109</f>
        <v>1656</v>
      </c>
      <c r="I28" s="251">
        <v>501</v>
      </c>
      <c r="J28" s="251">
        <v>1000</v>
      </c>
      <c r="K28" s="251"/>
      <c r="L28" s="251"/>
      <c r="M28" s="251"/>
      <c r="N28" s="251"/>
      <c r="O28" s="251"/>
      <c r="P28" s="254">
        <f>+C28+D28-E28+F28+G28+H28-I28-J28-K28-L28-O28+M28-N28</f>
        <v>656</v>
      </c>
    </row>
    <row r="29" spans="1:18" ht="15">
      <c r="A29" s="116"/>
      <c r="B29" s="123">
        <v>2011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4">
        <f>+C29+D29-E29+F29+G29+H29-I29-J29-K29-L29-O29+M29-N29</f>
        <v>0</v>
      </c>
      <c r="Q29" s="56"/>
    </row>
    <row r="30" spans="1:18" ht="15">
      <c r="A30" s="116"/>
      <c r="B30" s="123">
        <v>2012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4">
        <f>+C30+D30-E30+F30+G30+H30-I30-J30-K30-L30-O30+M30-N30</f>
        <v>0</v>
      </c>
      <c r="Q30" s="56"/>
    </row>
    <row r="31" spans="1:18" ht="15">
      <c r="A31" s="116"/>
      <c r="B31" s="123">
        <v>2013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4">
        <f>+C31+D31-E31+F31+G31+H31-I31-J31-K31-L31-O31+M31-N31</f>
        <v>0</v>
      </c>
      <c r="Q31" s="56"/>
    </row>
    <row r="32" spans="1:18" ht="15">
      <c r="A32" s="116"/>
      <c r="B32" s="123">
        <v>2014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4">
        <f>+C32+D32-E32+F32+G32+H32-I32-J32-K32-L32-O32+M32-N32</f>
        <v>0</v>
      </c>
      <c r="Q32" s="56"/>
    </row>
    <row r="33" spans="1:17" ht="15">
      <c r="A33" s="116"/>
      <c r="B33" s="172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4"/>
      <c r="Q33" s="56"/>
    </row>
    <row r="34" spans="1:17" ht="15">
      <c r="A34" s="116"/>
      <c r="B34" s="124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55"/>
      <c r="Q34" s="56"/>
    </row>
    <row r="35" spans="1:17" ht="15">
      <c r="A35" s="129"/>
      <c r="B35" s="117" t="s">
        <v>356</v>
      </c>
      <c r="C35" s="249">
        <f>SUM(C28:C34)</f>
        <v>501</v>
      </c>
      <c r="D35" s="249">
        <f>SUM(D28:D29)</f>
        <v>0</v>
      </c>
      <c r="E35" s="249">
        <f>SUM(E28:E29)</f>
        <v>0</v>
      </c>
      <c r="F35" s="249">
        <f>SUM(F29:F29)</f>
        <v>0</v>
      </c>
      <c r="G35" s="249">
        <f>SUM(G29:G29)</f>
        <v>0</v>
      </c>
      <c r="H35" s="249">
        <f>SUM(H28:H34)</f>
        <v>1656</v>
      </c>
      <c r="I35" s="249">
        <f>SUM(I28:I34)</f>
        <v>501</v>
      </c>
      <c r="J35" s="249">
        <f>SUM(J28:J34)</f>
        <v>1000</v>
      </c>
      <c r="K35" s="249"/>
      <c r="L35" s="249">
        <f>SUM(L28:L29)</f>
        <v>0</v>
      </c>
      <c r="M35" s="249"/>
      <c r="N35" s="249"/>
      <c r="O35" s="249">
        <f>SUM(O28:O29)</f>
        <v>0</v>
      </c>
      <c r="P35" s="250">
        <f>SUM(P28:P34)</f>
        <v>656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23">
        <v>2009</v>
      </c>
      <c r="C39" s="160">
        <v>515</v>
      </c>
      <c r="D39" s="176"/>
      <c r="E39" s="176"/>
      <c r="F39" s="176"/>
      <c r="G39" s="176"/>
      <c r="H39" s="176"/>
      <c r="I39" s="176">
        <v>15</v>
      </c>
      <c r="J39" s="176">
        <v>299</v>
      </c>
      <c r="K39" s="176"/>
      <c r="L39" s="176"/>
      <c r="M39" s="176"/>
      <c r="N39" s="176"/>
      <c r="O39" s="176"/>
      <c r="P39" s="177">
        <f t="shared" ref="P39:P50" si="1">+C39+D39-E39+F39+G39+H39-I39-J39-K39-L39-O39+M39-N39</f>
        <v>201</v>
      </c>
    </row>
    <row r="40" spans="1:17">
      <c r="A40" s="116"/>
      <c r="B40" s="123">
        <v>2010</v>
      </c>
      <c r="C40" s="160">
        <v>0</v>
      </c>
      <c r="D40" s="160"/>
      <c r="E40" s="160"/>
      <c r="F40" s="160"/>
      <c r="G40" s="160"/>
      <c r="H40" s="160">
        <v>501</v>
      </c>
      <c r="I40" s="160"/>
      <c r="J40" s="160">
        <v>501</v>
      </c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123">
        <v>2011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123">
        <v>2012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1"/>
        <v>0</v>
      </c>
      <c r="Q42" s="56"/>
    </row>
    <row r="43" spans="1:17">
      <c r="A43" s="116"/>
      <c r="B43" s="123">
        <v>2013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>
        <f t="shared" si="1"/>
        <v>0</v>
      </c>
      <c r="Q43" s="56"/>
    </row>
    <row r="44" spans="1:17">
      <c r="A44" s="116"/>
      <c r="B44" s="123">
        <v>2014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123">
        <v>2015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123">
        <v>2016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123">
        <v>2017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1"/>
        <v>0</v>
      </c>
    </row>
    <row r="48" spans="1:17">
      <c r="A48" s="116"/>
      <c r="B48" s="123">
        <v>2018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1"/>
        <v>0</v>
      </c>
    </row>
    <row r="49" spans="1:17">
      <c r="A49" s="116"/>
      <c r="B49" s="123">
        <v>2019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1"/>
        <v>0</v>
      </c>
    </row>
    <row r="50" spans="1:17">
      <c r="A50" s="116"/>
      <c r="B50" s="123">
        <v>2020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249">
        <f>SUM(C39:C52)</f>
        <v>515</v>
      </c>
      <c r="D53" s="249">
        <f>SUM(D39:D46)</f>
        <v>0</v>
      </c>
      <c r="E53" s="249">
        <f>SUM(E39:E46)</f>
        <v>0</v>
      </c>
      <c r="F53" s="249">
        <f>SUM(F39:F46)</f>
        <v>0</v>
      </c>
      <c r="G53" s="249">
        <f>SUM(G39:G46)</f>
        <v>0</v>
      </c>
      <c r="H53" s="249">
        <f>SUM(H39:H52)</f>
        <v>501</v>
      </c>
      <c r="I53" s="249">
        <f>SUM(I39:I52)</f>
        <v>15</v>
      </c>
      <c r="J53" s="249">
        <f>SUM(J39:J50)</f>
        <v>800</v>
      </c>
      <c r="K53" s="249">
        <f>SUM(K43:K46)</f>
        <v>0</v>
      </c>
      <c r="L53" s="249">
        <f>SUM(L45:L46)</f>
        <v>0</v>
      </c>
      <c r="M53" s="249"/>
      <c r="N53" s="249"/>
      <c r="O53" s="249">
        <f>SUM(O39:O46)</f>
        <v>0</v>
      </c>
      <c r="P53" s="250">
        <f>SUM(P39:P52)</f>
        <v>201</v>
      </c>
    </row>
    <row r="54" spans="1:17" ht="15">
      <c r="A54" s="116"/>
      <c r="B54" s="117" t="s">
        <v>416</v>
      </c>
      <c r="C54" s="251"/>
      <c r="D54" s="256"/>
      <c r="E54" s="257"/>
      <c r="F54" s="251"/>
      <c r="G54" s="251"/>
      <c r="H54" s="256"/>
      <c r="I54" s="257"/>
      <c r="J54" s="251"/>
      <c r="K54" s="251"/>
      <c r="L54" s="251"/>
      <c r="M54" s="251"/>
      <c r="N54" s="251"/>
      <c r="O54" s="251"/>
      <c r="P54" s="258"/>
    </row>
    <row r="55" spans="1:17" ht="15">
      <c r="A55" s="116"/>
      <c r="B55" s="117" t="s">
        <v>417</v>
      </c>
      <c r="C55" s="251"/>
      <c r="D55" s="256"/>
      <c r="E55" s="257"/>
      <c r="F55" s="251"/>
      <c r="G55" s="251"/>
      <c r="H55" s="256"/>
      <c r="I55" s="257"/>
      <c r="J55" s="251"/>
      <c r="K55" s="251"/>
      <c r="L55" s="251"/>
      <c r="M55" s="251"/>
      <c r="N55" s="251"/>
      <c r="O55" s="251"/>
      <c r="P55" s="258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82">
        <v>1998</v>
      </c>
      <c r="C57" s="430">
        <v>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0</v>
      </c>
      <c r="Q57" s="56"/>
    </row>
    <row r="58" spans="1:17">
      <c r="A58" s="116"/>
      <c r="B58" s="131">
        <v>1999</v>
      </c>
      <c r="C58" s="431">
        <v>15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2"/>
        <v>15</v>
      </c>
      <c r="Q58" s="56"/>
    </row>
    <row r="59" spans="1:17">
      <c r="A59" s="116"/>
      <c r="B59" s="123">
        <v>2000</v>
      </c>
      <c r="C59" s="432">
        <v>8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8</v>
      </c>
      <c r="Q59" s="56"/>
    </row>
    <row r="60" spans="1:17">
      <c r="A60" s="116"/>
      <c r="B60" s="123">
        <v>2001</v>
      </c>
      <c r="C60" s="432">
        <v>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1</v>
      </c>
      <c r="Q60" s="56"/>
    </row>
    <row r="61" spans="1:17">
      <c r="A61" s="116"/>
      <c r="B61" s="123">
        <v>2003</v>
      </c>
      <c r="C61" s="432">
        <v>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5</v>
      </c>
      <c r="Q61" s="56"/>
    </row>
    <row r="62" spans="1:17">
      <c r="A62" s="116"/>
      <c r="B62" s="123">
        <v>2005</v>
      </c>
      <c r="C62" s="432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0</v>
      </c>
      <c r="Q62" s="56"/>
    </row>
    <row r="63" spans="1:17">
      <c r="A63" s="116"/>
      <c r="B63" s="123">
        <v>2006</v>
      </c>
      <c r="C63" s="432"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0</v>
      </c>
    </row>
    <row r="64" spans="1:17">
      <c r="A64" s="116"/>
      <c r="B64" s="123">
        <v>2007</v>
      </c>
      <c r="C64" s="432">
        <v>20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2"/>
        <v>20</v>
      </c>
    </row>
    <row r="65" spans="1:18">
      <c r="A65" s="116"/>
      <c r="B65" s="123">
        <v>2008</v>
      </c>
      <c r="C65" s="432">
        <v>10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2"/>
        <v>10</v>
      </c>
    </row>
    <row r="66" spans="1:18">
      <c r="A66" s="116"/>
      <c r="B66" s="123">
        <v>2009</v>
      </c>
      <c r="C66" s="432">
        <v>0</v>
      </c>
      <c r="D66" s="160"/>
      <c r="E66" s="160"/>
      <c r="F66" s="160"/>
      <c r="G66" s="160"/>
      <c r="H66" s="160">
        <v>15</v>
      </c>
      <c r="I66" s="160"/>
      <c r="J66" s="160"/>
      <c r="K66" s="160"/>
      <c r="L66" s="160"/>
      <c r="M66" s="160"/>
      <c r="N66" s="160"/>
      <c r="O66" s="160"/>
      <c r="P66" s="161">
        <f t="shared" si="2"/>
        <v>15</v>
      </c>
    </row>
    <row r="67" spans="1:18">
      <c r="A67" s="116"/>
      <c r="B67" s="123">
        <v>2010</v>
      </c>
      <c r="C67" s="432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>
        <v>2011</v>
      </c>
      <c r="C68" s="432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433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249">
        <f>SUM(C57:C69)</f>
        <v>59</v>
      </c>
      <c r="D70" s="249">
        <f t="shared" ref="D70:J70" si="3">SUM(D57:D63)</f>
        <v>0</v>
      </c>
      <c r="E70" s="249">
        <f t="shared" si="3"/>
        <v>0</v>
      </c>
      <c r="F70" s="249">
        <f t="shared" si="3"/>
        <v>0</v>
      </c>
      <c r="G70" s="249">
        <f t="shared" si="3"/>
        <v>0</v>
      </c>
      <c r="H70" s="249">
        <f>SUM(H57:H69)</f>
        <v>15</v>
      </c>
      <c r="I70" s="249">
        <f>SUM(I57:I69)</f>
        <v>0</v>
      </c>
      <c r="J70" s="249">
        <f t="shared" si="3"/>
        <v>0</v>
      </c>
      <c r="K70" s="249"/>
      <c r="L70" s="249">
        <f>SUM(L57:L63)</f>
        <v>0</v>
      </c>
      <c r="M70" s="249"/>
      <c r="N70" s="249"/>
      <c r="O70" s="249">
        <f>SUM(O57:O63)</f>
        <v>0</v>
      </c>
      <c r="P70" s="250">
        <f>SUM(P57:P69)</f>
        <v>74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272">
        <v>2011</v>
      </c>
      <c r="C74" s="259">
        <v>1456</v>
      </c>
      <c r="D74" s="259"/>
      <c r="E74" s="259"/>
      <c r="F74" s="259"/>
      <c r="G74" s="259"/>
      <c r="H74" s="259"/>
      <c r="I74" s="259">
        <v>1356</v>
      </c>
      <c r="J74" s="259"/>
      <c r="K74" s="259"/>
      <c r="L74" s="259"/>
      <c r="M74" s="259"/>
      <c r="N74" s="259"/>
      <c r="O74" s="259"/>
      <c r="P74" s="260">
        <f>+C74+D74-E74+F74+G74+H74-I74-J74-K74-L74-O74+M74-N74</f>
        <v>100</v>
      </c>
      <c r="Q74" s="56"/>
    </row>
    <row r="75" spans="1:18">
      <c r="A75" s="116"/>
      <c r="B75" s="272">
        <v>2012</v>
      </c>
      <c r="C75" s="259"/>
      <c r="D75" s="259"/>
      <c r="E75" s="259"/>
      <c r="F75" s="259"/>
      <c r="G75" s="259">
        <v>1858</v>
      </c>
      <c r="H75" s="259"/>
      <c r="I75" s="259"/>
      <c r="J75" s="259"/>
      <c r="K75" s="259"/>
      <c r="L75" s="259"/>
      <c r="M75" s="259"/>
      <c r="N75" s="259"/>
      <c r="O75" s="259">
        <v>93</v>
      </c>
      <c r="P75" s="260">
        <f>+C75+D75-E75+F75+G75+H75-I75-J75-K75-L75-O75+M75-N75</f>
        <v>1765</v>
      </c>
    </row>
    <row r="76" spans="1:18">
      <c r="A76" s="116"/>
      <c r="B76" s="272">
        <v>2013</v>
      </c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60">
        <f>+C76+D76-E76+F76+G76+H76-I76-J76-K76-L76-O76+M76-N76</f>
        <v>0</v>
      </c>
    </row>
    <row r="77" spans="1:18">
      <c r="A77" s="116"/>
      <c r="B77" s="272">
        <v>2014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60">
        <f>+C77+D77-E77+F77+G77+H77-I77-J77-K77-L77-O77+M77-N77</f>
        <v>0</v>
      </c>
      <c r="R77" s="206">
        <f>I74-H94</f>
        <v>420</v>
      </c>
    </row>
    <row r="78" spans="1:18">
      <c r="A78" s="116"/>
      <c r="B78" s="261">
        <v>2010</v>
      </c>
      <c r="C78" s="262">
        <v>109</v>
      </c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0">
        <f>+C78+D78-E78+F78+G78+H78-I78-J78-K78-L78-O78+M78-N78</f>
        <v>109</v>
      </c>
    </row>
    <row r="79" spans="1:18" ht="15">
      <c r="A79" s="129"/>
      <c r="B79" s="117" t="s">
        <v>356</v>
      </c>
      <c r="C79" s="251">
        <f>SUM(C74:C78)</f>
        <v>1565</v>
      </c>
      <c r="D79" s="249">
        <f t="shared" ref="D79:J79" si="4">SUM(D74:D75)</f>
        <v>0</v>
      </c>
      <c r="E79" s="249">
        <f t="shared" si="4"/>
        <v>0</v>
      </c>
      <c r="F79" s="249">
        <f t="shared" si="4"/>
        <v>0</v>
      </c>
      <c r="G79" s="249">
        <f>SUM(G74:G78)</f>
        <v>1858</v>
      </c>
      <c r="H79" s="249">
        <f>SUM(H74:H78)</f>
        <v>0</v>
      </c>
      <c r="I79" s="249">
        <f>SUM(I74:I78)</f>
        <v>1356</v>
      </c>
      <c r="J79" s="249">
        <f t="shared" si="4"/>
        <v>0</v>
      </c>
      <c r="K79" s="249"/>
      <c r="L79" s="249"/>
      <c r="M79" s="249">
        <f>SUM(M74:M75)</f>
        <v>0</v>
      </c>
      <c r="N79" s="249"/>
      <c r="O79" s="249">
        <f>SUM(O74:O75)</f>
        <v>93</v>
      </c>
      <c r="P79" s="250">
        <f>SUM(P74:P78)</f>
        <v>1974</v>
      </c>
    </row>
    <row r="80" spans="1:18" ht="15">
      <c r="A80" s="116"/>
      <c r="B80" s="167" t="s">
        <v>75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3"/>
    </row>
    <row r="81" spans="1:18" ht="15">
      <c r="A81" s="116"/>
      <c r="B81" s="170" t="s">
        <v>357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4"/>
      <c r="R81" s="6">
        <f>3716*0.5</f>
        <v>1858</v>
      </c>
    </row>
    <row r="82" spans="1:18" ht="15">
      <c r="A82" s="116" t="s">
        <v>375</v>
      </c>
      <c r="B82" s="170" t="s">
        <v>353</v>
      </c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4"/>
    </row>
    <row r="83" spans="1:18" ht="15">
      <c r="A83" s="116"/>
      <c r="B83" s="272">
        <v>2010</v>
      </c>
      <c r="C83" s="251">
        <v>394</v>
      </c>
      <c r="D83" s="251"/>
      <c r="E83" s="251"/>
      <c r="F83" s="251"/>
      <c r="G83" s="251"/>
      <c r="H83" s="251"/>
      <c r="I83" s="251">
        <v>150</v>
      </c>
      <c r="J83" s="251"/>
      <c r="K83" s="251"/>
      <c r="L83" s="251"/>
      <c r="M83" s="251"/>
      <c r="N83" s="251"/>
      <c r="O83" s="251"/>
      <c r="P83" s="254">
        <f>+C83+D83-E83+F83+G83+H83-I83-J83-K83-L83-O83+M83-N83</f>
        <v>244</v>
      </c>
      <c r="Q83" s="56"/>
    </row>
    <row r="84" spans="1:18" ht="15">
      <c r="A84" s="116"/>
      <c r="B84" s="272">
        <v>2011</v>
      </c>
      <c r="C84" s="251">
        <v>0</v>
      </c>
      <c r="D84" s="251"/>
      <c r="E84" s="251"/>
      <c r="F84" s="251"/>
      <c r="G84" s="251"/>
      <c r="H84" s="251">
        <v>420</v>
      </c>
      <c r="I84" s="251"/>
      <c r="J84" s="251"/>
      <c r="K84" s="251"/>
      <c r="L84" s="251"/>
      <c r="M84" s="251"/>
      <c r="N84" s="251"/>
      <c r="O84" s="251"/>
      <c r="P84" s="254">
        <f>+C84+D84-E84+F84+G84+H84-I84-J84-K84-L84-O84+M84-N84</f>
        <v>420</v>
      </c>
      <c r="Q84" s="56"/>
    </row>
    <row r="85" spans="1:18" ht="15">
      <c r="A85" s="116"/>
      <c r="B85" s="272">
        <v>2012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4">
        <f>+C85+D85-E85+F85+G85+H85-I85-J85-K85-L85-O85+M85-N85</f>
        <v>0</v>
      </c>
      <c r="Q85" s="56"/>
    </row>
    <row r="86" spans="1:18" ht="15">
      <c r="A86" s="116"/>
      <c r="B86" s="272">
        <v>2013</v>
      </c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4">
        <f>+C86+D86-E86+F86+G86+H86-I86-J86-K86-L86-O86+M86-N86</f>
        <v>0</v>
      </c>
      <c r="Q86" s="56"/>
    </row>
    <row r="87" spans="1:18" ht="15">
      <c r="A87" s="116"/>
      <c r="B87" s="263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55">
        <f>+C87+D87-E87+F87+G87+H87-I87-J87-K87-L87-O87+M87-N87</f>
        <v>0</v>
      </c>
      <c r="Q87" s="56"/>
    </row>
    <row r="88" spans="1:18" ht="15">
      <c r="A88" s="129"/>
      <c r="B88" s="117" t="s">
        <v>356</v>
      </c>
      <c r="C88" s="251">
        <v>394</v>
      </c>
      <c r="D88" s="249">
        <f t="shared" ref="D88:J88" si="5">SUM(D83:D84)</f>
        <v>0</v>
      </c>
      <c r="E88" s="249">
        <f t="shared" si="5"/>
        <v>0</v>
      </c>
      <c r="F88" s="249">
        <f t="shared" si="5"/>
        <v>0</v>
      </c>
      <c r="G88" s="249">
        <f t="shared" si="5"/>
        <v>0</v>
      </c>
      <c r="H88" s="249">
        <f>SUM(H84:H87)</f>
        <v>420</v>
      </c>
      <c r="I88" s="249">
        <f>SUM(I83:I87)</f>
        <v>150</v>
      </c>
      <c r="J88" s="249">
        <f t="shared" si="5"/>
        <v>0</v>
      </c>
      <c r="K88" s="249"/>
      <c r="L88" s="249">
        <f>SUM(L83:L84)</f>
        <v>0</v>
      </c>
      <c r="M88" s="249"/>
      <c r="N88" s="249"/>
      <c r="O88" s="249">
        <f>SUM(O83:O84)</f>
        <v>0</v>
      </c>
      <c r="P88" s="250">
        <f>SUM(P83:P87)</f>
        <v>664</v>
      </c>
    </row>
    <row r="89" spans="1:18" ht="15">
      <c r="A89" s="116"/>
      <c r="B89" s="167" t="s">
        <v>70</v>
      </c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3"/>
    </row>
    <row r="90" spans="1:18" ht="15">
      <c r="A90" s="116"/>
      <c r="B90" s="170" t="s">
        <v>379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4"/>
    </row>
    <row r="91" spans="1:18" ht="15">
      <c r="A91" s="116" t="s">
        <v>380</v>
      </c>
      <c r="B91" s="170" t="s">
        <v>353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4"/>
    </row>
    <row r="92" spans="1:18" ht="15">
      <c r="A92" s="116"/>
      <c r="B92" s="272">
        <v>2009</v>
      </c>
      <c r="C92" s="251">
        <v>354</v>
      </c>
      <c r="D92" s="251"/>
      <c r="E92" s="251"/>
      <c r="F92" s="251"/>
      <c r="G92" s="251"/>
      <c r="H92" s="251"/>
      <c r="I92" s="251">
        <v>354</v>
      </c>
      <c r="J92" s="251"/>
      <c r="K92" s="251"/>
      <c r="L92" s="251"/>
      <c r="M92" s="251"/>
      <c r="N92" s="251"/>
      <c r="O92" s="251"/>
      <c r="P92" s="254">
        <f>+C92+D92-E92+F92+G92+H92-I92-J92-K92-L92-O92+M92-N92</f>
        <v>0</v>
      </c>
    </row>
    <row r="93" spans="1:18" ht="15">
      <c r="A93" s="116"/>
      <c r="B93" s="272">
        <v>2010</v>
      </c>
      <c r="C93" s="251">
        <v>954</v>
      </c>
      <c r="D93" s="251"/>
      <c r="E93" s="251"/>
      <c r="F93" s="251"/>
      <c r="G93" s="251"/>
      <c r="H93" s="251">
        <v>150</v>
      </c>
      <c r="I93" s="251">
        <v>954</v>
      </c>
      <c r="J93" s="251"/>
      <c r="K93" s="251"/>
      <c r="L93" s="251"/>
      <c r="M93" s="251"/>
      <c r="N93" s="251"/>
      <c r="O93" s="251"/>
      <c r="P93" s="254">
        <f>+C93+D93-E93+F93+G93+H93-I93-J93-K93-L93-O93+M93-N93</f>
        <v>150</v>
      </c>
      <c r="Q93" s="56"/>
    </row>
    <row r="94" spans="1:18" ht="15">
      <c r="A94" s="116"/>
      <c r="B94" s="272">
        <v>2011</v>
      </c>
      <c r="C94" s="251">
        <v>0</v>
      </c>
      <c r="D94" s="251"/>
      <c r="E94" s="251"/>
      <c r="F94" s="251"/>
      <c r="G94" s="251"/>
      <c r="H94" s="251">
        <v>936</v>
      </c>
      <c r="I94" s="251"/>
      <c r="J94" s="251"/>
      <c r="K94" s="251"/>
      <c r="L94" s="251"/>
      <c r="M94" s="251"/>
      <c r="N94" s="251"/>
      <c r="O94" s="251"/>
      <c r="P94" s="254">
        <f>+C94+D94-E94+F94+G94+H94-I94-J94-K94-L94-O94+M94-N94</f>
        <v>936</v>
      </c>
    </row>
    <row r="95" spans="1:18" ht="15">
      <c r="A95" s="116"/>
      <c r="B95" s="272">
        <v>2012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4">
        <f>+C95+D95-E95+F95+G95+H95-I95-J95-K95-L95-O95+M95-N95</f>
        <v>0</v>
      </c>
    </row>
    <row r="96" spans="1:18" ht="15">
      <c r="A96" s="116"/>
      <c r="B96" s="272">
        <v>2013</v>
      </c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4">
        <f>+C96+D96-E96+F96+G96+H96-I96-J96-K96-L96-O96+M96-N96</f>
        <v>0</v>
      </c>
    </row>
    <row r="97" spans="1:19" ht="15">
      <c r="A97" s="116"/>
      <c r="B97" s="264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55"/>
    </row>
    <row r="98" spans="1:19" ht="15">
      <c r="A98" s="129"/>
      <c r="B98" s="117" t="s">
        <v>356</v>
      </c>
      <c r="C98" s="249">
        <f>SUM(C92:C97)</f>
        <v>1308</v>
      </c>
      <c r="D98" s="249">
        <f>SUM(D93:D94)</f>
        <v>0</v>
      </c>
      <c r="E98" s="249">
        <f>SUM(E93:E94)</f>
        <v>0</v>
      </c>
      <c r="F98" s="249">
        <f>SUM(F93:F94)</f>
        <v>0</v>
      </c>
      <c r="G98" s="249">
        <f>SUM(G93:G94)</f>
        <v>0</v>
      </c>
      <c r="H98" s="249">
        <f>SUM(H92:H97)</f>
        <v>1086</v>
      </c>
      <c r="I98" s="249">
        <f>SUM(I92:I97)</f>
        <v>1308</v>
      </c>
      <c r="J98" s="249">
        <f>SUM(J92:J94)</f>
        <v>0</v>
      </c>
      <c r="K98" s="249"/>
      <c r="L98" s="249">
        <f>SUM(L92)</f>
        <v>0</v>
      </c>
      <c r="M98" s="249"/>
      <c r="N98" s="249"/>
      <c r="O98" s="249">
        <f>SUM(O92:O94)</f>
        <v>0</v>
      </c>
      <c r="P98" s="250">
        <f>SUM(P92:P97)</f>
        <v>1086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272">
        <v>2009</v>
      </c>
      <c r="C102" s="265">
        <v>918</v>
      </c>
      <c r="D102" s="265"/>
      <c r="E102" s="265"/>
      <c r="F102" s="265"/>
      <c r="G102" s="265"/>
      <c r="H102" s="265"/>
      <c r="I102" s="265">
        <v>918</v>
      </c>
      <c r="J102" s="265"/>
      <c r="K102" s="265"/>
      <c r="L102" s="265"/>
      <c r="M102" s="265"/>
      <c r="N102" s="265"/>
      <c r="O102" s="265"/>
      <c r="P102" s="266">
        <f>+C102+D102-E102+F102+G102+H102-I102-J102-K102-L102-O102+M102-N102</f>
        <v>0</v>
      </c>
    </row>
    <row r="103" spans="1:19">
      <c r="A103" s="116"/>
      <c r="B103" s="272">
        <v>2010</v>
      </c>
      <c r="C103" s="265"/>
      <c r="D103" s="265"/>
      <c r="E103" s="265"/>
      <c r="F103" s="265"/>
      <c r="G103" s="265"/>
      <c r="H103" s="267">
        <v>330</v>
      </c>
      <c r="I103" s="265"/>
      <c r="J103" s="265"/>
      <c r="K103" s="265"/>
      <c r="L103" s="265"/>
      <c r="M103" s="265"/>
      <c r="N103" s="265"/>
      <c r="O103" s="265"/>
      <c r="P103" s="266">
        <f>+C103+D103-E103+F103+G103+H103-I103-J103-K103-L103-O103+M103-N103</f>
        <v>330</v>
      </c>
      <c r="R103" s="6" t="s">
        <v>410</v>
      </c>
      <c r="S103" s="6">
        <v>800</v>
      </c>
    </row>
    <row r="104" spans="1:19">
      <c r="A104" s="116"/>
      <c r="B104" s="272">
        <v>2011</v>
      </c>
      <c r="C104" s="265"/>
      <c r="D104" s="265"/>
      <c r="E104" s="265"/>
      <c r="F104" s="265"/>
      <c r="G104" s="265"/>
      <c r="H104" s="265"/>
      <c r="I104" s="267"/>
      <c r="J104" s="265"/>
      <c r="K104" s="265"/>
      <c r="L104" s="265"/>
      <c r="M104" s="265"/>
      <c r="N104" s="265"/>
      <c r="O104" s="265"/>
      <c r="P104" s="266">
        <f>+C104+D104-E104+F104+G104+H104-I104-J104-K104-L104-O104+M104-N104</f>
        <v>0</v>
      </c>
      <c r="R104" s="6" t="s">
        <v>411</v>
      </c>
      <c r="S104" s="6">
        <v>1000</v>
      </c>
    </row>
    <row r="105" spans="1:19">
      <c r="A105" s="116"/>
      <c r="B105" s="272">
        <v>2012</v>
      </c>
      <c r="C105" s="265"/>
      <c r="D105" s="265"/>
      <c r="E105" s="265"/>
      <c r="F105" s="265"/>
      <c r="G105" s="265"/>
      <c r="H105" s="267"/>
      <c r="I105" s="265"/>
      <c r="J105" s="265"/>
      <c r="K105" s="265"/>
      <c r="L105" s="265"/>
      <c r="M105" s="265"/>
      <c r="N105" s="265"/>
      <c r="O105" s="265"/>
      <c r="P105" s="268">
        <f>+C105+D105-E105+F105+G105+H105-I105-J105-K105-L105-O105+M105-N105</f>
        <v>0</v>
      </c>
      <c r="R105" s="6" t="s">
        <v>412</v>
      </c>
      <c r="S105" s="6">
        <v>800</v>
      </c>
    </row>
    <row r="106" spans="1:19">
      <c r="A106" s="116"/>
      <c r="B106" s="272">
        <v>2013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8">
        <f>+C106+D106-E106+F106+G106+H106-I106-J106-K106-L106-O106+M106-N106</f>
        <v>0</v>
      </c>
      <c r="S106" s="6">
        <f>SUM(S103:S105)</f>
        <v>2600</v>
      </c>
    </row>
    <row r="107" spans="1:19">
      <c r="A107" s="116"/>
      <c r="B107" s="269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1"/>
    </row>
    <row r="108" spans="1:19" ht="15">
      <c r="A108" s="129"/>
      <c r="B108" s="117" t="s">
        <v>356</v>
      </c>
      <c r="C108" s="249">
        <v>918</v>
      </c>
      <c r="D108" s="249">
        <f>SUM(D102:D103)</f>
        <v>0</v>
      </c>
      <c r="E108" s="249">
        <f>SUM(E102:E103)</f>
        <v>0</v>
      </c>
      <c r="F108" s="249">
        <f>SUM(F102:F103)</f>
        <v>0</v>
      </c>
      <c r="G108" s="249">
        <f>SUM(G102:G103)</f>
        <v>0</v>
      </c>
      <c r="H108" s="249">
        <f>SUM(H103:H107)</f>
        <v>330</v>
      </c>
      <c r="I108" s="249">
        <f>SUM(I102:I107)</f>
        <v>918</v>
      </c>
      <c r="J108" s="249">
        <f>SUM(J104)</f>
        <v>0</v>
      </c>
      <c r="K108" s="249"/>
      <c r="L108" s="249">
        <f>SUM(L102:L103)</f>
        <v>0</v>
      </c>
      <c r="M108" s="249">
        <f>SUM(M103:M104)</f>
        <v>0</v>
      </c>
      <c r="N108" s="249"/>
      <c r="O108" s="249">
        <f>SUM(O103:O104)</f>
        <v>0</v>
      </c>
      <c r="P108" s="250">
        <f>SUM(P102:P107)</f>
        <v>330</v>
      </c>
    </row>
    <row r="109" spans="1:19" ht="15">
      <c r="A109" s="116"/>
      <c r="B109" s="155" t="s">
        <v>389</v>
      </c>
      <c r="C109" s="156"/>
      <c r="D109" s="256"/>
      <c r="E109" s="257"/>
      <c r="F109" s="251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256"/>
      <c r="E110" s="257"/>
      <c r="F110" s="251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256"/>
      <c r="E111" s="257"/>
      <c r="F111" s="251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72">
        <v>2000</v>
      </c>
      <c r="C112" s="273">
        <v>1</v>
      </c>
      <c r="D112" s="256"/>
      <c r="E112" s="257"/>
      <c r="F112" s="251"/>
      <c r="G112" s="274"/>
      <c r="H112" s="274"/>
      <c r="I112" s="274"/>
      <c r="J112" s="274">
        <v>1</v>
      </c>
      <c r="K112" s="274"/>
      <c r="L112" s="274"/>
      <c r="M112" s="274"/>
      <c r="N112" s="274"/>
      <c r="O112" s="274"/>
      <c r="P112" s="275">
        <f t="shared" ref="P112:P128" si="6">+C112+D112-E112+F112+G112+H112-I112-J112-K112-L112-O112+M112-N112</f>
        <v>0</v>
      </c>
      <c r="R112" s="44">
        <v>0.8</v>
      </c>
      <c r="S112" s="206">
        <v>0.19999999999999996</v>
      </c>
    </row>
    <row r="113" spans="1:19" ht="15">
      <c r="A113" s="116"/>
      <c r="B113" s="272">
        <v>2001</v>
      </c>
      <c r="C113" s="273">
        <v>88.6</v>
      </c>
      <c r="D113" s="256"/>
      <c r="E113" s="257"/>
      <c r="F113" s="251"/>
      <c r="G113" s="274"/>
      <c r="H113" s="274"/>
      <c r="I113" s="274"/>
      <c r="J113" s="274">
        <v>89</v>
      </c>
      <c r="K113" s="274"/>
      <c r="L113" s="274"/>
      <c r="M113" s="274"/>
      <c r="N113" s="274"/>
      <c r="O113" s="274"/>
      <c r="P113" s="275">
        <f t="shared" si="6"/>
        <v>-0.40000000000000568</v>
      </c>
      <c r="R113" s="44">
        <v>70.88</v>
      </c>
      <c r="S113" s="206">
        <v>17.72</v>
      </c>
    </row>
    <row r="114" spans="1:19" ht="15">
      <c r="A114" s="116"/>
      <c r="B114" s="272">
        <v>2002</v>
      </c>
      <c r="C114" s="273">
        <v>195.29999999999998</v>
      </c>
      <c r="D114" s="256"/>
      <c r="E114" s="257"/>
      <c r="F114" s="251"/>
      <c r="G114" s="274"/>
      <c r="H114" s="274"/>
      <c r="I114" s="274"/>
      <c r="J114" s="274">
        <v>195</v>
      </c>
      <c r="K114" s="274"/>
      <c r="L114" s="274"/>
      <c r="M114" s="274"/>
      <c r="N114" s="274"/>
      <c r="O114" s="274"/>
      <c r="P114" s="275">
        <f t="shared" si="6"/>
        <v>0.29999999999998295</v>
      </c>
      <c r="R114" s="44">
        <v>156.24</v>
      </c>
      <c r="S114" s="206">
        <v>39.059999999999974</v>
      </c>
    </row>
    <row r="115" spans="1:19" ht="15">
      <c r="A115" s="116"/>
      <c r="B115" s="272">
        <v>2003</v>
      </c>
      <c r="C115" s="273">
        <v>406</v>
      </c>
      <c r="D115" s="256"/>
      <c r="E115" s="257"/>
      <c r="F115" s="251"/>
      <c r="G115" s="274"/>
      <c r="H115" s="274"/>
      <c r="I115" s="274"/>
      <c r="J115" s="274">
        <v>300</v>
      </c>
      <c r="K115" s="274"/>
      <c r="L115" s="274"/>
      <c r="M115" s="274"/>
      <c r="N115" s="274"/>
      <c r="O115" s="274"/>
      <c r="P115" s="275">
        <f t="shared" si="6"/>
        <v>106</v>
      </c>
      <c r="R115" s="44">
        <v>324.8</v>
      </c>
      <c r="S115" s="206">
        <v>81.199999999999989</v>
      </c>
    </row>
    <row r="116" spans="1:19" ht="15">
      <c r="A116" s="116"/>
      <c r="B116" s="272">
        <v>2004</v>
      </c>
      <c r="C116" s="273">
        <v>680</v>
      </c>
      <c r="D116" s="256"/>
      <c r="E116" s="257"/>
      <c r="F116" s="251"/>
      <c r="G116" s="274"/>
      <c r="H116" s="274"/>
      <c r="I116" s="274"/>
      <c r="J116" s="274">
        <v>300</v>
      </c>
      <c r="K116" s="274"/>
      <c r="L116" s="274"/>
      <c r="M116" s="274"/>
      <c r="N116" s="274"/>
      <c r="O116" s="274"/>
      <c r="P116" s="275">
        <f t="shared" si="6"/>
        <v>380</v>
      </c>
      <c r="R116" s="44">
        <v>544</v>
      </c>
      <c r="S116" s="206">
        <v>136</v>
      </c>
    </row>
    <row r="117" spans="1:19" ht="15">
      <c r="A117" s="116"/>
      <c r="B117" s="272">
        <v>2005</v>
      </c>
      <c r="C117" s="273">
        <v>687</v>
      </c>
      <c r="D117" s="256"/>
      <c r="E117" s="257"/>
      <c r="F117" s="251"/>
      <c r="G117" s="273"/>
      <c r="H117" s="273"/>
      <c r="I117" s="273"/>
      <c r="J117" s="273">
        <v>115</v>
      </c>
      <c r="K117" s="273"/>
      <c r="L117" s="273"/>
      <c r="M117" s="273"/>
      <c r="N117" s="273"/>
      <c r="O117" s="273"/>
      <c r="P117" s="276">
        <f t="shared" si="6"/>
        <v>572</v>
      </c>
      <c r="R117" s="44">
        <v>549.6</v>
      </c>
      <c r="S117" s="206">
        <v>137.39999999999998</v>
      </c>
    </row>
    <row r="118" spans="1:19" ht="15">
      <c r="A118" s="116"/>
      <c r="B118" s="272">
        <v>2006</v>
      </c>
      <c r="C118" s="273">
        <v>1041</v>
      </c>
      <c r="D118" s="256"/>
      <c r="E118" s="257"/>
      <c r="F118" s="251"/>
      <c r="G118" s="273"/>
      <c r="H118" s="273"/>
      <c r="I118" s="273"/>
      <c r="J118" s="273"/>
      <c r="K118" s="273"/>
      <c r="L118" s="273"/>
      <c r="M118" s="273"/>
      <c r="N118" s="273"/>
      <c r="O118" s="273"/>
      <c r="P118" s="276">
        <f t="shared" si="6"/>
        <v>1041</v>
      </c>
      <c r="R118" s="44">
        <v>832.80000000000007</v>
      </c>
      <c r="S118" s="206">
        <v>208.19999999999993</v>
      </c>
    </row>
    <row r="119" spans="1:19" ht="15">
      <c r="A119" s="116"/>
      <c r="B119" s="272">
        <v>2007</v>
      </c>
      <c r="C119" s="273">
        <v>0</v>
      </c>
      <c r="D119" s="256"/>
      <c r="E119" s="257"/>
      <c r="F119" s="251"/>
      <c r="G119" s="273"/>
      <c r="H119" s="273"/>
      <c r="I119" s="273"/>
      <c r="J119" s="273"/>
      <c r="K119" s="273"/>
      <c r="L119" s="273"/>
      <c r="M119" s="273"/>
      <c r="N119" s="273"/>
      <c r="O119" s="273"/>
      <c r="P119" s="276">
        <f t="shared" si="6"/>
        <v>0</v>
      </c>
      <c r="R119" s="44">
        <v>0</v>
      </c>
      <c r="S119" s="206">
        <v>0</v>
      </c>
    </row>
    <row r="120" spans="1:19" ht="15">
      <c r="A120" s="116"/>
      <c r="B120" s="272">
        <v>2008</v>
      </c>
      <c r="C120" s="273">
        <v>1691</v>
      </c>
      <c r="D120" s="256"/>
      <c r="E120" s="257"/>
      <c r="F120" s="251"/>
      <c r="G120" s="273"/>
      <c r="H120" s="273"/>
      <c r="I120" s="273"/>
      <c r="J120" s="273"/>
      <c r="K120" s="273"/>
      <c r="L120" s="273"/>
      <c r="M120" s="273"/>
      <c r="N120" s="273"/>
      <c r="O120" s="273"/>
      <c r="P120" s="276">
        <f t="shared" si="6"/>
        <v>1691</v>
      </c>
      <c r="R120" s="44">
        <v>1352.8000000000002</v>
      </c>
      <c r="S120" s="206">
        <v>338.19999999999982</v>
      </c>
    </row>
    <row r="121" spans="1:19" ht="15">
      <c r="A121" s="116"/>
      <c r="B121" s="272">
        <v>2009</v>
      </c>
      <c r="C121" s="273">
        <v>0</v>
      </c>
      <c r="D121" s="256"/>
      <c r="E121" s="257"/>
      <c r="F121" s="251"/>
      <c r="G121" s="273"/>
      <c r="H121" s="274">
        <f>354+918</f>
        <v>1272</v>
      </c>
      <c r="I121" s="273"/>
      <c r="J121" s="273"/>
      <c r="K121" s="273"/>
      <c r="L121" s="273"/>
      <c r="M121" s="273"/>
      <c r="N121" s="273"/>
      <c r="O121" s="273"/>
      <c r="P121" s="276">
        <f t="shared" si="6"/>
        <v>1272</v>
      </c>
      <c r="R121" s="44">
        <v>0</v>
      </c>
      <c r="S121" s="206">
        <v>354</v>
      </c>
    </row>
    <row r="122" spans="1:19" ht="15">
      <c r="A122" s="116"/>
      <c r="B122" s="272">
        <v>2010</v>
      </c>
      <c r="C122" s="273">
        <v>0</v>
      </c>
      <c r="D122" s="256"/>
      <c r="E122" s="257"/>
      <c r="F122" s="251"/>
      <c r="G122" s="273"/>
      <c r="H122" s="273">
        <v>624</v>
      </c>
      <c r="I122" s="273"/>
      <c r="J122" s="273"/>
      <c r="K122" s="273"/>
      <c r="L122" s="273"/>
      <c r="M122" s="273"/>
      <c r="N122" s="273"/>
      <c r="O122" s="273"/>
      <c r="P122" s="276">
        <f t="shared" si="6"/>
        <v>624</v>
      </c>
      <c r="Q122" s="206"/>
      <c r="R122" s="44">
        <v>0</v>
      </c>
      <c r="S122" s="206">
        <v>624</v>
      </c>
    </row>
    <row r="123" spans="1:19" ht="15">
      <c r="A123" s="116"/>
      <c r="B123" s="272">
        <v>2011</v>
      </c>
      <c r="C123" s="273">
        <v>0</v>
      </c>
      <c r="D123" s="256"/>
      <c r="E123" s="257"/>
      <c r="F123" s="251"/>
      <c r="G123" s="273"/>
      <c r="H123" s="273"/>
      <c r="I123" s="273"/>
      <c r="J123" s="273"/>
      <c r="K123" s="273"/>
      <c r="L123" s="273"/>
      <c r="M123" s="273"/>
      <c r="N123" s="273"/>
      <c r="O123" s="273"/>
      <c r="P123" s="276">
        <f t="shared" si="6"/>
        <v>0</v>
      </c>
      <c r="R123" s="44">
        <v>0</v>
      </c>
      <c r="S123" s="206">
        <v>0</v>
      </c>
    </row>
    <row r="124" spans="1:19" ht="15">
      <c r="A124" s="116"/>
      <c r="B124" s="272">
        <v>2012</v>
      </c>
      <c r="C124" s="273"/>
      <c r="D124" s="256"/>
      <c r="E124" s="257"/>
      <c r="F124" s="251"/>
      <c r="G124" s="273"/>
      <c r="H124" s="273"/>
      <c r="I124" s="273"/>
      <c r="J124" s="273"/>
      <c r="K124" s="273"/>
      <c r="L124" s="273"/>
      <c r="M124" s="273"/>
      <c r="N124" s="273"/>
      <c r="O124" s="273"/>
      <c r="P124" s="276">
        <f t="shared" si="6"/>
        <v>0</v>
      </c>
      <c r="R124" s="44">
        <v>0</v>
      </c>
      <c r="S124" s="206">
        <v>0</v>
      </c>
    </row>
    <row r="125" spans="1:19" ht="15">
      <c r="A125" s="116"/>
      <c r="B125" s="272">
        <v>2013</v>
      </c>
      <c r="C125" s="273"/>
      <c r="D125" s="256"/>
      <c r="E125" s="257"/>
      <c r="F125" s="251"/>
      <c r="G125" s="273"/>
      <c r="H125" s="273"/>
      <c r="I125" s="273"/>
      <c r="J125" s="273"/>
      <c r="K125" s="273"/>
      <c r="L125" s="273"/>
      <c r="M125" s="273"/>
      <c r="N125" s="273"/>
      <c r="O125" s="273"/>
      <c r="P125" s="276">
        <f t="shared" si="6"/>
        <v>0</v>
      </c>
      <c r="R125" s="44">
        <v>0</v>
      </c>
      <c r="S125" s="206">
        <v>0</v>
      </c>
    </row>
    <row r="126" spans="1:19">
      <c r="A126" s="116"/>
      <c r="B126" s="272">
        <v>2014</v>
      </c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6">
        <f t="shared" si="6"/>
        <v>0</v>
      </c>
      <c r="Q126" s="145"/>
      <c r="R126" s="44">
        <v>0</v>
      </c>
      <c r="S126" s="206">
        <v>0</v>
      </c>
    </row>
    <row r="127" spans="1:19">
      <c r="A127" s="116"/>
      <c r="B127" s="272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6">
        <f t="shared" si="6"/>
        <v>0</v>
      </c>
      <c r="Q127" s="145"/>
      <c r="R127" s="44">
        <v>3831.9200000000005</v>
      </c>
      <c r="S127" s="44">
        <v>1935.9799999999996</v>
      </c>
    </row>
    <row r="128" spans="1:19">
      <c r="A128" s="243"/>
      <c r="B128" s="272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6">
        <f t="shared" si="6"/>
        <v>0</v>
      </c>
      <c r="Q128" s="145"/>
      <c r="R128" s="44"/>
      <c r="S128" s="206"/>
    </row>
    <row r="129" spans="1:19">
      <c r="A129" s="116"/>
      <c r="B129" s="277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9"/>
      <c r="Q129" s="145"/>
      <c r="R129" s="44"/>
      <c r="S129" s="206"/>
    </row>
    <row r="130" spans="1:19" ht="15.75" thickBot="1">
      <c r="A130" s="129"/>
      <c r="B130" s="130" t="s">
        <v>356</v>
      </c>
      <c r="C130" s="249">
        <f>SUM(C112:C129)</f>
        <v>4789.8999999999996</v>
      </c>
      <c r="D130" s="249">
        <f>SUM(D112:D123)</f>
        <v>0</v>
      </c>
      <c r="E130" s="249">
        <f>SUM(E112:E123)</f>
        <v>0</v>
      </c>
      <c r="F130" s="249">
        <f>SUM(F112:F123)</f>
        <v>0</v>
      </c>
      <c r="G130" s="249">
        <f>SUM(G112:G123)</f>
        <v>0</v>
      </c>
      <c r="H130" s="249">
        <f>SUM(H112:H129)</f>
        <v>1896</v>
      </c>
      <c r="I130" s="249">
        <f>SUM(I112:I129)</f>
        <v>0</v>
      </c>
      <c r="J130" s="249">
        <f>SUM(J111:J123)</f>
        <v>1000</v>
      </c>
      <c r="K130" s="249">
        <f>SUM(K112:K123)</f>
        <v>0</v>
      </c>
      <c r="L130" s="249">
        <f>SUM(L112:L123)</f>
        <v>0</v>
      </c>
      <c r="M130" s="249">
        <f>SUM(M116:M123)</f>
        <v>0</v>
      </c>
      <c r="N130" s="249"/>
      <c r="O130" s="249">
        <f>SUM(O112:O123)</f>
        <v>0</v>
      </c>
      <c r="P130" s="258">
        <f>SUM(P112:P129)</f>
        <v>5685.9</v>
      </c>
    </row>
    <row r="131" spans="1:19" ht="16.5" thickTop="1" thickBot="1">
      <c r="A131" s="147"/>
      <c r="B131" s="148" t="s">
        <v>399</v>
      </c>
      <c r="C131" s="280">
        <f t="shared" ref="C131:M131" si="7">+C14+C24+C35+C53+C70+C79+C88+C98+C108+C130</f>
        <v>11960.9</v>
      </c>
      <c r="D131" s="280">
        <f t="shared" si="7"/>
        <v>0</v>
      </c>
      <c r="E131" s="280">
        <f t="shared" si="7"/>
        <v>0</v>
      </c>
      <c r="F131" s="280">
        <f t="shared" si="7"/>
        <v>0</v>
      </c>
      <c r="G131" s="280">
        <f t="shared" si="7"/>
        <v>3716</v>
      </c>
      <c r="H131" s="280">
        <f t="shared" si="7"/>
        <v>6060</v>
      </c>
      <c r="I131" s="280">
        <f t="shared" si="7"/>
        <v>6060</v>
      </c>
      <c r="J131" s="280">
        <f t="shared" si="7"/>
        <v>2800</v>
      </c>
      <c r="K131" s="280">
        <f t="shared" si="7"/>
        <v>0</v>
      </c>
      <c r="L131" s="280">
        <f t="shared" si="7"/>
        <v>0</v>
      </c>
      <c r="M131" s="280">
        <f t="shared" si="7"/>
        <v>0</v>
      </c>
      <c r="N131" s="280"/>
      <c r="O131" s="280">
        <f>+O14+O24+O35+O53+O70+O79+O88+O98+O108+O130</f>
        <v>186</v>
      </c>
      <c r="P131" s="281">
        <f>+P14+P24+P35+P53+P70+P79+P88+P98+P108+P130</f>
        <v>12690.9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4" fitToHeight="2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111111111111111111111161"/>
  <dimension ref="A1:S161"/>
  <sheetViews>
    <sheetView showGridLines="0" view="pageBreakPreview" topLeftCell="A3" zoomScale="60" zoomScaleNormal="85" workbookViewId="0">
      <pane xSplit="3" ySplit="3" topLeftCell="F99" activePane="bottomRight" state="frozen"/>
      <selection activeCell="P94" sqref="P94"/>
      <selection pane="topRight" activeCell="P94" sqref="P94"/>
      <selection pane="bottomLeft" activeCell="P94" sqref="P94"/>
      <selection pane="bottomRight" activeCell="B112" sqref="B112:B126"/>
    </sheetView>
  </sheetViews>
  <sheetFormatPr baseColWidth="10" defaultRowHeight="12.75"/>
  <cols>
    <col min="1" max="1" width="14.85546875" style="6" customWidth="1"/>
    <col min="2" max="2" width="18.140625" style="6" customWidth="1"/>
    <col min="3" max="3" width="13.28515625" style="6" customWidth="1"/>
    <col min="4" max="4" width="10.140625" style="6" customWidth="1"/>
    <col min="5" max="5" width="11.7109375" style="6" customWidth="1"/>
    <col min="6" max="6" width="13.42578125" style="6" bestFit="1" customWidth="1"/>
    <col min="7" max="7" width="14.28515625" style="6" customWidth="1"/>
    <col min="8" max="9" width="11.85546875" style="6" customWidth="1"/>
    <col min="10" max="10" width="13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3" style="6" bestFit="1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409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23">
        <v>2011</v>
      </c>
      <c r="C9" s="160">
        <v>99</v>
      </c>
      <c r="D9" s="160"/>
      <c r="E9" s="160"/>
      <c r="F9" s="160"/>
      <c r="G9" s="160"/>
      <c r="H9" s="160"/>
      <c r="I9" s="160">
        <v>99</v>
      </c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23">
        <v>2012</v>
      </c>
      <c r="C10" s="160">
        <v>1765</v>
      </c>
      <c r="D10" s="160"/>
      <c r="E10" s="160"/>
      <c r="F10" s="160"/>
      <c r="G10" s="160"/>
      <c r="H10" s="160"/>
      <c r="I10" s="160">
        <v>1765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123">
        <v>2013</v>
      </c>
      <c r="C11" s="160">
        <v>0</v>
      </c>
      <c r="D11" s="160"/>
      <c r="E11" s="160"/>
      <c r="F11" s="160"/>
      <c r="G11" s="160">
        <v>2206</v>
      </c>
      <c r="H11" s="160"/>
      <c r="I11" s="160"/>
      <c r="J11" s="160"/>
      <c r="K11" s="160"/>
      <c r="L11" s="160"/>
      <c r="M11" s="160"/>
      <c r="N11" s="160"/>
      <c r="O11" s="160">
        <v>110</v>
      </c>
      <c r="P11" s="161">
        <f>+C11+D11-E11+F11+G11+H11-I11-J11-K11-L11-O11+M11-N11</f>
        <v>2096</v>
      </c>
    </row>
    <row r="12" spans="1:19">
      <c r="A12" s="116"/>
      <c r="B12" s="123">
        <v>2014</v>
      </c>
      <c r="C12" s="160">
        <v>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>+C12+D12-E12+F12+G12+H12-I12-J12-K12-L12-O12+M12-N12</f>
        <v>0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282">
        <f>SUM(C9:C13)</f>
        <v>1864</v>
      </c>
      <c r="D14" s="282">
        <f t="shared" ref="D14:J14" si="0">SUM(D9:D10)</f>
        <v>0</v>
      </c>
      <c r="E14" s="282">
        <f t="shared" si="0"/>
        <v>0</v>
      </c>
      <c r="F14" s="282">
        <f t="shared" si="0"/>
        <v>0</v>
      </c>
      <c r="G14" s="282">
        <f>SUM(G9:G13)</f>
        <v>2206</v>
      </c>
      <c r="H14" s="282">
        <f t="shared" si="0"/>
        <v>0</v>
      </c>
      <c r="I14" s="282">
        <f>SUM(I9:I13)</f>
        <v>1864</v>
      </c>
      <c r="J14" s="282">
        <f t="shared" si="0"/>
        <v>0</v>
      </c>
      <c r="K14" s="282">
        <f>SUM(K10)</f>
        <v>0</v>
      </c>
      <c r="L14" s="282">
        <f>SUM(L9:L10)</f>
        <v>0</v>
      </c>
      <c r="M14" s="282">
        <f>SUM(M10)</f>
        <v>0</v>
      </c>
      <c r="N14" s="282"/>
      <c r="O14" s="282">
        <f>SUM(O9:O13)</f>
        <v>110</v>
      </c>
      <c r="P14" s="283">
        <f>SUM(P9:P13)</f>
        <v>2096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8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8">
      <c r="A18" s="116"/>
      <c r="B18" s="123">
        <v>2010</v>
      </c>
      <c r="C18" s="160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8">
      <c r="A19" s="116"/>
      <c r="B19" s="123">
        <v>2011</v>
      </c>
      <c r="C19" s="160">
        <v>156</v>
      </c>
      <c r="D19" s="160"/>
      <c r="E19" s="160"/>
      <c r="F19" s="160"/>
      <c r="G19" s="160"/>
      <c r="H19" s="160"/>
      <c r="I19" s="160">
        <v>156</v>
      </c>
      <c r="J19" s="160"/>
      <c r="K19" s="160"/>
      <c r="L19" s="160"/>
      <c r="M19" s="160"/>
      <c r="N19" s="160"/>
      <c r="O19" s="160"/>
      <c r="P19" s="161">
        <f>+C19+D19-E19+F19+G19+H19-I19-J19-K19-L19-O19+M19-N19</f>
        <v>0</v>
      </c>
    </row>
    <row r="20" spans="1:18">
      <c r="A20" s="116"/>
      <c r="B20" s="123">
        <v>2012</v>
      </c>
      <c r="C20" s="160">
        <v>0</v>
      </c>
      <c r="D20" s="160"/>
      <c r="E20" s="160"/>
      <c r="F20" s="160"/>
      <c r="G20" s="160"/>
      <c r="H20" s="160">
        <v>452</v>
      </c>
      <c r="I20" s="160"/>
      <c r="J20" s="160"/>
      <c r="K20" s="160"/>
      <c r="L20" s="160"/>
      <c r="M20" s="160"/>
      <c r="N20" s="160"/>
      <c r="O20" s="160"/>
      <c r="P20" s="161">
        <f>+C20+D20-E20+F20+G20+H20-I20-J20-K20-L20-O20+M20-N20</f>
        <v>452</v>
      </c>
    </row>
    <row r="21" spans="1:18">
      <c r="A21" s="116"/>
      <c r="B21" s="123">
        <v>2013</v>
      </c>
      <c r="C21" s="160">
        <v>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0</v>
      </c>
    </row>
    <row r="22" spans="1:18">
      <c r="A22" s="116"/>
      <c r="B22" s="12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8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R23" s="6">
        <f>4412/2</f>
        <v>2206</v>
      </c>
    </row>
    <row r="24" spans="1:18" ht="15">
      <c r="A24" s="129"/>
      <c r="B24" s="117" t="s">
        <v>356</v>
      </c>
      <c r="C24" s="284">
        <f>SUM(C18:C23)</f>
        <v>156</v>
      </c>
      <c r="D24" s="282">
        <f>SUM(D18:D19)</f>
        <v>0</v>
      </c>
      <c r="E24" s="282">
        <f>SUM(E20)</f>
        <v>0</v>
      </c>
      <c r="F24" s="282"/>
      <c r="G24" s="282">
        <f>SUM(G19:G21)</f>
        <v>0</v>
      </c>
      <c r="H24" s="282">
        <f>SUM(H19:H23)</f>
        <v>452</v>
      </c>
      <c r="I24" s="282">
        <f>SUM(I18:I23)</f>
        <v>156</v>
      </c>
      <c r="J24" s="282">
        <f>SUM(J18:J19)</f>
        <v>0</v>
      </c>
      <c r="K24" s="282"/>
      <c r="L24" s="282">
        <f>SUM(L18:L19)</f>
        <v>0</v>
      </c>
      <c r="M24" s="282">
        <f>SUM(M19)</f>
        <v>0</v>
      </c>
      <c r="N24" s="282"/>
      <c r="O24" s="282">
        <f>SUM(O18:O19)</f>
        <v>0</v>
      </c>
      <c r="P24" s="283">
        <f>SUM(P18:P23)</f>
        <v>452</v>
      </c>
    </row>
    <row r="25" spans="1:18" ht="15">
      <c r="A25" s="116"/>
      <c r="B25" s="167" t="s">
        <v>83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6"/>
    </row>
    <row r="26" spans="1:18" ht="15">
      <c r="A26" s="116"/>
      <c r="B26" s="170" t="s">
        <v>360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7"/>
    </row>
    <row r="27" spans="1:18" ht="15">
      <c r="A27" s="116" t="s">
        <v>361</v>
      </c>
      <c r="B27" s="170" t="s">
        <v>353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7"/>
    </row>
    <row r="28" spans="1:18" ht="15">
      <c r="A28" s="116"/>
      <c r="B28" s="123">
        <v>2010</v>
      </c>
      <c r="C28" s="284">
        <v>656</v>
      </c>
      <c r="D28" s="284"/>
      <c r="E28" s="284"/>
      <c r="F28" s="284"/>
      <c r="G28" s="284"/>
      <c r="H28" s="284"/>
      <c r="I28" s="284">
        <v>547</v>
      </c>
      <c r="J28" s="284">
        <v>109</v>
      </c>
      <c r="K28" s="284"/>
      <c r="L28" s="284"/>
      <c r="M28" s="284"/>
      <c r="N28" s="284"/>
      <c r="O28" s="284"/>
      <c r="P28" s="287">
        <f>+C28+D28-E28+F28+G28+H28-I28-J28-K28-L28-O28+M28-N28</f>
        <v>0</v>
      </c>
    </row>
    <row r="29" spans="1:18" ht="15">
      <c r="A29" s="116"/>
      <c r="B29" s="123">
        <v>2011</v>
      </c>
      <c r="C29" s="284">
        <v>0</v>
      </c>
      <c r="D29" s="284"/>
      <c r="E29" s="284"/>
      <c r="F29" s="284"/>
      <c r="G29" s="284"/>
      <c r="H29" s="284">
        <v>99</v>
      </c>
      <c r="I29" s="284"/>
      <c r="J29" s="284">
        <v>99</v>
      </c>
      <c r="K29" s="284"/>
      <c r="L29" s="284"/>
      <c r="M29" s="284"/>
      <c r="N29" s="284"/>
      <c r="O29" s="284"/>
      <c r="P29" s="287">
        <f>+C29+D29-E29+F29+G29+H29-I29-J29-K29-L29-O29+M29-N29</f>
        <v>0</v>
      </c>
      <c r="Q29" s="56"/>
    </row>
    <row r="30" spans="1:18" ht="15">
      <c r="A30" s="116"/>
      <c r="B30" s="123">
        <v>2012</v>
      </c>
      <c r="C30" s="284">
        <v>0</v>
      </c>
      <c r="D30" s="284"/>
      <c r="E30" s="284"/>
      <c r="F30" s="284"/>
      <c r="G30" s="284"/>
      <c r="H30" s="284">
        <f>I10-H20</f>
        <v>1313</v>
      </c>
      <c r="I30" s="284"/>
      <c r="J30" s="284">
        <v>900</v>
      </c>
      <c r="K30" s="284"/>
      <c r="L30" s="284"/>
      <c r="M30" s="284"/>
      <c r="N30" s="284"/>
      <c r="O30" s="284"/>
      <c r="P30" s="287">
        <f>+C30+D30-E30+F30+G30+H30-I30-J30-K30-L30-O30+M30-N30</f>
        <v>413</v>
      </c>
      <c r="Q30" s="56"/>
    </row>
    <row r="31" spans="1:18" ht="15">
      <c r="A31" s="116"/>
      <c r="B31" s="123">
        <v>2013</v>
      </c>
      <c r="C31" s="284">
        <v>0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7">
        <f>+C31+D31-E31+F31+G31+H31-I31-J31-K31-L31-O31+M31-N31</f>
        <v>0</v>
      </c>
      <c r="Q31" s="56"/>
    </row>
    <row r="32" spans="1:18" ht="15">
      <c r="A32" s="116"/>
      <c r="B32" s="123">
        <v>2014</v>
      </c>
      <c r="C32" s="284">
        <v>0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7">
        <f>+C32+D32-E32+F32+G32+H32-I32-J32-K32-L32-O32+M32-N32</f>
        <v>0</v>
      </c>
      <c r="Q32" s="56"/>
    </row>
    <row r="33" spans="1:17" ht="15">
      <c r="A33" s="116"/>
      <c r="B33" s="172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7"/>
      <c r="Q33" s="56"/>
    </row>
    <row r="34" spans="1:17" ht="15">
      <c r="A34" s="116"/>
      <c r="B34" s="124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8"/>
      <c r="Q34" s="56"/>
    </row>
    <row r="35" spans="1:17" ht="15">
      <c r="A35" s="129"/>
      <c r="B35" s="117" t="s">
        <v>356</v>
      </c>
      <c r="C35" s="282">
        <f>SUM(C28:C34)</f>
        <v>656</v>
      </c>
      <c r="D35" s="282">
        <f>SUM(D28:D29)</f>
        <v>0</v>
      </c>
      <c r="E35" s="282">
        <f>SUM(E28:E29)</f>
        <v>0</v>
      </c>
      <c r="F35" s="282">
        <f>SUM(F29:F29)</f>
        <v>0</v>
      </c>
      <c r="G35" s="282">
        <f>SUM(G29:G29)</f>
        <v>0</v>
      </c>
      <c r="H35" s="282">
        <f>SUM(H28:H34)</f>
        <v>1412</v>
      </c>
      <c r="I35" s="282">
        <f>SUM(I28:I34)</f>
        <v>547</v>
      </c>
      <c r="J35" s="282">
        <f>SUM(J28:J34)</f>
        <v>1108</v>
      </c>
      <c r="K35" s="282"/>
      <c r="L35" s="282">
        <f>SUM(L28:L29)</f>
        <v>0</v>
      </c>
      <c r="M35" s="282"/>
      <c r="N35" s="282"/>
      <c r="O35" s="282">
        <f>SUM(O28:O29)</f>
        <v>0</v>
      </c>
      <c r="P35" s="283">
        <f>SUM(P28:P34)</f>
        <v>413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23">
        <v>2009</v>
      </c>
      <c r="C39" s="160">
        <v>201</v>
      </c>
      <c r="D39" s="176"/>
      <c r="E39" s="176"/>
      <c r="F39" s="176"/>
      <c r="G39" s="176"/>
      <c r="H39" s="176"/>
      <c r="I39" s="176"/>
      <c r="J39" s="176">
        <v>201</v>
      </c>
      <c r="K39" s="176"/>
      <c r="L39" s="176"/>
      <c r="M39" s="176"/>
      <c r="N39" s="176"/>
      <c r="O39" s="176"/>
      <c r="P39" s="177">
        <f t="shared" ref="P39:P50" si="1">+C39+D39-E39+F39+G39+H39-I39-J39-K39-L39-O39+M39-N39</f>
        <v>0</v>
      </c>
    </row>
    <row r="40" spans="1:17">
      <c r="A40" s="116"/>
      <c r="B40" s="123">
        <v>2010</v>
      </c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123">
        <v>2011</v>
      </c>
      <c r="C41" s="160">
        <v>0</v>
      </c>
      <c r="D41" s="160"/>
      <c r="E41" s="160"/>
      <c r="F41" s="160"/>
      <c r="G41" s="160"/>
      <c r="H41" s="160">
        <v>156</v>
      </c>
      <c r="I41" s="160"/>
      <c r="J41" s="160">
        <v>156</v>
      </c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123">
        <v>2012</v>
      </c>
      <c r="C42" s="160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1"/>
        <v>0</v>
      </c>
      <c r="Q42" s="56"/>
    </row>
    <row r="43" spans="1:17">
      <c r="A43" s="116"/>
      <c r="B43" s="123">
        <v>2013</v>
      </c>
      <c r="C43" s="160">
        <v>0</v>
      </c>
      <c r="D43" s="160"/>
      <c r="E43" s="160"/>
      <c r="F43" s="160"/>
      <c r="G43" s="160"/>
      <c r="H43" s="160">
        <v>547</v>
      </c>
      <c r="I43" s="160"/>
      <c r="J43" s="160">
        <v>428</v>
      </c>
      <c r="K43" s="160"/>
      <c r="L43" s="160"/>
      <c r="M43" s="160"/>
      <c r="N43" s="160"/>
      <c r="O43" s="160"/>
      <c r="P43" s="161">
        <f t="shared" si="1"/>
        <v>119</v>
      </c>
      <c r="Q43" s="56"/>
    </row>
    <row r="44" spans="1:17">
      <c r="A44" s="116"/>
      <c r="B44" s="123">
        <v>2014</v>
      </c>
      <c r="C44" s="160"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123">
        <v>2015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123">
        <v>2016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123">
        <v>2017</v>
      </c>
      <c r="C47" s="160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1"/>
        <v>0</v>
      </c>
    </row>
    <row r="48" spans="1:17">
      <c r="A48" s="116"/>
      <c r="B48" s="123">
        <v>2018</v>
      </c>
      <c r="C48" s="160"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1"/>
        <v>0</v>
      </c>
    </row>
    <row r="49" spans="1:17">
      <c r="A49" s="116"/>
      <c r="B49" s="123">
        <v>2019</v>
      </c>
      <c r="C49" s="160"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1"/>
        <v>0</v>
      </c>
    </row>
    <row r="50" spans="1:17">
      <c r="A50" s="116"/>
      <c r="B50" s="123">
        <v>2020</v>
      </c>
      <c r="C50" s="160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282">
        <f>SUM(C39:C52)</f>
        <v>201</v>
      </c>
      <c r="D53" s="282">
        <f>SUM(D39:D46)</f>
        <v>0</v>
      </c>
      <c r="E53" s="282">
        <f>SUM(E39:E46)</f>
        <v>0</v>
      </c>
      <c r="F53" s="282">
        <f>SUM(F39:F46)</f>
        <v>0</v>
      </c>
      <c r="G53" s="282">
        <f>SUM(G39:G46)</f>
        <v>0</v>
      </c>
      <c r="H53" s="282">
        <f>SUM(H39:H52)</f>
        <v>703</v>
      </c>
      <c r="I53" s="282">
        <f>SUM(I39:I52)</f>
        <v>0</v>
      </c>
      <c r="J53" s="282">
        <f>SUM(J39:J50)</f>
        <v>785</v>
      </c>
      <c r="K53" s="282">
        <f>SUM(K43:K46)</f>
        <v>0</v>
      </c>
      <c r="L53" s="282">
        <f>SUM(L45:L46)</f>
        <v>0</v>
      </c>
      <c r="M53" s="282"/>
      <c r="N53" s="282"/>
      <c r="O53" s="282">
        <f>SUM(O39:O46)</f>
        <v>0</v>
      </c>
      <c r="P53" s="283">
        <f>SUM(P39:P52)</f>
        <v>119</v>
      </c>
    </row>
    <row r="54" spans="1:17" ht="15">
      <c r="A54" s="116"/>
      <c r="B54" s="117" t="s">
        <v>372</v>
      </c>
      <c r="C54" s="284"/>
      <c r="D54" s="289"/>
      <c r="E54" s="290"/>
      <c r="F54" s="284"/>
      <c r="G54" s="284"/>
      <c r="H54" s="289"/>
      <c r="I54" s="290"/>
      <c r="J54" s="284"/>
      <c r="K54" s="284"/>
      <c r="L54" s="284"/>
      <c r="M54" s="284"/>
      <c r="N54" s="284"/>
      <c r="O54" s="284"/>
      <c r="P54" s="291"/>
    </row>
    <row r="55" spans="1:17" ht="15">
      <c r="A55" s="116"/>
      <c r="B55" s="117" t="s">
        <v>373</v>
      </c>
      <c r="C55" s="284"/>
      <c r="D55" s="289"/>
      <c r="E55" s="290"/>
      <c r="F55" s="284"/>
      <c r="G55" s="284"/>
      <c r="H55" s="289"/>
      <c r="I55" s="290"/>
      <c r="J55" s="284"/>
      <c r="K55" s="284"/>
      <c r="L55" s="284"/>
      <c r="M55" s="284"/>
      <c r="N55" s="284"/>
      <c r="O55" s="284"/>
      <c r="P55" s="291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82">
        <v>1998</v>
      </c>
      <c r="C57" s="183">
        <v>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0</v>
      </c>
      <c r="Q57" s="56"/>
    </row>
    <row r="58" spans="1:17">
      <c r="A58" s="116"/>
      <c r="B58" s="131">
        <v>1999</v>
      </c>
      <c r="C58" s="176">
        <v>15</v>
      </c>
      <c r="D58" s="176"/>
      <c r="E58" s="176"/>
      <c r="F58" s="176"/>
      <c r="G58" s="176"/>
      <c r="H58" s="176"/>
      <c r="I58" s="176"/>
      <c r="J58" s="176">
        <v>15</v>
      </c>
      <c r="K58" s="176"/>
      <c r="L58" s="176"/>
      <c r="M58" s="176"/>
      <c r="N58" s="176"/>
      <c r="O58" s="176"/>
      <c r="P58" s="177">
        <f t="shared" si="2"/>
        <v>0</v>
      </c>
      <c r="Q58" s="56"/>
    </row>
    <row r="59" spans="1:17">
      <c r="A59" s="116"/>
      <c r="B59" s="123">
        <v>2000</v>
      </c>
      <c r="C59" s="160">
        <v>8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8</v>
      </c>
      <c r="Q59" s="56"/>
    </row>
    <row r="60" spans="1:17">
      <c r="A60" s="116"/>
      <c r="B60" s="123">
        <v>2001</v>
      </c>
      <c r="C60" s="160">
        <v>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1</v>
      </c>
      <c r="Q60" s="56"/>
    </row>
    <row r="61" spans="1:17">
      <c r="A61" s="116"/>
      <c r="B61" s="123">
        <v>2003</v>
      </c>
      <c r="C61" s="160">
        <v>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5</v>
      </c>
      <c r="Q61" s="56"/>
    </row>
    <row r="62" spans="1:17">
      <c r="A62" s="116"/>
      <c r="B62" s="123">
        <v>2005</v>
      </c>
      <c r="C62" s="160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0</v>
      </c>
      <c r="Q62" s="56"/>
    </row>
    <row r="63" spans="1:17">
      <c r="A63" s="116"/>
      <c r="B63" s="123">
        <v>2006</v>
      </c>
      <c r="C63" s="160"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0</v>
      </c>
    </row>
    <row r="64" spans="1:17">
      <c r="A64" s="116"/>
      <c r="B64" s="123">
        <v>2007</v>
      </c>
      <c r="C64" s="160">
        <v>20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2"/>
        <v>20</v>
      </c>
    </row>
    <row r="65" spans="1:18">
      <c r="A65" s="116"/>
      <c r="B65" s="123">
        <v>2008</v>
      </c>
      <c r="C65" s="160">
        <v>10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2"/>
        <v>10</v>
      </c>
    </row>
    <row r="66" spans="1:18">
      <c r="A66" s="116"/>
      <c r="B66" s="123">
        <v>2009</v>
      </c>
      <c r="C66" s="160">
        <v>15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2"/>
        <v>15</v>
      </c>
    </row>
    <row r="67" spans="1:18">
      <c r="A67" s="116"/>
      <c r="B67" s="123">
        <v>2010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>
        <v>2011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282">
        <f>SUM(C57:C69)</f>
        <v>74</v>
      </c>
      <c r="D70" s="282">
        <f t="shared" ref="D70:J70" si="3">SUM(D57:D63)</f>
        <v>0</v>
      </c>
      <c r="E70" s="282">
        <f t="shared" si="3"/>
        <v>0</v>
      </c>
      <c r="F70" s="282">
        <f t="shared" si="3"/>
        <v>0</v>
      </c>
      <c r="G70" s="282">
        <f t="shared" si="3"/>
        <v>0</v>
      </c>
      <c r="H70" s="282">
        <f>SUM(H57:H69)</f>
        <v>0</v>
      </c>
      <c r="I70" s="282">
        <f>SUM(I57:I69)</f>
        <v>0</v>
      </c>
      <c r="J70" s="282">
        <f t="shared" si="3"/>
        <v>15</v>
      </c>
      <c r="K70" s="282"/>
      <c r="L70" s="282">
        <f>SUM(L57:L63)</f>
        <v>0</v>
      </c>
      <c r="M70" s="282"/>
      <c r="N70" s="282"/>
      <c r="O70" s="282">
        <f>SUM(O57:O63)</f>
        <v>0</v>
      </c>
      <c r="P70" s="283">
        <f>SUM(P57:P69)</f>
        <v>59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292">
        <v>2011</v>
      </c>
      <c r="C74" s="293">
        <v>100</v>
      </c>
      <c r="D74" s="293"/>
      <c r="E74" s="293"/>
      <c r="F74" s="293"/>
      <c r="G74" s="293"/>
      <c r="H74" s="293"/>
      <c r="I74" s="293">
        <v>100</v>
      </c>
      <c r="J74" s="293"/>
      <c r="K74" s="293"/>
      <c r="L74" s="293"/>
      <c r="M74" s="293"/>
      <c r="N74" s="293"/>
      <c r="O74" s="293"/>
      <c r="P74" s="294">
        <f>+C74+D74-E74+F74+G74+H74-I74-J74-K74-L74-O74+M74-N74</f>
        <v>0</v>
      </c>
      <c r="Q74" s="56"/>
    </row>
    <row r="75" spans="1:18">
      <c r="A75" s="116"/>
      <c r="B75" s="292">
        <v>2012</v>
      </c>
      <c r="C75" s="293">
        <v>1765</v>
      </c>
      <c r="D75" s="293"/>
      <c r="E75" s="293"/>
      <c r="F75" s="293"/>
      <c r="G75" s="293"/>
      <c r="H75" s="293"/>
      <c r="I75" s="293">
        <v>1765</v>
      </c>
      <c r="J75" s="293"/>
      <c r="K75" s="293"/>
      <c r="L75" s="293"/>
      <c r="M75" s="293"/>
      <c r="N75" s="293"/>
      <c r="O75" s="293"/>
      <c r="P75" s="294">
        <f>+C75+D75-E75+F75+G75+H75-I75-J75-K75-L75-O75+M75-N75</f>
        <v>0</v>
      </c>
    </row>
    <row r="76" spans="1:18">
      <c r="A76" s="116"/>
      <c r="B76" s="292">
        <v>2013</v>
      </c>
      <c r="C76" s="293">
        <v>0</v>
      </c>
      <c r="D76" s="293"/>
      <c r="E76" s="293"/>
      <c r="F76" s="293"/>
      <c r="G76" s="293">
        <v>2206</v>
      </c>
      <c r="H76" s="293"/>
      <c r="I76" s="293"/>
      <c r="J76" s="293"/>
      <c r="K76" s="293"/>
      <c r="L76" s="293"/>
      <c r="M76" s="293"/>
      <c r="N76" s="293"/>
      <c r="O76" s="293">
        <v>110</v>
      </c>
      <c r="P76" s="294">
        <f>+C76+D76-E76+F76+G76+H76-I76-J76-K76-L76-O76+M76-N76</f>
        <v>2096</v>
      </c>
    </row>
    <row r="77" spans="1:18">
      <c r="A77" s="116"/>
      <c r="B77" s="292">
        <v>2014</v>
      </c>
      <c r="C77" s="293">
        <v>0</v>
      </c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4">
        <f>+C77+D77-E77+F77+G77+H77-I77-J77-K77-L77-O77+M77-N77</f>
        <v>0</v>
      </c>
      <c r="R77" s="206">
        <f>I74-H94</f>
        <v>0</v>
      </c>
    </row>
    <row r="78" spans="1:18">
      <c r="A78" s="116"/>
      <c r="B78" s="295">
        <v>2010</v>
      </c>
      <c r="C78" s="296">
        <v>109</v>
      </c>
      <c r="D78" s="296"/>
      <c r="E78" s="296"/>
      <c r="F78" s="296"/>
      <c r="G78" s="296"/>
      <c r="H78" s="296"/>
      <c r="I78" s="296">
        <v>109</v>
      </c>
      <c r="J78" s="296"/>
      <c r="K78" s="296"/>
      <c r="L78" s="296"/>
      <c r="M78" s="296"/>
      <c r="N78" s="296"/>
      <c r="O78" s="296"/>
      <c r="P78" s="297">
        <f>+C78+D78-E78+F78+G78+H78-I78-J78-K78-L78-O78+M78-N78</f>
        <v>0</v>
      </c>
    </row>
    <row r="79" spans="1:18" ht="15">
      <c r="A79" s="129"/>
      <c r="B79" s="117" t="s">
        <v>356</v>
      </c>
      <c r="C79" s="284">
        <f>SUM(C74:C78)</f>
        <v>1974</v>
      </c>
      <c r="D79" s="282">
        <f t="shared" ref="D79:J79" si="4">SUM(D74:D75)</f>
        <v>0</v>
      </c>
      <c r="E79" s="282">
        <f t="shared" si="4"/>
        <v>0</v>
      </c>
      <c r="F79" s="282">
        <f t="shared" si="4"/>
        <v>0</v>
      </c>
      <c r="G79" s="282">
        <f>SUM(G74:G78)</f>
        <v>2206</v>
      </c>
      <c r="H79" s="282">
        <f>SUM(H74:H78)</f>
        <v>0</v>
      </c>
      <c r="I79" s="282">
        <f>SUM(I74:I78)</f>
        <v>1974</v>
      </c>
      <c r="J79" s="282">
        <f t="shared" si="4"/>
        <v>0</v>
      </c>
      <c r="K79" s="282"/>
      <c r="L79" s="282"/>
      <c r="M79" s="282">
        <f>SUM(M74:M75)</f>
        <v>0</v>
      </c>
      <c r="N79" s="282"/>
      <c r="O79" s="282">
        <f>SUM(O74:O78)</f>
        <v>110</v>
      </c>
      <c r="P79" s="283">
        <f>SUM(P74:P78)</f>
        <v>2096</v>
      </c>
    </row>
    <row r="80" spans="1:18" ht="15">
      <c r="A80" s="116"/>
      <c r="B80" s="167" t="s">
        <v>75</v>
      </c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6"/>
    </row>
    <row r="81" spans="1:17" ht="15">
      <c r="A81" s="116"/>
      <c r="B81" s="170" t="s">
        <v>357</v>
      </c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7"/>
    </row>
    <row r="82" spans="1:17" ht="15">
      <c r="A82" s="116" t="s">
        <v>375</v>
      </c>
      <c r="B82" s="170" t="s">
        <v>353</v>
      </c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7"/>
    </row>
    <row r="83" spans="1:17" ht="15">
      <c r="A83" s="116"/>
      <c r="B83" s="298">
        <v>2010</v>
      </c>
      <c r="C83" s="284">
        <v>244</v>
      </c>
      <c r="D83" s="284"/>
      <c r="E83" s="284"/>
      <c r="F83" s="284"/>
      <c r="G83" s="284"/>
      <c r="H83" s="284"/>
      <c r="I83" s="284">
        <v>244</v>
      </c>
      <c r="J83" s="284"/>
      <c r="K83" s="284"/>
      <c r="L83" s="284"/>
      <c r="M83" s="284"/>
      <c r="N83" s="284"/>
      <c r="O83" s="284"/>
      <c r="P83" s="287">
        <f>+C83+D83-E83+F83+G83+H83-I83-J83-K83-L83-O83+M83-N83</f>
        <v>0</v>
      </c>
      <c r="Q83" s="56"/>
    </row>
    <row r="84" spans="1:17" ht="15">
      <c r="A84" s="116"/>
      <c r="B84" s="298">
        <v>2011</v>
      </c>
      <c r="C84" s="284">
        <v>420</v>
      </c>
      <c r="D84" s="284"/>
      <c r="E84" s="284"/>
      <c r="F84" s="284"/>
      <c r="G84" s="284"/>
      <c r="H84" s="284"/>
      <c r="I84" s="284">
        <v>420</v>
      </c>
      <c r="J84" s="284"/>
      <c r="K84" s="284"/>
      <c r="L84" s="284"/>
      <c r="M84" s="284"/>
      <c r="N84" s="284"/>
      <c r="O84" s="284"/>
      <c r="P84" s="287">
        <f>+C84+D84-E84+F84+G84+H84-I84-J84-K84-L84-O84+M84-N84</f>
        <v>0</v>
      </c>
      <c r="Q84" s="56"/>
    </row>
    <row r="85" spans="1:17" ht="15">
      <c r="A85" s="116"/>
      <c r="B85" s="298">
        <v>2012</v>
      </c>
      <c r="C85" s="284">
        <v>0</v>
      </c>
      <c r="D85" s="284"/>
      <c r="E85" s="284"/>
      <c r="F85" s="284"/>
      <c r="G85" s="284"/>
      <c r="H85" s="284">
        <v>1765</v>
      </c>
      <c r="I85" s="284"/>
      <c r="J85" s="284"/>
      <c r="K85" s="284"/>
      <c r="L85" s="284"/>
      <c r="M85" s="284"/>
      <c r="N85" s="284"/>
      <c r="O85" s="284"/>
      <c r="P85" s="287">
        <f>+C85+D85-E85+F85+G85+H85-I85-J85-K85-L85-O85+M85-N85</f>
        <v>1765</v>
      </c>
      <c r="Q85" s="56"/>
    </row>
    <row r="86" spans="1:17" ht="15">
      <c r="A86" s="116"/>
      <c r="B86" s="298">
        <v>2013</v>
      </c>
      <c r="C86" s="284">
        <v>0</v>
      </c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7">
        <f>+C86+D86-E86+F86+G86+H86-I86-J86-K86-L86-O86+M86-N86</f>
        <v>0</v>
      </c>
      <c r="Q86" s="56"/>
    </row>
    <row r="87" spans="1:17" ht="15">
      <c r="A87" s="116"/>
      <c r="B87" s="299"/>
      <c r="C87" s="282">
        <v>0</v>
      </c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8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284">
        <f>SUM(C83:C87)</f>
        <v>664</v>
      </c>
      <c r="D88" s="282">
        <f t="shared" ref="D88:J88" si="5">SUM(D83:D84)</f>
        <v>0</v>
      </c>
      <c r="E88" s="282">
        <f t="shared" si="5"/>
        <v>0</v>
      </c>
      <c r="F88" s="282">
        <f t="shared" si="5"/>
        <v>0</v>
      </c>
      <c r="G88" s="282">
        <f t="shared" si="5"/>
        <v>0</v>
      </c>
      <c r="H88" s="282">
        <f>SUM(H84:H87)</f>
        <v>1765</v>
      </c>
      <c r="I88" s="282">
        <f>SUM(I83:I87)</f>
        <v>664</v>
      </c>
      <c r="J88" s="282">
        <f t="shared" si="5"/>
        <v>0</v>
      </c>
      <c r="K88" s="282"/>
      <c r="L88" s="282">
        <f>SUM(L83:L84)</f>
        <v>0</v>
      </c>
      <c r="M88" s="282"/>
      <c r="N88" s="282"/>
      <c r="O88" s="282">
        <f>SUM(O83:O84)</f>
        <v>0</v>
      </c>
      <c r="P88" s="283">
        <f>SUM(P83:P87)</f>
        <v>1765</v>
      </c>
    </row>
    <row r="89" spans="1:17" ht="15">
      <c r="A89" s="116"/>
      <c r="B89" s="167" t="s">
        <v>70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6"/>
    </row>
    <row r="90" spans="1:17" ht="15">
      <c r="A90" s="116"/>
      <c r="B90" s="170" t="s">
        <v>379</v>
      </c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7"/>
    </row>
    <row r="91" spans="1:17" ht="15">
      <c r="A91" s="116" t="s">
        <v>380</v>
      </c>
      <c r="B91" s="170" t="s">
        <v>353</v>
      </c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7"/>
    </row>
    <row r="92" spans="1:17" ht="15">
      <c r="A92" s="116"/>
      <c r="B92" s="300">
        <v>2009</v>
      </c>
      <c r="C92" s="284">
        <v>0</v>
      </c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7">
        <f>+C92+D92-E92+F92+G92+H92-I92-J92-K92-L92-O92+M92-N92</f>
        <v>0</v>
      </c>
    </row>
    <row r="93" spans="1:17" ht="15">
      <c r="A93" s="116"/>
      <c r="B93" s="300">
        <v>2010</v>
      </c>
      <c r="C93" s="284">
        <v>150</v>
      </c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7">
        <f>+C93+D93-E93+F93+G93+H93-I93-J93-K93-L93-O93+M93-N93</f>
        <v>150</v>
      </c>
      <c r="Q93" s="56"/>
    </row>
    <row r="94" spans="1:17" ht="15">
      <c r="A94" s="116"/>
      <c r="B94" s="300">
        <v>2011</v>
      </c>
      <c r="C94" s="284">
        <v>936</v>
      </c>
      <c r="D94" s="284"/>
      <c r="E94" s="284"/>
      <c r="F94" s="284"/>
      <c r="G94" s="284"/>
      <c r="H94" s="284">
        <v>100</v>
      </c>
      <c r="I94" s="284">
        <v>936</v>
      </c>
      <c r="J94" s="284"/>
      <c r="K94" s="284"/>
      <c r="L94" s="284"/>
      <c r="M94" s="284"/>
      <c r="N94" s="284"/>
      <c r="O94" s="284"/>
      <c r="P94" s="287">
        <f>+C94+D94-E94+F94+G94+H94-I94-J94-K94-L94-O94+M94-N94</f>
        <v>100</v>
      </c>
    </row>
    <row r="95" spans="1:17" ht="15">
      <c r="A95" s="116"/>
      <c r="B95" s="300">
        <v>2012</v>
      </c>
      <c r="C95" s="284">
        <v>0</v>
      </c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7">
        <f>+C95+D95-E95+F95+G95+H95-I95-J95-K95-L95-O95+M95-N95</f>
        <v>0</v>
      </c>
    </row>
    <row r="96" spans="1:17" ht="15">
      <c r="A96" s="116"/>
      <c r="B96" s="300">
        <v>2013</v>
      </c>
      <c r="C96" s="284">
        <v>0</v>
      </c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7">
        <f>+C96+D96-E96+F96+G96+H96-I96-J96-K96-L96-O96+M96-N96</f>
        <v>0</v>
      </c>
    </row>
    <row r="97" spans="1:19" ht="15">
      <c r="A97" s="116"/>
      <c r="B97" s="301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8"/>
    </row>
    <row r="98" spans="1:19" ht="15">
      <c r="A98" s="129"/>
      <c r="B98" s="117" t="s">
        <v>356</v>
      </c>
      <c r="C98" s="282">
        <f>SUM(C92:C97)</f>
        <v>1086</v>
      </c>
      <c r="D98" s="282">
        <f>SUM(D93:D94)</f>
        <v>0</v>
      </c>
      <c r="E98" s="282">
        <f>SUM(E93:E94)</f>
        <v>0</v>
      </c>
      <c r="F98" s="282">
        <f>SUM(F93:F94)</f>
        <v>0</v>
      </c>
      <c r="G98" s="282">
        <f>SUM(G93:G94)</f>
        <v>0</v>
      </c>
      <c r="H98" s="282">
        <f>SUM(H92:H97)</f>
        <v>100</v>
      </c>
      <c r="I98" s="282">
        <f>SUM(I92:I97)</f>
        <v>936</v>
      </c>
      <c r="J98" s="282">
        <f>SUM(J92:J94)</f>
        <v>0</v>
      </c>
      <c r="K98" s="282"/>
      <c r="L98" s="282">
        <f>SUM(L92)</f>
        <v>0</v>
      </c>
      <c r="M98" s="282"/>
      <c r="N98" s="282"/>
      <c r="O98" s="282">
        <f>SUM(O92:O94)</f>
        <v>0</v>
      </c>
      <c r="P98" s="283">
        <f>SUM(P92:P97)</f>
        <v>250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300">
        <v>2009</v>
      </c>
      <c r="C102" s="302">
        <v>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3">
        <f>+C102+D102-E102+F102+G102+H102-I102-J102-K102-L102-O102+M102-N102</f>
        <v>0</v>
      </c>
    </row>
    <row r="103" spans="1:19">
      <c r="A103" s="116"/>
      <c r="B103" s="300">
        <v>2010</v>
      </c>
      <c r="C103" s="302">
        <v>330</v>
      </c>
      <c r="D103" s="302"/>
      <c r="E103" s="302"/>
      <c r="F103" s="302"/>
      <c r="G103" s="302"/>
      <c r="H103" s="304"/>
      <c r="I103" s="302"/>
      <c r="J103" s="302"/>
      <c r="K103" s="302"/>
      <c r="L103" s="302"/>
      <c r="M103" s="302"/>
      <c r="N103" s="302"/>
      <c r="O103" s="302"/>
      <c r="P103" s="303">
        <f>+C103+D103-E103+F103+G103+H103-I103-J103-K103-L103-O103+M103-N103</f>
        <v>330</v>
      </c>
      <c r="R103" s="6" t="s">
        <v>410</v>
      </c>
      <c r="S103" s="6">
        <v>800</v>
      </c>
    </row>
    <row r="104" spans="1:19">
      <c r="A104" s="116"/>
      <c r="B104" s="300">
        <v>2011</v>
      </c>
      <c r="C104" s="302">
        <v>0</v>
      </c>
      <c r="D104" s="302"/>
      <c r="E104" s="302"/>
      <c r="F104" s="302"/>
      <c r="G104" s="302"/>
      <c r="H104" s="304">
        <v>120</v>
      </c>
      <c r="I104" s="304"/>
      <c r="J104" s="302"/>
      <c r="K104" s="302"/>
      <c r="L104" s="302"/>
      <c r="M104" s="302"/>
      <c r="N104" s="302"/>
      <c r="O104" s="302"/>
      <c r="P104" s="303">
        <f>+C104+D104-E104+F104+G104+H104-I104-J104-K104-L104-O104+M104-N104</f>
        <v>120</v>
      </c>
      <c r="R104" s="6" t="s">
        <v>411</v>
      </c>
      <c r="S104" s="6">
        <v>800</v>
      </c>
    </row>
    <row r="105" spans="1:19">
      <c r="A105" s="116"/>
      <c r="B105" s="300">
        <v>2012</v>
      </c>
      <c r="C105" s="302">
        <v>0</v>
      </c>
      <c r="D105" s="302"/>
      <c r="E105" s="302"/>
      <c r="F105" s="302"/>
      <c r="G105" s="302"/>
      <c r="H105" s="304"/>
      <c r="I105" s="302"/>
      <c r="J105" s="302"/>
      <c r="K105" s="302"/>
      <c r="L105" s="302"/>
      <c r="M105" s="302"/>
      <c r="N105" s="302"/>
      <c r="O105" s="302"/>
      <c r="P105" s="305">
        <f>+C105+D105-E105+F105+G105+H105-I105-J105-K105-L105-O105+M105-N105</f>
        <v>0</v>
      </c>
      <c r="R105" s="6" t="s">
        <v>412</v>
      </c>
      <c r="S105" s="6">
        <v>1480</v>
      </c>
    </row>
    <row r="106" spans="1:19">
      <c r="A106" s="116"/>
      <c r="B106" s="300">
        <v>2013</v>
      </c>
      <c r="C106" s="304">
        <v>0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5">
        <f>+C106+D106-E106+F106+G106+H106-I106-J106-K106-L106-O106+M106-N106</f>
        <v>0</v>
      </c>
      <c r="S106" s="6">
        <f>SUM(S103:S105)</f>
        <v>3080</v>
      </c>
    </row>
    <row r="107" spans="1:19">
      <c r="A107" s="116"/>
      <c r="B107" s="306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7"/>
      <c r="O107" s="307"/>
      <c r="P107" s="308"/>
    </row>
    <row r="108" spans="1:19" ht="15">
      <c r="A108" s="129"/>
      <c r="B108" s="117" t="s">
        <v>356</v>
      </c>
      <c r="C108" s="282">
        <f>SUM(C102:C107)</f>
        <v>330</v>
      </c>
      <c r="D108" s="282">
        <f>SUM(D102:D103)</f>
        <v>0</v>
      </c>
      <c r="E108" s="282">
        <f>SUM(E102:E103)</f>
        <v>0</v>
      </c>
      <c r="F108" s="282">
        <f>SUM(F102:F103)</f>
        <v>0</v>
      </c>
      <c r="G108" s="282">
        <f>SUM(G102:G103)</f>
        <v>0</v>
      </c>
      <c r="H108" s="282">
        <f>SUM(H103:H107)</f>
        <v>120</v>
      </c>
      <c r="I108" s="282">
        <f>SUM(I102:I107)</f>
        <v>0</v>
      </c>
      <c r="J108" s="282">
        <f>SUM(J104)</f>
        <v>0</v>
      </c>
      <c r="K108" s="282"/>
      <c r="L108" s="282">
        <f>SUM(L102:L103)</f>
        <v>0</v>
      </c>
      <c r="M108" s="282">
        <f>SUM(M103:M104)</f>
        <v>0</v>
      </c>
      <c r="N108" s="282"/>
      <c r="O108" s="282">
        <f>SUM(O103:O104)</f>
        <v>0</v>
      </c>
      <c r="P108" s="283">
        <f>SUM(P102:P107)</f>
        <v>450</v>
      </c>
    </row>
    <row r="109" spans="1:19" ht="15">
      <c r="A109" s="116"/>
      <c r="B109" s="155" t="s">
        <v>389</v>
      </c>
      <c r="C109" s="156"/>
      <c r="D109" s="289"/>
      <c r="E109" s="290"/>
      <c r="F109" s="284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289"/>
      <c r="E110" s="290"/>
      <c r="F110" s="284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289"/>
      <c r="E111" s="290"/>
      <c r="F111" s="284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72">
        <v>2000</v>
      </c>
      <c r="C112" s="310">
        <v>0</v>
      </c>
      <c r="D112" s="289"/>
      <c r="E112" s="290"/>
      <c r="F112" s="284"/>
      <c r="G112" s="311"/>
      <c r="H112" s="311"/>
      <c r="I112" s="311"/>
      <c r="J112" s="311"/>
      <c r="K112" s="311"/>
      <c r="L112" s="311"/>
      <c r="M112" s="311"/>
      <c r="N112" s="311"/>
      <c r="O112" s="311"/>
      <c r="P112" s="312">
        <f t="shared" ref="P112:P128" si="6">+C112+D112-E112+F112+G112+H112-I112-J112-K112-L112-O112+M112-N112</f>
        <v>0</v>
      </c>
      <c r="R112" s="44">
        <f>C112*0.8</f>
        <v>0</v>
      </c>
      <c r="S112" s="206">
        <f>C112-R112</f>
        <v>0</v>
      </c>
    </row>
    <row r="113" spans="1:19" ht="15">
      <c r="A113" s="116"/>
      <c r="B113" s="272">
        <v>2001</v>
      </c>
      <c r="C113" s="310">
        <v>-0.40000000000000568</v>
      </c>
      <c r="D113" s="289"/>
      <c r="E113" s="290"/>
      <c r="F113" s="284"/>
      <c r="G113" s="311"/>
      <c r="H113" s="311"/>
      <c r="I113" s="311"/>
      <c r="J113" s="311"/>
      <c r="K113" s="311"/>
      <c r="L113" s="311"/>
      <c r="M113" s="311"/>
      <c r="N113" s="311"/>
      <c r="O113" s="311"/>
      <c r="P113" s="312">
        <f t="shared" si="6"/>
        <v>-0.40000000000000568</v>
      </c>
      <c r="R113" s="44">
        <f t="shared" ref="R113:R126" si="7">C113*0.8</f>
        <v>-0.32000000000000456</v>
      </c>
      <c r="S113" s="206">
        <f t="shared" ref="S113:S127" si="8">C113-R113</f>
        <v>-8.0000000000001126E-2</v>
      </c>
    </row>
    <row r="114" spans="1:19" ht="15">
      <c r="A114" s="116"/>
      <c r="B114" s="272">
        <v>2002</v>
      </c>
      <c r="C114" s="310">
        <v>0.29999999999998295</v>
      </c>
      <c r="D114" s="289"/>
      <c r="E114" s="290"/>
      <c r="F114" s="284"/>
      <c r="G114" s="311"/>
      <c r="H114" s="311"/>
      <c r="I114" s="311"/>
      <c r="J114" s="311"/>
      <c r="K114" s="311"/>
      <c r="L114" s="311"/>
      <c r="M114" s="311"/>
      <c r="N114" s="311"/>
      <c r="O114" s="311"/>
      <c r="P114" s="312">
        <f t="shared" si="6"/>
        <v>0.29999999999998295</v>
      </c>
      <c r="R114" s="44">
        <f t="shared" si="7"/>
        <v>0.23999999999998636</v>
      </c>
      <c r="S114" s="206">
        <f t="shared" si="8"/>
        <v>5.9999999999996584E-2</v>
      </c>
    </row>
    <row r="115" spans="1:19" ht="15">
      <c r="A115" s="116"/>
      <c r="B115" s="272">
        <v>2003</v>
      </c>
      <c r="C115" s="310">
        <v>106</v>
      </c>
      <c r="D115" s="289"/>
      <c r="E115" s="290"/>
      <c r="F115" s="284"/>
      <c r="G115" s="311"/>
      <c r="H115" s="311"/>
      <c r="I115" s="311"/>
      <c r="J115" s="311">
        <v>106</v>
      </c>
      <c r="K115" s="311"/>
      <c r="L115" s="311"/>
      <c r="M115" s="311"/>
      <c r="N115" s="311"/>
      <c r="O115" s="311"/>
      <c r="P115" s="312">
        <f t="shared" si="6"/>
        <v>0</v>
      </c>
      <c r="R115" s="44">
        <f t="shared" si="7"/>
        <v>84.800000000000011</v>
      </c>
      <c r="S115" s="206">
        <f t="shared" si="8"/>
        <v>21.199999999999989</v>
      </c>
    </row>
    <row r="116" spans="1:19" ht="15">
      <c r="A116" s="116"/>
      <c r="B116" s="272">
        <v>2004</v>
      </c>
      <c r="C116" s="310">
        <v>380</v>
      </c>
      <c r="D116" s="289"/>
      <c r="E116" s="290"/>
      <c r="F116" s="284"/>
      <c r="G116" s="311"/>
      <c r="H116" s="311"/>
      <c r="I116" s="311"/>
      <c r="J116" s="311">
        <v>163</v>
      </c>
      <c r="K116" s="311"/>
      <c r="L116" s="311"/>
      <c r="M116" s="311"/>
      <c r="N116" s="311"/>
      <c r="O116" s="311"/>
      <c r="P116" s="312">
        <f t="shared" si="6"/>
        <v>217</v>
      </c>
      <c r="R116" s="44">
        <f t="shared" si="7"/>
        <v>304</v>
      </c>
      <c r="S116" s="206">
        <f t="shared" si="8"/>
        <v>76</v>
      </c>
    </row>
    <row r="117" spans="1:19" ht="15">
      <c r="A117" s="116"/>
      <c r="B117" s="272">
        <v>2005</v>
      </c>
      <c r="C117" s="310">
        <v>572</v>
      </c>
      <c r="D117" s="289"/>
      <c r="E117" s="290"/>
      <c r="F117" s="284"/>
      <c r="G117" s="310"/>
      <c r="H117" s="310"/>
      <c r="I117" s="310"/>
      <c r="J117" s="310">
        <v>114</v>
      </c>
      <c r="K117" s="310"/>
      <c r="L117" s="310"/>
      <c r="M117" s="310"/>
      <c r="N117" s="310"/>
      <c r="O117" s="310"/>
      <c r="P117" s="313">
        <f t="shared" si="6"/>
        <v>458</v>
      </c>
      <c r="R117" s="44">
        <f t="shared" si="7"/>
        <v>457.6</v>
      </c>
      <c r="S117" s="206">
        <f t="shared" si="8"/>
        <v>114.39999999999998</v>
      </c>
    </row>
    <row r="118" spans="1:19" ht="15">
      <c r="A118" s="116"/>
      <c r="B118" s="272">
        <v>2006</v>
      </c>
      <c r="C118" s="310">
        <v>1041</v>
      </c>
      <c r="D118" s="289"/>
      <c r="E118" s="290"/>
      <c r="F118" s="284"/>
      <c r="G118" s="310"/>
      <c r="H118" s="310"/>
      <c r="I118" s="310"/>
      <c r="J118" s="310">
        <v>300</v>
      </c>
      <c r="K118" s="310"/>
      <c r="L118" s="310"/>
      <c r="M118" s="310"/>
      <c r="N118" s="310"/>
      <c r="O118" s="310"/>
      <c r="P118" s="313">
        <f t="shared" si="6"/>
        <v>741</v>
      </c>
      <c r="R118" s="44">
        <f t="shared" si="7"/>
        <v>832.80000000000007</v>
      </c>
      <c r="S118" s="206">
        <f t="shared" si="8"/>
        <v>208.19999999999993</v>
      </c>
    </row>
    <row r="119" spans="1:19" ht="15">
      <c r="A119" s="116"/>
      <c r="B119" s="272">
        <v>2007</v>
      </c>
      <c r="C119" s="310">
        <v>0</v>
      </c>
      <c r="D119" s="289"/>
      <c r="E119" s="290"/>
      <c r="F119" s="284"/>
      <c r="G119" s="310"/>
      <c r="H119" s="310"/>
      <c r="I119" s="310"/>
      <c r="J119" s="310"/>
      <c r="K119" s="310"/>
      <c r="L119" s="310"/>
      <c r="M119" s="310"/>
      <c r="N119" s="310"/>
      <c r="O119" s="310"/>
      <c r="P119" s="313">
        <f t="shared" si="6"/>
        <v>0</v>
      </c>
      <c r="R119" s="44">
        <f t="shared" si="7"/>
        <v>0</v>
      </c>
      <c r="S119" s="206">
        <f t="shared" si="8"/>
        <v>0</v>
      </c>
    </row>
    <row r="120" spans="1:19" ht="15">
      <c r="A120" s="116"/>
      <c r="B120" s="272">
        <v>2008</v>
      </c>
      <c r="C120" s="310">
        <v>1691</v>
      </c>
      <c r="D120" s="289"/>
      <c r="E120" s="290"/>
      <c r="F120" s="284"/>
      <c r="G120" s="310"/>
      <c r="H120" s="310"/>
      <c r="I120" s="310"/>
      <c r="J120" s="310">
        <v>338</v>
      </c>
      <c r="K120" s="310"/>
      <c r="L120" s="310"/>
      <c r="M120" s="310"/>
      <c r="N120" s="310"/>
      <c r="O120" s="310"/>
      <c r="P120" s="313">
        <f t="shared" si="6"/>
        <v>1353</v>
      </c>
      <c r="R120" s="44">
        <f t="shared" si="7"/>
        <v>1352.8000000000002</v>
      </c>
      <c r="S120" s="206">
        <f t="shared" si="8"/>
        <v>338.19999999999982</v>
      </c>
    </row>
    <row r="121" spans="1:19" ht="15">
      <c r="A121" s="116"/>
      <c r="B121" s="272">
        <v>2009</v>
      </c>
      <c r="C121" s="310">
        <v>1272</v>
      </c>
      <c r="D121" s="289"/>
      <c r="E121" s="290"/>
      <c r="F121" s="284"/>
      <c r="G121" s="310"/>
      <c r="H121" s="311"/>
      <c r="I121" s="310"/>
      <c r="J121" s="310">
        <v>254</v>
      </c>
      <c r="K121" s="310"/>
      <c r="L121" s="310"/>
      <c r="M121" s="310"/>
      <c r="N121" s="310"/>
      <c r="O121" s="310"/>
      <c r="P121" s="313">
        <f t="shared" si="6"/>
        <v>1018</v>
      </c>
      <c r="R121" s="44">
        <f t="shared" si="7"/>
        <v>1017.6</v>
      </c>
      <c r="S121" s="206">
        <f t="shared" si="8"/>
        <v>254.39999999999998</v>
      </c>
    </row>
    <row r="122" spans="1:19" ht="15">
      <c r="A122" s="116"/>
      <c r="B122" s="272">
        <v>2010</v>
      </c>
      <c r="C122" s="310">
        <v>624</v>
      </c>
      <c r="D122" s="289"/>
      <c r="E122" s="290"/>
      <c r="F122" s="284"/>
      <c r="G122" s="310"/>
      <c r="H122" s="311">
        <f>244+109</f>
        <v>353</v>
      </c>
      <c r="I122" s="310"/>
      <c r="J122" s="310">
        <v>125</v>
      </c>
      <c r="K122" s="310"/>
      <c r="L122" s="310"/>
      <c r="M122" s="310"/>
      <c r="N122" s="310"/>
      <c r="O122" s="310"/>
      <c r="P122" s="313">
        <f t="shared" si="6"/>
        <v>852</v>
      </c>
      <c r="Q122" s="206"/>
      <c r="R122" s="44">
        <f t="shared" si="7"/>
        <v>499.20000000000005</v>
      </c>
      <c r="S122" s="206">
        <f t="shared" si="8"/>
        <v>124.79999999999995</v>
      </c>
    </row>
    <row r="123" spans="1:19" ht="15">
      <c r="A123" s="116"/>
      <c r="B123" s="272">
        <v>2011</v>
      </c>
      <c r="C123" s="310">
        <v>0</v>
      </c>
      <c r="D123" s="289"/>
      <c r="E123" s="290"/>
      <c r="F123" s="284"/>
      <c r="G123" s="310"/>
      <c r="H123" s="310">
        <f>420+816</f>
        <v>1236</v>
      </c>
      <c r="I123" s="310"/>
      <c r="J123" s="310"/>
      <c r="K123" s="310"/>
      <c r="L123" s="310"/>
      <c r="M123" s="310"/>
      <c r="N123" s="310"/>
      <c r="O123" s="310"/>
      <c r="P123" s="313">
        <f t="shared" si="6"/>
        <v>1236</v>
      </c>
      <c r="R123" s="44">
        <f t="shared" si="7"/>
        <v>0</v>
      </c>
      <c r="S123" s="206">
        <f t="shared" si="8"/>
        <v>0</v>
      </c>
    </row>
    <row r="124" spans="1:19" ht="15">
      <c r="A124" s="116"/>
      <c r="B124" s="272">
        <v>2012</v>
      </c>
      <c r="C124" s="310">
        <v>0</v>
      </c>
      <c r="D124" s="289"/>
      <c r="E124" s="290"/>
      <c r="F124" s="284"/>
      <c r="G124" s="310"/>
      <c r="H124" s="310"/>
      <c r="I124" s="310"/>
      <c r="J124" s="310"/>
      <c r="K124" s="310"/>
      <c r="L124" s="310"/>
      <c r="M124" s="310"/>
      <c r="N124" s="310"/>
      <c r="O124" s="310"/>
      <c r="P124" s="313">
        <f t="shared" si="6"/>
        <v>0</v>
      </c>
      <c r="R124" s="44">
        <f t="shared" si="7"/>
        <v>0</v>
      </c>
      <c r="S124" s="206">
        <f t="shared" si="8"/>
        <v>0</v>
      </c>
    </row>
    <row r="125" spans="1:19" ht="15">
      <c r="A125" s="116"/>
      <c r="B125" s="272">
        <v>2013</v>
      </c>
      <c r="C125" s="310">
        <v>0</v>
      </c>
      <c r="D125" s="289"/>
      <c r="E125" s="290"/>
      <c r="F125" s="284"/>
      <c r="G125" s="310"/>
      <c r="H125" s="310"/>
      <c r="I125" s="310"/>
      <c r="J125" s="310"/>
      <c r="K125" s="310"/>
      <c r="L125" s="310"/>
      <c r="M125" s="310"/>
      <c r="N125" s="310"/>
      <c r="O125" s="310"/>
      <c r="P125" s="313">
        <f t="shared" si="6"/>
        <v>0</v>
      </c>
      <c r="R125" s="44">
        <f t="shared" si="7"/>
        <v>0</v>
      </c>
      <c r="S125" s="206">
        <f t="shared" si="8"/>
        <v>0</v>
      </c>
    </row>
    <row r="126" spans="1:19">
      <c r="A126" s="116"/>
      <c r="B126" s="272">
        <v>2014</v>
      </c>
      <c r="C126" s="310">
        <v>0</v>
      </c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3">
        <f t="shared" si="6"/>
        <v>0</v>
      </c>
      <c r="Q126" s="145"/>
      <c r="R126" s="44">
        <f t="shared" si="7"/>
        <v>0</v>
      </c>
      <c r="S126" s="206">
        <f t="shared" si="8"/>
        <v>0</v>
      </c>
    </row>
    <row r="127" spans="1:19">
      <c r="A127" s="116"/>
      <c r="B127" s="309"/>
      <c r="C127" s="310">
        <v>0</v>
      </c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3">
        <f t="shared" si="6"/>
        <v>0</v>
      </c>
      <c r="Q127" s="145"/>
      <c r="R127" s="44">
        <f>C127*0.8</f>
        <v>0</v>
      </c>
      <c r="S127" s="206">
        <f t="shared" si="8"/>
        <v>0</v>
      </c>
    </row>
    <row r="128" spans="1:19">
      <c r="A128" s="243"/>
      <c r="B128" s="309"/>
      <c r="C128" s="310">
        <v>0</v>
      </c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3">
        <f t="shared" si="6"/>
        <v>0</v>
      </c>
      <c r="Q128" s="145"/>
      <c r="R128" s="44">
        <f>SUM(R112:R127)</f>
        <v>4548.72</v>
      </c>
      <c r="S128" s="44">
        <f>SUM(S112:S127)</f>
        <v>1137.1799999999996</v>
      </c>
    </row>
    <row r="129" spans="1:19">
      <c r="A129" s="116"/>
      <c r="B129" s="314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6"/>
      <c r="Q129" s="145"/>
      <c r="R129" s="44"/>
      <c r="S129" s="206"/>
    </row>
    <row r="130" spans="1:19" ht="15.75" thickBot="1">
      <c r="A130" s="129"/>
      <c r="B130" s="130" t="s">
        <v>356</v>
      </c>
      <c r="C130" s="282">
        <f>SUM(C112:C129)</f>
        <v>5685.9</v>
      </c>
      <c r="D130" s="282">
        <f>SUM(D112:D123)</f>
        <v>0</v>
      </c>
      <c r="E130" s="282">
        <f>SUM(E112:E123)</f>
        <v>0</v>
      </c>
      <c r="F130" s="282">
        <f>SUM(F112:F123)</f>
        <v>0</v>
      </c>
      <c r="G130" s="282">
        <f>SUM(G112:G123)</f>
        <v>0</v>
      </c>
      <c r="H130" s="282">
        <f>SUM(H112:H129)</f>
        <v>1589</v>
      </c>
      <c r="I130" s="282">
        <f>SUM(I112:I129)</f>
        <v>0</v>
      </c>
      <c r="J130" s="282">
        <f>SUM(J111:J123)</f>
        <v>1400</v>
      </c>
      <c r="K130" s="282">
        <f>SUM(K112:K123)</f>
        <v>0</v>
      </c>
      <c r="L130" s="282">
        <f>SUM(L112:L123)</f>
        <v>0</v>
      </c>
      <c r="M130" s="282">
        <f>SUM(M116:M123)</f>
        <v>0</v>
      </c>
      <c r="N130" s="282"/>
      <c r="O130" s="282">
        <f>SUM(O112:O123)</f>
        <v>0</v>
      </c>
      <c r="P130" s="291">
        <f>SUM(P112:P129)</f>
        <v>5874.9</v>
      </c>
      <c r="R130" s="206">
        <f>P130-C130</f>
        <v>189</v>
      </c>
    </row>
    <row r="131" spans="1:19" ht="16.5" thickTop="1" thickBot="1">
      <c r="A131" s="147"/>
      <c r="B131" s="148" t="s">
        <v>399</v>
      </c>
      <c r="C131" s="317">
        <f t="shared" ref="C131:M131" si="9">+C14+C24+C35+C53+C70+C79+C88+C98+C108+C130</f>
        <v>12690.9</v>
      </c>
      <c r="D131" s="317">
        <f t="shared" si="9"/>
        <v>0</v>
      </c>
      <c r="E131" s="317">
        <f t="shared" si="9"/>
        <v>0</v>
      </c>
      <c r="F131" s="317">
        <f t="shared" si="9"/>
        <v>0</v>
      </c>
      <c r="G131" s="317">
        <f t="shared" si="9"/>
        <v>4412</v>
      </c>
      <c r="H131" s="317">
        <f t="shared" si="9"/>
        <v>6141</v>
      </c>
      <c r="I131" s="317">
        <f t="shared" si="9"/>
        <v>6141</v>
      </c>
      <c r="J131" s="317">
        <f t="shared" si="9"/>
        <v>3308</v>
      </c>
      <c r="K131" s="317">
        <f t="shared" si="9"/>
        <v>0</v>
      </c>
      <c r="L131" s="317">
        <f t="shared" si="9"/>
        <v>0</v>
      </c>
      <c r="M131" s="317">
        <f t="shared" si="9"/>
        <v>0</v>
      </c>
      <c r="N131" s="317"/>
      <c r="O131" s="317">
        <f>+O14+O24+O35+O53+O70+O79+O88+O98+O108+O130</f>
        <v>220</v>
      </c>
      <c r="P131" s="318">
        <f>+P14+P24+P35+P53+P70+P79+P88+P98+P108+P130</f>
        <v>13574.9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6" fitToHeight="2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111111111111111111111162"/>
  <dimension ref="A1:S161"/>
  <sheetViews>
    <sheetView showGridLines="0" view="pageBreakPreview" topLeftCell="A3" zoomScaleNormal="85" zoomScaleSheetLayoutView="100" workbookViewId="0">
      <pane xSplit="3" ySplit="3" topLeftCell="D54" activePane="bottomRight" state="frozen"/>
      <selection activeCell="P94" sqref="P94"/>
      <selection pane="topRight" activeCell="P94" sqref="P94"/>
      <selection pane="bottomLeft" activeCell="P94" sqref="P94"/>
      <selection pane="bottomRight" activeCell="B64" sqref="B64:B68"/>
    </sheetView>
  </sheetViews>
  <sheetFormatPr baseColWidth="10" defaultRowHeight="12.75"/>
  <cols>
    <col min="1" max="1" width="14.85546875" style="6" customWidth="1"/>
    <col min="2" max="2" width="18.140625" style="6" customWidth="1"/>
    <col min="3" max="3" width="12.85546875" style="6" customWidth="1"/>
    <col min="4" max="4" width="10.140625" style="6" customWidth="1"/>
    <col min="5" max="5" width="11.7109375" style="6" customWidth="1"/>
    <col min="6" max="6" width="13.42578125" style="6" bestFit="1" customWidth="1"/>
    <col min="7" max="7" width="14.85546875" style="6" customWidth="1"/>
    <col min="8" max="8" width="11.85546875" style="6" customWidth="1"/>
    <col min="9" max="9" width="11.85546875" style="6" bestFit="1" customWidth="1"/>
    <col min="10" max="10" width="13.1406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3" style="6" bestFit="1" customWidth="1"/>
    <col min="17" max="17" width="11.42578125" style="6" customWidth="1"/>
    <col min="18" max="19" width="11.5703125" style="6" bestFit="1" customWidth="1"/>
    <col min="20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429</v>
      </c>
      <c r="F3" s="95"/>
      <c r="G3" s="93" t="s">
        <v>430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272">
        <v>2011</v>
      </c>
      <c r="C9" s="160">
        <v>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272">
        <v>2012</v>
      </c>
      <c r="C10" s="160">
        <v>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272">
        <v>2013</v>
      </c>
      <c r="C11" s="160">
        <v>2096</v>
      </c>
      <c r="D11" s="160"/>
      <c r="E11" s="160"/>
      <c r="F11" s="160"/>
      <c r="G11" s="160"/>
      <c r="H11" s="160"/>
      <c r="I11" s="160">
        <v>1750</v>
      </c>
      <c r="J11" s="160"/>
      <c r="K11" s="160"/>
      <c r="L11" s="160"/>
      <c r="M11" s="160"/>
      <c r="N11" s="160"/>
      <c r="O11" s="160"/>
      <c r="P11" s="161">
        <f>+C11+D11-E11+F11+G11+H11-I11-J11-K11-L11-O11+M11-N11</f>
        <v>346</v>
      </c>
    </row>
    <row r="12" spans="1:19">
      <c r="A12" s="116"/>
      <c r="B12" s="272">
        <v>2014</v>
      </c>
      <c r="C12" s="160">
        <v>0</v>
      </c>
      <c r="D12" s="160"/>
      <c r="E12" s="160"/>
      <c r="F12" s="160"/>
      <c r="G12" s="160">
        <v>1940</v>
      </c>
      <c r="H12" s="160"/>
      <c r="I12" s="160"/>
      <c r="J12" s="160"/>
      <c r="K12" s="160"/>
      <c r="L12" s="160"/>
      <c r="M12" s="160"/>
      <c r="N12" s="160"/>
      <c r="O12" s="160">
        <v>97</v>
      </c>
      <c r="P12" s="161">
        <f>+C12+D12-E12+F12+G12+H12-I12-J12-K12-L12-O12+M12-N12</f>
        <v>1843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319">
        <f>SUM(C9:C13)</f>
        <v>2096</v>
      </c>
      <c r="D14" s="319">
        <f t="shared" ref="D14:J14" si="0">SUM(D9:D10)</f>
        <v>0</v>
      </c>
      <c r="E14" s="319">
        <f t="shared" si="0"/>
        <v>0</v>
      </c>
      <c r="F14" s="319">
        <f t="shared" si="0"/>
        <v>0</v>
      </c>
      <c r="G14" s="319">
        <f>SUM(G9:G13)</f>
        <v>1940</v>
      </c>
      <c r="H14" s="319">
        <f t="shared" si="0"/>
        <v>0</v>
      </c>
      <c r="I14" s="319">
        <f>SUM(I9:I13)</f>
        <v>1750</v>
      </c>
      <c r="J14" s="319">
        <f t="shared" si="0"/>
        <v>0</v>
      </c>
      <c r="K14" s="319">
        <f>SUM(K10)</f>
        <v>0</v>
      </c>
      <c r="L14" s="319">
        <f>SUM(L9:L10)</f>
        <v>0</v>
      </c>
      <c r="M14" s="319">
        <f>SUM(M10)</f>
        <v>0</v>
      </c>
      <c r="N14" s="319"/>
      <c r="O14" s="319">
        <f>SUM(O9:O13)</f>
        <v>97</v>
      </c>
      <c r="P14" s="320">
        <f>SUM(P9:P13)</f>
        <v>2189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7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7">
      <c r="A18" s="116"/>
      <c r="B18" s="272">
        <v>2010</v>
      </c>
      <c r="C18" s="160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7">
      <c r="A19" s="116"/>
      <c r="B19" s="272">
        <v>2011</v>
      </c>
      <c r="C19" s="160"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>
        <f>+C19+D19-E19+F19+G19+H19-I19-J19-K19-L19-O19+M19-N19</f>
        <v>0</v>
      </c>
    </row>
    <row r="20" spans="1:17">
      <c r="A20" s="116"/>
      <c r="B20" s="272">
        <v>2012</v>
      </c>
      <c r="C20" s="160">
        <v>452</v>
      </c>
      <c r="D20" s="160"/>
      <c r="E20" s="160"/>
      <c r="F20" s="160"/>
      <c r="G20" s="160"/>
      <c r="H20" s="160"/>
      <c r="I20" s="160">
        <v>452</v>
      </c>
      <c r="J20" s="160"/>
      <c r="K20" s="160"/>
      <c r="L20" s="160"/>
      <c r="M20" s="160"/>
      <c r="N20" s="160"/>
      <c r="O20" s="160"/>
      <c r="P20" s="161">
        <f>+C20+D20-E20+F20+G20+H20-I20-J20-K20-L20-O20+M20-N20</f>
        <v>0</v>
      </c>
    </row>
    <row r="21" spans="1:17">
      <c r="A21" s="116"/>
      <c r="B21" s="272">
        <v>2013</v>
      </c>
      <c r="C21" s="160">
        <v>0</v>
      </c>
      <c r="D21" s="160"/>
      <c r="E21" s="160"/>
      <c r="F21" s="160"/>
      <c r="G21" s="160"/>
      <c r="H21" s="321">
        <v>350</v>
      </c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350</v>
      </c>
    </row>
    <row r="22" spans="1:17">
      <c r="A22" s="116"/>
      <c r="B22" s="272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7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7" ht="15">
      <c r="A24" s="129"/>
      <c r="B24" s="117" t="s">
        <v>356</v>
      </c>
      <c r="C24" s="322">
        <f>SUM(C18:C23)</f>
        <v>452</v>
      </c>
      <c r="D24" s="319">
        <f>SUM(D18:D19)</f>
        <v>0</v>
      </c>
      <c r="E24" s="319">
        <f>SUM(E20)</f>
        <v>0</v>
      </c>
      <c r="F24" s="319"/>
      <c r="G24" s="319">
        <f>SUM(G19:G21)</f>
        <v>0</v>
      </c>
      <c r="H24" s="319">
        <f>SUM(H19:H23)</f>
        <v>350</v>
      </c>
      <c r="I24" s="319">
        <f>SUM(I18:I23)</f>
        <v>452</v>
      </c>
      <c r="J24" s="319">
        <f>SUM(J18:J19)</f>
        <v>0</v>
      </c>
      <c r="K24" s="319"/>
      <c r="L24" s="319">
        <f>SUM(L18:L19)</f>
        <v>0</v>
      </c>
      <c r="M24" s="319">
        <f>SUM(M19)</f>
        <v>0</v>
      </c>
      <c r="N24" s="319"/>
      <c r="O24" s="319">
        <f>SUM(O18:O19)</f>
        <v>0</v>
      </c>
      <c r="P24" s="320">
        <f>SUM(P18:P23)</f>
        <v>350</v>
      </c>
    </row>
    <row r="25" spans="1:17" ht="15">
      <c r="A25" s="116"/>
      <c r="B25" s="167" t="s">
        <v>83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4"/>
    </row>
    <row r="26" spans="1:17" ht="15">
      <c r="A26" s="116"/>
      <c r="B26" s="170" t="s">
        <v>360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5"/>
    </row>
    <row r="27" spans="1:17" ht="15">
      <c r="A27" s="116" t="s">
        <v>361</v>
      </c>
      <c r="B27" s="170" t="s">
        <v>353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5"/>
    </row>
    <row r="28" spans="1:17" ht="15">
      <c r="A28" s="116"/>
      <c r="B28" s="272">
        <v>2010</v>
      </c>
      <c r="C28" s="322">
        <v>0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5">
        <f>+C28+D28-E28+F28+G28+H28-I28-J28-K28-L28-O28+M28-N28</f>
        <v>0</v>
      </c>
    </row>
    <row r="29" spans="1:17" ht="15">
      <c r="A29" s="116"/>
      <c r="B29" s="272">
        <v>2011</v>
      </c>
      <c r="C29" s="322">
        <v>0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5">
        <f>+C29+D29-E29+F29+G29+H29-I29-J29-K29-L29-O29+M29-N29</f>
        <v>0</v>
      </c>
      <c r="Q29" s="56"/>
    </row>
    <row r="30" spans="1:17" ht="15">
      <c r="A30" s="116"/>
      <c r="B30" s="272">
        <v>2012</v>
      </c>
      <c r="C30" s="322">
        <v>413</v>
      </c>
      <c r="D30" s="322"/>
      <c r="E30" s="322"/>
      <c r="F30" s="322"/>
      <c r="G30" s="322"/>
      <c r="H30" s="322"/>
      <c r="I30" s="322"/>
      <c r="J30" s="322">
        <v>300</v>
      </c>
      <c r="K30" s="322"/>
      <c r="L30" s="322"/>
      <c r="M30" s="322"/>
      <c r="N30" s="322"/>
      <c r="O30" s="322"/>
      <c r="P30" s="325">
        <f>+C30+D30-E30+F30+G30+H30-I30-J30-K30-L30-O30+M30-N30</f>
        <v>113</v>
      </c>
      <c r="Q30" s="56"/>
    </row>
    <row r="31" spans="1:17" ht="15">
      <c r="A31" s="116"/>
      <c r="B31" s="272">
        <v>2013</v>
      </c>
      <c r="C31" s="322">
        <v>0</v>
      </c>
      <c r="D31" s="322"/>
      <c r="E31" s="322"/>
      <c r="F31" s="322"/>
      <c r="G31" s="322"/>
      <c r="H31" s="322">
        <f>1400+200</f>
        <v>1600</v>
      </c>
      <c r="I31" s="322"/>
      <c r="J31" s="322">
        <v>1400</v>
      </c>
      <c r="K31" s="322"/>
      <c r="L31" s="322"/>
      <c r="M31" s="322"/>
      <c r="N31" s="322"/>
      <c r="O31" s="322"/>
      <c r="P31" s="325">
        <f>+C31+D31-E31+F31+G31+H31-I31-J31-K31-L31-O31+M31-N31</f>
        <v>200</v>
      </c>
      <c r="Q31" s="56"/>
    </row>
    <row r="32" spans="1:17" ht="15">
      <c r="A32" s="116"/>
      <c r="B32" s="172"/>
      <c r="C32" s="322">
        <v>0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5">
        <f>+C32+D32-E32+F32+G32+H32-I32-J32-K32-L32-O32+M32-N32</f>
        <v>0</v>
      </c>
      <c r="Q32" s="56"/>
    </row>
    <row r="33" spans="1:17" ht="15">
      <c r="A33" s="116"/>
      <c r="B33" s="17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5"/>
      <c r="Q33" s="56"/>
    </row>
    <row r="34" spans="1:17" ht="15">
      <c r="A34" s="116"/>
      <c r="B34" s="124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26"/>
      <c r="Q34" s="56"/>
    </row>
    <row r="35" spans="1:17" ht="15">
      <c r="A35" s="129"/>
      <c r="B35" s="117" t="s">
        <v>356</v>
      </c>
      <c r="C35" s="319">
        <f>SUM(C28:C34)</f>
        <v>413</v>
      </c>
      <c r="D35" s="319">
        <f>SUM(D28:D29)</f>
        <v>0</v>
      </c>
      <c r="E35" s="319">
        <f>SUM(E28:E29)</f>
        <v>0</v>
      </c>
      <c r="F35" s="319">
        <f>SUM(F29:F29)</f>
        <v>0</v>
      </c>
      <c r="G35" s="319">
        <f>SUM(G29:G29)</f>
        <v>0</v>
      </c>
      <c r="H35" s="319">
        <f>SUM(H28:H34)</f>
        <v>1600</v>
      </c>
      <c r="I35" s="319">
        <f>SUM(I28:I34)</f>
        <v>0</v>
      </c>
      <c r="J35" s="319">
        <f>SUM(J28:J34)</f>
        <v>1700</v>
      </c>
      <c r="K35" s="319"/>
      <c r="L35" s="319">
        <f>SUM(L28:L29)</f>
        <v>0</v>
      </c>
      <c r="M35" s="319"/>
      <c r="N35" s="319"/>
      <c r="O35" s="319">
        <f>SUM(O28:O29)</f>
        <v>0</v>
      </c>
      <c r="P35" s="320">
        <f>SUM(P28:P34)</f>
        <v>313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272">
        <v>2009</v>
      </c>
      <c r="C39" s="160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1">+C39+D39-E39+F39+G39+H39-I39-J39-K39-L39-O39+M39-N39</f>
        <v>0</v>
      </c>
    </row>
    <row r="40" spans="1:17">
      <c r="A40" s="116"/>
      <c r="B40" s="272">
        <v>2010</v>
      </c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272">
        <v>2011</v>
      </c>
      <c r="C41" s="160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272">
        <v>2012</v>
      </c>
      <c r="C42" s="160">
        <v>0</v>
      </c>
      <c r="D42" s="160"/>
      <c r="E42" s="160"/>
      <c r="F42" s="160"/>
      <c r="G42" s="160"/>
      <c r="H42" s="160">
        <v>252</v>
      </c>
      <c r="I42" s="160"/>
      <c r="J42" s="160">
        <v>200</v>
      </c>
      <c r="K42" s="160"/>
      <c r="L42" s="160"/>
      <c r="M42" s="160"/>
      <c r="N42" s="160"/>
      <c r="O42" s="160"/>
      <c r="P42" s="161">
        <f t="shared" si="1"/>
        <v>52</v>
      </c>
      <c r="Q42" s="56"/>
    </row>
    <row r="43" spans="1:17">
      <c r="A43" s="116"/>
      <c r="B43" s="272">
        <v>2013</v>
      </c>
      <c r="C43" s="160">
        <v>119</v>
      </c>
      <c r="D43" s="160"/>
      <c r="E43" s="160"/>
      <c r="F43" s="160"/>
      <c r="G43" s="160"/>
      <c r="H43" s="160"/>
      <c r="I43" s="160"/>
      <c r="J43" s="160">
        <v>119</v>
      </c>
      <c r="K43" s="160"/>
      <c r="L43" s="160"/>
      <c r="M43" s="160"/>
      <c r="N43" s="160"/>
      <c r="O43" s="160"/>
      <c r="P43" s="161">
        <f t="shared" si="1"/>
        <v>0</v>
      </c>
      <c r="Q43" s="56"/>
    </row>
    <row r="44" spans="1:17">
      <c r="A44" s="116"/>
      <c r="B44" s="272">
        <v>2014</v>
      </c>
      <c r="C44" s="160"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272">
        <v>2015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272">
        <v>2016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272">
        <v>2017</v>
      </c>
      <c r="C47" s="160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1"/>
        <v>0</v>
      </c>
    </row>
    <row r="48" spans="1:17">
      <c r="A48" s="116"/>
      <c r="B48" s="272">
        <v>2018</v>
      </c>
      <c r="C48" s="160"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1"/>
        <v>0</v>
      </c>
    </row>
    <row r="49" spans="1:17">
      <c r="A49" s="116"/>
      <c r="B49" s="272">
        <v>2019</v>
      </c>
      <c r="C49" s="160"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1"/>
        <v>0</v>
      </c>
    </row>
    <row r="50" spans="1:17">
      <c r="A50" s="116"/>
      <c r="B50" s="272">
        <v>2020</v>
      </c>
      <c r="C50" s="160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319">
        <f>SUM(C39:C52)</f>
        <v>119</v>
      </c>
      <c r="D53" s="319">
        <f>SUM(D39:D46)</f>
        <v>0</v>
      </c>
      <c r="E53" s="319">
        <f>SUM(E39:E46)</f>
        <v>0</v>
      </c>
      <c r="F53" s="319">
        <f>SUM(F39:F46)</f>
        <v>0</v>
      </c>
      <c r="G53" s="319">
        <f>SUM(G39:G46)</f>
        <v>0</v>
      </c>
      <c r="H53" s="319">
        <f>SUM(H39:H52)</f>
        <v>252</v>
      </c>
      <c r="I53" s="319">
        <f>SUM(I39:I52)</f>
        <v>0</v>
      </c>
      <c r="J53" s="319">
        <f>SUM(J39:J50)</f>
        <v>319</v>
      </c>
      <c r="K53" s="319">
        <f>SUM(K43:K46)</f>
        <v>0</v>
      </c>
      <c r="L53" s="319">
        <f>SUM(L45:L46)</f>
        <v>0</v>
      </c>
      <c r="M53" s="319"/>
      <c r="N53" s="319"/>
      <c r="O53" s="319">
        <f>SUM(O39:O46)</f>
        <v>0</v>
      </c>
      <c r="P53" s="320">
        <f>SUM(P39:P52)</f>
        <v>52</v>
      </c>
    </row>
    <row r="54" spans="1:17" ht="15">
      <c r="A54" s="116"/>
      <c r="B54" s="117" t="s">
        <v>372</v>
      </c>
      <c r="C54" s="322"/>
      <c r="D54" s="327"/>
      <c r="E54" s="328"/>
      <c r="F54" s="322"/>
      <c r="G54" s="322"/>
      <c r="H54" s="327"/>
      <c r="I54" s="328"/>
      <c r="J54" s="322"/>
      <c r="K54" s="322"/>
      <c r="L54" s="322"/>
      <c r="M54" s="322"/>
      <c r="N54" s="322"/>
      <c r="O54" s="322"/>
      <c r="P54" s="329"/>
    </row>
    <row r="55" spans="1:17" ht="15">
      <c r="A55" s="116"/>
      <c r="B55" s="117" t="s">
        <v>373</v>
      </c>
      <c r="C55" s="322"/>
      <c r="D55" s="327"/>
      <c r="E55" s="328"/>
      <c r="F55" s="322"/>
      <c r="G55" s="322"/>
      <c r="H55" s="327"/>
      <c r="I55" s="328"/>
      <c r="J55" s="322"/>
      <c r="K55" s="322"/>
      <c r="L55" s="322"/>
      <c r="M55" s="322"/>
      <c r="N55" s="322"/>
      <c r="O55" s="322"/>
      <c r="P55" s="329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82">
        <v>1998</v>
      </c>
      <c r="C57" s="183">
        <v>0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0</v>
      </c>
      <c r="Q57" s="56"/>
    </row>
    <row r="58" spans="1:17">
      <c r="A58" s="116"/>
      <c r="B58" s="131">
        <v>1999</v>
      </c>
      <c r="C58" s="176">
        <v>0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2"/>
        <v>0</v>
      </c>
      <c r="Q58" s="56"/>
    </row>
    <row r="59" spans="1:17">
      <c r="A59" s="116"/>
      <c r="B59" s="182">
        <v>2000</v>
      </c>
      <c r="C59" s="160">
        <v>8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8</v>
      </c>
      <c r="Q59" s="56"/>
    </row>
    <row r="60" spans="1:17">
      <c r="A60" s="116"/>
      <c r="B60" s="131">
        <v>2001</v>
      </c>
      <c r="C60" s="160">
        <v>1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1</v>
      </c>
      <c r="Q60" s="56"/>
    </row>
    <row r="61" spans="1:17">
      <c r="A61" s="116"/>
      <c r="B61" s="123">
        <v>2003</v>
      </c>
      <c r="C61" s="160">
        <v>5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5</v>
      </c>
      <c r="Q61" s="56"/>
    </row>
    <row r="62" spans="1:17">
      <c r="A62" s="116"/>
      <c r="B62" s="123">
        <v>2005</v>
      </c>
      <c r="C62" s="160">
        <v>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0</v>
      </c>
      <c r="Q62" s="56"/>
    </row>
    <row r="63" spans="1:17">
      <c r="A63" s="116"/>
      <c r="B63" s="123">
        <v>2006</v>
      </c>
      <c r="C63" s="160">
        <v>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0</v>
      </c>
    </row>
    <row r="64" spans="1:17">
      <c r="A64" s="116"/>
      <c r="B64" s="123">
        <v>2007</v>
      </c>
      <c r="C64" s="160">
        <v>20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2"/>
        <v>20</v>
      </c>
    </row>
    <row r="65" spans="1:18">
      <c r="A65" s="116"/>
      <c r="B65" s="123">
        <v>2008</v>
      </c>
      <c r="C65" s="160">
        <v>10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2"/>
        <v>10</v>
      </c>
    </row>
    <row r="66" spans="1:18">
      <c r="A66" s="116"/>
      <c r="B66" s="123">
        <v>2009</v>
      </c>
      <c r="C66" s="160">
        <v>15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2"/>
        <v>15</v>
      </c>
    </row>
    <row r="67" spans="1:18">
      <c r="A67" s="116"/>
      <c r="B67" s="123">
        <v>2010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>
        <v>2011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319">
        <f>SUM(C57:C69)</f>
        <v>59</v>
      </c>
      <c r="D70" s="319">
        <f t="shared" ref="D70:J70" si="3">SUM(D57:D63)</f>
        <v>0</v>
      </c>
      <c r="E70" s="319">
        <f t="shared" si="3"/>
        <v>0</v>
      </c>
      <c r="F70" s="319">
        <f t="shared" si="3"/>
        <v>0</v>
      </c>
      <c r="G70" s="319">
        <f t="shared" si="3"/>
        <v>0</v>
      </c>
      <c r="H70" s="319">
        <f>SUM(H57:H69)</f>
        <v>0</v>
      </c>
      <c r="I70" s="319">
        <f>SUM(I57:I69)</f>
        <v>0</v>
      </c>
      <c r="J70" s="319">
        <f t="shared" si="3"/>
        <v>0</v>
      </c>
      <c r="K70" s="319"/>
      <c r="L70" s="319">
        <f>SUM(L57:L63)</f>
        <v>0</v>
      </c>
      <c r="M70" s="319"/>
      <c r="N70" s="319"/>
      <c r="O70" s="319">
        <f>SUM(O57:O63)</f>
        <v>0</v>
      </c>
      <c r="P70" s="320">
        <f>SUM(P57:P69)</f>
        <v>59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272">
        <v>2011</v>
      </c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1">
        <f>+C74+D74-E74+F74+G74+H74-I74-J74-K74-L74-O74+M74-N74</f>
        <v>0</v>
      </c>
      <c r="Q74" s="56"/>
    </row>
    <row r="75" spans="1:18">
      <c r="A75" s="116"/>
      <c r="B75" s="272">
        <v>2012</v>
      </c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1">
        <f>+C75+D75-E75+F75+G75+H75-I75-J75-K75-L75-O75+M75-N75</f>
        <v>0</v>
      </c>
    </row>
    <row r="76" spans="1:18">
      <c r="A76" s="116"/>
      <c r="B76" s="272">
        <v>2013</v>
      </c>
      <c r="C76" s="330">
        <v>2096</v>
      </c>
      <c r="D76" s="330"/>
      <c r="E76" s="330"/>
      <c r="F76" s="330"/>
      <c r="G76" s="330"/>
      <c r="H76" s="330"/>
      <c r="I76" s="330">
        <v>1642</v>
      </c>
      <c r="J76" s="330"/>
      <c r="K76" s="330"/>
      <c r="L76" s="330"/>
      <c r="M76" s="330"/>
      <c r="N76" s="330"/>
      <c r="O76" s="330"/>
      <c r="P76" s="331">
        <f>+C76+D76-E76+F76+G76+H76-I76-J76-K76-L76-O76+M76-N76</f>
        <v>454</v>
      </c>
    </row>
    <row r="77" spans="1:18">
      <c r="A77" s="116"/>
      <c r="B77" s="272">
        <v>2014</v>
      </c>
      <c r="C77" s="330">
        <v>0</v>
      </c>
      <c r="D77" s="330"/>
      <c r="E77" s="330"/>
      <c r="F77" s="330"/>
      <c r="G77" s="330">
        <v>1940</v>
      </c>
      <c r="H77" s="330"/>
      <c r="I77" s="330"/>
      <c r="J77" s="330"/>
      <c r="K77" s="330"/>
      <c r="L77" s="330"/>
      <c r="M77" s="330"/>
      <c r="N77" s="330"/>
      <c r="O77" s="330">
        <v>97</v>
      </c>
      <c r="P77" s="331">
        <f>+C77+D77-E77+F77+G77+H77-I77-J77-K77-L77-O77+M77-N77</f>
        <v>1843</v>
      </c>
      <c r="R77" s="206">
        <f>I74-H94</f>
        <v>0</v>
      </c>
    </row>
    <row r="78" spans="1:18">
      <c r="A78" s="116"/>
      <c r="B78" s="332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4"/>
    </row>
    <row r="79" spans="1:18" ht="15">
      <c r="A79" s="129"/>
      <c r="B79" s="117" t="s">
        <v>356</v>
      </c>
      <c r="C79" s="322">
        <f>SUM(C74:C77)</f>
        <v>2096</v>
      </c>
      <c r="D79" s="319">
        <f t="shared" ref="D79:J79" si="4">SUM(D74:D75)</f>
        <v>0</v>
      </c>
      <c r="E79" s="319">
        <f t="shared" si="4"/>
        <v>0</v>
      </c>
      <c r="F79" s="319">
        <f t="shared" si="4"/>
        <v>0</v>
      </c>
      <c r="G79" s="319">
        <f>SUM(G74:G78)</f>
        <v>1940</v>
      </c>
      <c r="H79" s="319">
        <f>SUM(H74:H78)</f>
        <v>0</v>
      </c>
      <c r="I79" s="319">
        <f>SUM(I74:I78)</f>
        <v>1642</v>
      </c>
      <c r="J79" s="319">
        <f t="shared" si="4"/>
        <v>0</v>
      </c>
      <c r="K79" s="319"/>
      <c r="L79" s="319"/>
      <c r="M79" s="319">
        <f>SUM(M74:M75)</f>
        <v>0</v>
      </c>
      <c r="N79" s="319"/>
      <c r="O79" s="319">
        <f>SUM(O77:O78)</f>
        <v>97</v>
      </c>
      <c r="P79" s="320">
        <f>SUM(P74:P78)</f>
        <v>2297</v>
      </c>
    </row>
    <row r="80" spans="1:18" ht="15">
      <c r="A80" s="116"/>
      <c r="B80" s="167" t="s">
        <v>75</v>
      </c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4"/>
    </row>
    <row r="81" spans="1:17" ht="15">
      <c r="A81" s="116"/>
      <c r="B81" s="170" t="s">
        <v>357</v>
      </c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5"/>
    </row>
    <row r="82" spans="1:17" ht="15">
      <c r="A82" s="116" t="s">
        <v>375</v>
      </c>
      <c r="B82" s="170" t="s">
        <v>353</v>
      </c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5"/>
    </row>
    <row r="83" spans="1:17" ht="15">
      <c r="A83" s="116"/>
      <c r="B83" s="272">
        <v>2010</v>
      </c>
      <c r="C83" s="322">
        <v>0</v>
      </c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5">
        <f>+C83+D83-E83+F83+G83+H83-I83-J83-K83-L83-O83+M83-N83</f>
        <v>0</v>
      </c>
      <c r="Q83" s="56"/>
    </row>
    <row r="84" spans="1:17" ht="15">
      <c r="A84" s="116"/>
      <c r="B84" s="272">
        <v>2011</v>
      </c>
      <c r="C84" s="322">
        <v>0</v>
      </c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5">
        <f>+C84+D84-E84+F84+G84+H84-I84-J84-K84-L84-O84+M84-N84</f>
        <v>0</v>
      </c>
      <c r="Q84" s="56"/>
    </row>
    <row r="85" spans="1:17" ht="15">
      <c r="A85" s="116"/>
      <c r="B85" s="272">
        <v>2012</v>
      </c>
      <c r="C85" s="322">
        <v>1765</v>
      </c>
      <c r="D85" s="322"/>
      <c r="E85" s="322"/>
      <c r="F85" s="322"/>
      <c r="G85" s="322"/>
      <c r="H85" s="322"/>
      <c r="I85" s="322">
        <v>1765</v>
      </c>
      <c r="J85" s="322"/>
      <c r="K85" s="322"/>
      <c r="L85" s="322"/>
      <c r="M85" s="322"/>
      <c r="N85" s="322"/>
      <c r="O85" s="322"/>
      <c r="P85" s="325">
        <f>+C85+D85-E85+F85+G85+H85-I85-J85-K85-L85-O85+M85-N85</f>
        <v>0</v>
      </c>
      <c r="Q85" s="56"/>
    </row>
    <row r="86" spans="1:17" ht="15">
      <c r="A86" s="116"/>
      <c r="B86" s="272">
        <v>2013</v>
      </c>
      <c r="C86" s="322">
        <v>0</v>
      </c>
      <c r="D86" s="322"/>
      <c r="E86" s="322"/>
      <c r="F86" s="322"/>
      <c r="G86" s="322"/>
      <c r="H86" s="322">
        <v>1642</v>
      </c>
      <c r="I86" s="322"/>
      <c r="J86" s="322"/>
      <c r="K86" s="322"/>
      <c r="L86" s="322"/>
      <c r="M86" s="322"/>
      <c r="N86" s="322"/>
      <c r="O86" s="322"/>
      <c r="P86" s="325">
        <f>+C86+D86-E86+F86+G86+H86-I86-J86-K86-L86-O86+M86-N86</f>
        <v>1642</v>
      </c>
      <c r="Q86" s="56"/>
    </row>
    <row r="87" spans="1:17" ht="15">
      <c r="A87" s="116"/>
      <c r="B87" s="335"/>
      <c r="C87" s="319">
        <v>0</v>
      </c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26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322">
        <f>SUM(C83:C87)</f>
        <v>1765</v>
      </c>
      <c r="D88" s="319">
        <f t="shared" ref="D88:J88" si="5">SUM(D83:D84)</f>
        <v>0</v>
      </c>
      <c r="E88" s="319">
        <f t="shared" si="5"/>
        <v>0</v>
      </c>
      <c r="F88" s="319">
        <f t="shared" si="5"/>
        <v>0</v>
      </c>
      <c r="G88" s="319">
        <f t="shared" si="5"/>
        <v>0</v>
      </c>
      <c r="H88" s="319">
        <f>SUM(H84:H87)</f>
        <v>1642</v>
      </c>
      <c r="I88" s="319">
        <f>SUM(I83:I87)</f>
        <v>1765</v>
      </c>
      <c r="J88" s="319">
        <f t="shared" si="5"/>
        <v>0</v>
      </c>
      <c r="K88" s="319"/>
      <c r="L88" s="319">
        <f>SUM(L83:L84)</f>
        <v>0</v>
      </c>
      <c r="M88" s="319"/>
      <c r="N88" s="319"/>
      <c r="O88" s="319">
        <f>SUM(O83:O84)</f>
        <v>0</v>
      </c>
      <c r="P88" s="320">
        <f>SUM(P83:P87)</f>
        <v>1642</v>
      </c>
    </row>
    <row r="89" spans="1:17" ht="15">
      <c r="A89" s="116"/>
      <c r="B89" s="167" t="s">
        <v>70</v>
      </c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4"/>
    </row>
    <row r="90" spans="1:17" ht="15">
      <c r="A90" s="116"/>
      <c r="B90" s="170" t="s">
        <v>379</v>
      </c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5"/>
    </row>
    <row r="91" spans="1:17" ht="15">
      <c r="A91" s="116" t="s">
        <v>380</v>
      </c>
      <c r="B91" s="170" t="s">
        <v>353</v>
      </c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5"/>
    </row>
    <row r="92" spans="1:17" ht="15">
      <c r="A92" s="116"/>
      <c r="B92" s="272">
        <v>2009</v>
      </c>
      <c r="C92" s="322">
        <v>0</v>
      </c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5">
        <f>+C92+D92-E92+F92+G92+H92-I92-J92-K92-L92-O92+M92-N92</f>
        <v>0</v>
      </c>
    </row>
    <row r="93" spans="1:17" ht="15">
      <c r="A93" s="116"/>
      <c r="B93" s="272">
        <v>2010</v>
      </c>
      <c r="C93" s="322">
        <v>150</v>
      </c>
      <c r="D93" s="322"/>
      <c r="E93" s="322"/>
      <c r="F93" s="322"/>
      <c r="G93" s="322"/>
      <c r="H93" s="322"/>
      <c r="I93" s="322">
        <v>150</v>
      </c>
      <c r="J93" s="322"/>
      <c r="K93" s="322"/>
      <c r="L93" s="322"/>
      <c r="M93" s="322"/>
      <c r="N93" s="322"/>
      <c r="O93" s="322"/>
      <c r="P93" s="325">
        <f>+C93+D93-E93+F93+G93+H93-I93-J93-K93-L93-O93+M93-N93</f>
        <v>0</v>
      </c>
      <c r="Q93" s="56"/>
    </row>
    <row r="94" spans="1:17" ht="15">
      <c r="A94" s="116"/>
      <c r="B94" s="272">
        <v>2011</v>
      </c>
      <c r="C94" s="322">
        <v>100</v>
      </c>
      <c r="D94" s="322"/>
      <c r="E94" s="322"/>
      <c r="F94" s="322"/>
      <c r="G94" s="322"/>
      <c r="H94" s="322"/>
      <c r="I94" s="322">
        <v>100</v>
      </c>
      <c r="J94" s="322"/>
      <c r="K94" s="322"/>
      <c r="L94" s="322"/>
      <c r="M94" s="322"/>
      <c r="N94" s="322"/>
      <c r="O94" s="322"/>
      <c r="P94" s="325">
        <f>+C94+D94-E94+F94+G94+H94-I94-J94-K94-L94-O94+M94-N94</f>
        <v>0</v>
      </c>
    </row>
    <row r="95" spans="1:17" ht="15">
      <c r="A95" s="116"/>
      <c r="B95" s="272">
        <v>2012</v>
      </c>
      <c r="C95" s="322">
        <v>0</v>
      </c>
      <c r="D95" s="322"/>
      <c r="E95" s="322"/>
      <c r="F95" s="322"/>
      <c r="G95" s="322"/>
      <c r="H95" s="322">
        <v>365</v>
      </c>
      <c r="I95" s="322"/>
      <c r="J95" s="322"/>
      <c r="K95" s="322"/>
      <c r="L95" s="322"/>
      <c r="M95" s="322"/>
      <c r="N95" s="322"/>
      <c r="O95" s="322"/>
      <c r="P95" s="325">
        <f>+C95+D95-E95+F95+G95+H95-I95-J95-K95-L95-O95+M95-N95</f>
        <v>365</v>
      </c>
    </row>
    <row r="96" spans="1:17" ht="15">
      <c r="A96" s="116"/>
      <c r="B96" s="272">
        <v>2013</v>
      </c>
      <c r="C96" s="322">
        <v>0</v>
      </c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5">
        <f>+C96+D96-E96+F96+G96+H96-I96-J96-K96-L96-O96+M96-N96</f>
        <v>0</v>
      </c>
    </row>
    <row r="97" spans="1:19" ht="15">
      <c r="A97" s="116"/>
      <c r="B97" s="336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26"/>
    </row>
    <row r="98" spans="1:19" ht="15">
      <c r="A98" s="129"/>
      <c r="B98" s="117" t="s">
        <v>356</v>
      </c>
      <c r="C98" s="319">
        <f>SUM(C92:C97)</f>
        <v>250</v>
      </c>
      <c r="D98" s="319">
        <f>SUM(D93:D94)</f>
        <v>0</v>
      </c>
      <c r="E98" s="319">
        <f>SUM(E93:E94)</f>
        <v>0</v>
      </c>
      <c r="F98" s="319">
        <f>SUM(F93:F94)</f>
        <v>0</v>
      </c>
      <c r="G98" s="319">
        <f>SUM(G93:G94)</f>
        <v>0</v>
      </c>
      <c r="H98" s="319">
        <f>SUM(H92:H97)</f>
        <v>365</v>
      </c>
      <c r="I98" s="319">
        <f>SUM(I92:I97)</f>
        <v>250</v>
      </c>
      <c r="J98" s="319">
        <f>SUM(J92:J94)</f>
        <v>0</v>
      </c>
      <c r="K98" s="319"/>
      <c r="L98" s="319">
        <f>SUM(L92)</f>
        <v>0</v>
      </c>
      <c r="M98" s="319"/>
      <c r="N98" s="319"/>
      <c r="O98" s="319">
        <f>SUM(O92:O94)</f>
        <v>0</v>
      </c>
      <c r="P98" s="320">
        <f>SUM(P92:P97)</f>
        <v>365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272">
        <v>2009</v>
      </c>
      <c r="C102" s="337">
        <v>0</v>
      </c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8">
        <f>+C102+D102-E102+F102+G102+H102-I102-J102-K102-L102-O102+M102-N102</f>
        <v>0</v>
      </c>
      <c r="R102" s="6" t="s">
        <v>415</v>
      </c>
      <c r="S102" s="6">
        <v>1000</v>
      </c>
    </row>
    <row r="103" spans="1:19">
      <c r="A103" s="116"/>
      <c r="B103" s="272">
        <v>2010</v>
      </c>
      <c r="C103" s="339">
        <v>330</v>
      </c>
      <c r="D103" s="337"/>
      <c r="E103" s="337"/>
      <c r="F103" s="337"/>
      <c r="G103" s="337"/>
      <c r="H103" s="339"/>
      <c r="I103" s="340">
        <v>330</v>
      </c>
      <c r="J103" s="337"/>
      <c r="K103" s="337"/>
      <c r="L103" s="337"/>
      <c r="M103" s="337"/>
      <c r="N103" s="337"/>
      <c r="O103" s="337"/>
      <c r="P103" s="341">
        <f>+C103+D103-E103+F103+G103+H103-I103-J103-K103-L103-O103+M103-N103</f>
        <v>0</v>
      </c>
      <c r="R103" s="6" t="s">
        <v>410</v>
      </c>
      <c r="S103" s="6">
        <v>14</v>
      </c>
    </row>
    <row r="104" spans="1:19">
      <c r="A104" s="116"/>
      <c r="B104" s="272">
        <v>2011</v>
      </c>
      <c r="C104" s="339">
        <v>120</v>
      </c>
      <c r="D104" s="337"/>
      <c r="E104" s="337"/>
      <c r="F104" s="337"/>
      <c r="G104" s="337"/>
      <c r="H104" s="337"/>
      <c r="I104" s="339">
        <v>120</v>
      </c>
      <c r="J104" s="337"/>
      <c r="K104" s="337"/>
      <c r="L104" s="337"/>
      <c r="M104" s="337"/>
      <c r="N104" s="337"/>
      <c r="O104" s="337"/>
      <c r="P104" s="341">
        <f>+C104+D104-E104+F104+G104+H104-I104-J104-K104-L104-O104+M104-N104</f>
        <v>0</v>
      </c>
      <c r="R104" s="6" t="s">
        <v>411</v>
      </c>
      <c r="S104" s="6">
        <v>1735</v>
      </c>
    </row>
    <row r="105" spans="1:19">
      <c r="A105" s="116"/>
      <c r="B105" s="272">
        <v>2012</v>
      </c>
      <c r="C105" s="337">
        <v>0</v>
      </c>
      <c r="D105" s="337"/>
      <c r="E105" s="337"/>
      <c r="F105" s="337"/>
      <c r="G105" s="337"/>
      <c r="H105" s="339">
        <v>1400</v>
      </c>
      <c r="I105" s="337"/>
      <c r="J105" s="340">
        <v>700</v>
      </c>
      <c r="K105" s="337"/>
      <c r="L105" s="337"/>
      <c r="M105" s="337"/>
      <c r="N105" s="337"/>
      <c r="O105" s="337"/>
      <c r="P105" s="341">
        <f>+C105+D105-E105+F105+G105+H105-I105-J105-K105-L105-O105+M105-N105</f>
        <v>700</v>
      </c>
      <c r="R105" s="6" t="s">
        <v>412</v>
      </c>
      <c r="S105" s="6">
        <v>600</v>
      </c>
    </row>
    <row r="106" spans="1:19">
      <c r="A106" s="116"/>
      <c r="B106" s="272">
        <v>2013</v>
      </c>
      <c r="C106" s="339">
        <v>0</v>
      </c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41">
        <f>+C106+D106-E106+F106+G106+H106-I106-J106-K106-L106-O106+M106-N106</f>
        <v>0</v>
      </c>
      <c r="S106" s="6">
        <f>SUM(S102:S105)</f>
        <v>3349</v>
      </c>
    </row>
    <row r="107" spans="1:19">
      <c r="A107" s="116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4"/>
    </row>
    <row r="108" spans="1:19" ht="15">
      <c r="A108" s="129"/>
      <c r="B108" s="117" t="s">
        <v>356</v>
      </c>
      <c r="C108" s="319">
        <f>SUM(C102:C107)</f>
        <v>450</v>
      </c>
      <c r="D108" s="319">
        <f>SUM(D102:D103)</f>
        <v>0</v>
      </c>
      <c r="E108" s="319">
        <f>SUM(E102:E103)</f>
        <v>0</v>
      </c>
      <c r="F108" s="319">
        <f>SUM(F102:F103)</f>
        <v>0</v>
      </c>
      <c r="G108" s="319">
        <f>SUM(G102:G103)</f>
        <v>0</v>
      </c>
      <c r="H108" s="319">
        <f>SUM(H103:H107)</f>
        <v>1400</v>
      </c>
      <c r="I108" s="319">
        <f>SUM(I102:I107)</f>
        <v>450</v>
      </c>
      <c r="J108" s="319">
        <f>SUM(J104:J107)</f>
        <v>700</v>
      </c>
      <c r="K108" s="319"/>
      <c r="L108" s="319">
        <f>SUM(L102:L103)</f>
        <v>0</v>
      </c>
      <c r="M108" s="319">
        <f>SUM(M103:M104)</f>
        <v>0</v>
      </c>
      <c r="N108" s="319"/>
      <c r="O108" s="319">
        <f>SUM(O103:O104)</f>
        <v>0</v>
      </c>
      <c r="P108" s="320">
        <f>SUM(P102:P107)</f>
        <v>700</v>
      </c>
    </row>
    <row r="109" spans="1:19" ht="15">
      <c r="A109" s="116"/>
      <c r="B109" s="155" t="s">
        <v>389</v>
      </c>
      <c r="C109" s="156"/>
      <c r="D109" s="327"/>
      <c r="E109" s="328"/>
      <c r="F109" s="322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327"/>
      <c r="E110" s="328"/>
      <c r="F110" s="322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327"/>
      <c r="E111" s="328"/>
      <c r="F111" s="322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72">
        <v>2000</v>
      </c>
      <c r="C112" s="346">
        <v>0</v>
      </c>
      <c r="D112" s="327"/>
      <c r="E112" s="328"/>
      <c r="F112" s="322"/>
      <c r="G112" s="347"/>
      <c r="H112" s="347"/>
      <c r="I112" s="347"/>
      <c r="J112" s="347"/>
      <c r="K112" s="347"/>
      <c r="L112" s="347"/>
      <c r="M112" s="347"/>
      <c r="N112" s="347"/>
      <c r="O112" s="347"/>
      <c r="P112" s="348">
        <f t="shared" ref="P112:P128" si="6">+C112+D112-E112+F112+G112+H112-I112-J112-K112-L112-O112+M112-N112</f>
        <v>0</v>
      </c>
      <c r="R112" s="44">
        <f>C112*0.8</f>
        <v>0</v>
      </c>
      <c r="S112" s="206">
        <f>C112-R112</f>
        <v>0</v>
      </c>
    </row>
    <row r="113" spans="1:19" ht="15">
      <c r="A113" s="116"/>
      <c r="B113" s="272">
        <v>2001</v>
      </c>
      <c r="C113" s="346">
        <v>-0.40000000000000568</v>
      </c>
      <c r="D113" s="327"/>
      <c r="E113" s="328"/>
      <c r="F113" s="322"/>
      <c r="G113" s="347"/>
      <c r="H113" s="347"/>
      <c r="I113" s="347"/>
      <c r="J113" s="347"/>
      <c r="K113" s="347"/>
      <c r="L113" s="347"/>
      <c r="M113" s="347"/>
      <c r="N113" s="347"/>
      <c r="O113" s="347"/>
      <c r="P113" s="348">
        <f t="shared" si="6"/>
        <v>-0.40000000000000568</v>
      </c>
      <c r="R113" s="44">
        <f t="shared" ref="R113:R126" si="7">C113*0.8</f>
        <v>-0.32000000000000456</v>
      </c>
      <c r="S113" s="206">
        <f t="shared" ref="S113:S127" si="8">C113-R113</f>
        <v>-8.0000000000001126E-2</v>
      </c>
    </row>
    <row r="114" spans="1:19" ht="15">
      <c r="A114" s="116"/>
      <c r="B114" s="272">
        <v>2002</v>
      </c>
      <c r="C114" s="346">
        <v>0.29999999999998295</v>
      </c>
      <c r="D114" s="327"/>
      <c r="E114" s="328"/>
      <c r="F114" s="322"/>
      <c r="G114" s="347"/>
      <c r="H114" s="347"/>
      <c r="I114" s="347"/>
      <c r="J114" s="347"/>
      <c r="K114" s="347"/>
      <c r="L114" s="347"/>
      <c r="M114" s="347"/>
      <c r="N114" s="347"/>
      <c r="O114" s="347"/>
      <c r="P114" s="348">
        <f t="shared" si="6"/>
        <v>0.29999999999998295</v>
      </c>
      <c r="R114" s="44">
        <f t="shared" si="7"/>
        <v>0.23999999999998636</v>
      </c>
      <c r="S114" s="206">
        <f t="shared" si="8"/>
        <v>5.9999999999996584E-2</v>
      </c>
    </row>
    <row r="115" spans="1:19" ht="15">
      <c r="A115" s="116"/>
      <c r="B115" s="272">
        <v>2003</v>
      </c>
      <c r="C115" s="346">
        <v>0</v>
      </c>
      <c r="D115" s="327"/>
      <c r="E115" s="328"/>
      <c r="F115" s="322"/>
      <c r="G115" s="347"/>
      <c r="H115" s="347"/>
      <c r="I115" s="347"/>
      <c r="J115" s="347"/>
      <c r="K115" s="347"/>
      <c r="L115" s="347"/>
      <c r="M115" s="347"/>
      <c r="N115" s="347"/>
      <c r="O115" s="347"/>
      <c r="P115" s="348">
        <f t="shared" si="6"/>
        <v>0</v>
      </c>
      <c r="R115" s="44">
        <f t="shared" si="7"/>
        <v>0</v>
      </c>
      <c r="S115" s="206">
        <f t="shared" si="8"/>
        <v>0</v>
      </c>
    </row>
    <row r="116" spans="1:19" ht="15">
      <c r="A116" s="116"/>
      <c r="B116" s="272">
        <v>2004</v>
      </c>
      <c r="C116" s="346">
        <v>217</v>
      </c>
      <c r="D116" s="327"/>
      <c r="E116" s="328"/>
      <c r="F116" s="322"/>
      <c r="G116" s="347"/>
      <c r="H116" s="347"/>
      <c r="I116" s="347"/>
      <c r="J116" s="347"/>
      <c r="K116" s="347"/>
      <c r="L116" s="347"/>
      <c r="M116" s="347"/>
      <c r="N116" s="347"/>
      <c r="O116" s="347"/>
      <c r="P116" s="348">
        <f t="shared" si="6"/>
        <v>217</v>
      </c>
      <c r="R116" s="44">
        <f t="shared" si="7"/>
        <v>173.60000000000002</v>
      </c>
      <c r="S116" s="206">
        <f t="shared" si="8"/>
        <v>43.399999999999977</v>
      </c>
    </row>
    <row r="117" spans="1:19" ht="15">
      <c r="A117" s="116"/>
      <c r="B117" s="272">
        <v>2005</v>
      </c>
      <c r="C117" s="346">
        <v>458</v>
      </c>
      <c r="D117" s="327"/>
      <c r="E117" s="328"/>
      <c r="F117" s="322"/>
      <c r="G117" s="346"/>
      <c r="H117" s="346"/>
      <c r="I117" s="346"/>
      <c r="J117" s="346">
        <v>83</v>
      </c>
      <c r="K117" s="346"/>
      <c r="L117" s="346"/>
      <c r="M117" s="346"/>
      <c r="N117" s="346"/>
      <c r="O117" s="346"/>
      <c r="P117" s="349">
        <f t="shared" si="6"/>
        <v>375</v>
      </c>
      <c r="R117" s="44">
        <f t="shared" si="7"/>
        <v>366.40000000000003</v>
      </c>
      <c r="S117" s="206">
        <f t="shared" si="8"/>
        <v>91.599999999999966</v>
      </c>
    </row>
    <row r="118" spans="1:19" ht="15">
      <c r="A118" s="116"/>
      <c r="B118" s="272">
        <v>2006</v>
      </c>
      <c r="C118" s="346">
        <v>741</v>
      </c>
      <c r="D118" s="327"/>
      <c r="E118" s="328"/>
      <c r="F118" s="322"/>
      <c r="G118" s="346"/>
      <c r="H118" s="346"/>
      <c r="I118" s="346"/>
      <c r="J118" s="346">
        <v>148</v>
      </c>
      <c r="K118" s="346"/>
      <c r="L118" s="346"/>
      <c r="M118" s="346"/>
      <c r="N118" s="346"/>
      <c r="O118" s="346"/>
      <c r="P118" s="349">
        <f t="shared" si="6"/>
        <v>593</v>
      </c>
      <c r="R118" s="44">
        <f t="shared" si="7"/>
        <v>592.80000000000007</v>
      </c>
      <c r="S118" s="206">
        <f t="shared" si="8"/>
        <v>148.19999999999993</v>
      </c>
    </row>
    <row r="119" spans="1:19" ht="15">
      <c r="A119" s="116"/>
      <c r="B119" s="272">
        <v>2007</v>
      </c>
      <c r="C119" s="346">
        <v>0</v>
      </c>
      <c r="D119" s="327"/>
      <c r="E119" s="328"/>
      <c r="F119" s="322"/>
      <c r="G119" s="346"/>
      <c r="H119" s="346"/>
      <c r="I119" s="346"/>
      <c r="J119" s="346"/>
      <c r="K119" s="346"/>
      <c r="L119" s="346"/>
      <c r="M119" s="346"/>
      <c r="N119" s="346"/>
      <c r="O119" s="346"/>
      <c r="P119" s="349">
        <f t="shared" si="6"/>
        <v>0</v>
      </c>
      <c r="R119" s="44">
        <f t="shared" si="7"/>
        <v>0</v>
      </c>
      <c r="S119" s="206">
        <f t="shared" si="8"/>
        <v>0</v>
      </c>
    </row>
    <row r="120" spans="1:19" ht="15">
      <c r="A120" s="116"/>
      <c r="B120" s="272">
        <v>2008</v>
      </c>
      <c r="C120" s="346">
        <v>1353</v>
      </c>
      <c r="D120" s="327"/>
      <c r="E120" s="328"/>
      <c r="F120" s="322"/>
      <c r="G120" s="346"/>
      <c r="H120" s="346"/>
      <c r="I120" s="346"/>
      <c r="J120" s="346">
        <v>150</v>
      </c>
      <c r="K120" s="346"/>
      <c r="L120" s="346"/>
      <c r="M120" s="346"/>
      <c r="N120" s="346"/>
      <c r="O120" s="346"/>
      <c r="P120" s="349">
        <f t="shared" si="6"/>
        <v>1203</v>
      </c>
      <c r="R120" s="44">
        <f t="shared" si="7"/>
        <v>1082.4000000000001</v>
      </c>
      <c r="S120" s="206">
        <f t="shared" si="8"/>
        <v>270.59999999999991</v>
      </c>
    </row>
    <row r="121" spans="1:19" ht="15">
      <c r="A121" s="116"/>
      <c r="B121" s="272">
        <v>2009</v>
      </c>
      <c r="C121" s="346">
        <v>1018</v>
      </c>
      <c r="D121" s="327"/>
      <c r="E121" s="328"/>
      <c r="F121" s="322"/>
      <c r="G121" s="346"/>
      <c r="H121" s="347"/>
      <c r="I121" s="346"/>
      <c r="J121" s="346">
        <v>150</v>
      </c>
      <c r="K121" s="346"/>
      <c r="L121" s="346"/>
      <c r="M121" s="346"/>
      <c r="N121" s="346"/>
      <c r="O121" s="346"/>
      <c r="P121" s="349">
        <f t="shared" si="6"/>
        <v>868</v>
      </c>
      <c r="R121" s="44">
        <f t="shared" si="7"/>
        <v>814.40000000000009</v>
      </c>
      <c r="S121" s="206">
        <f t="shared" si="8"/>
        <v>203.59999999999991</v>
      </c>
    </row>
    <row r="122" spans="1:19" ht="15">
      <c r="A122" s="116"/>
      <c r="B122" s="272">
        <v>2010</v>
      </c>
      <c r="C122" s="346">
        <f>743+109</f>
        <v>852</v>
      </c>
      <c r="D122" s="327"/>
      <c r="E122" s="328"/>
      <c r="F122" s="322"/>
      <c r="G122" s="346"/>
      <c r="H122" s="347">
        <f>150+330</f>
        <v>480</v>
      </c>
      <c r="I122" s="346"/>
      <c r="J122" s="346">
        <v>100</v>
      </c>
      <c r="K122" s="346"/>
      <c r="L122" s="346"/>
      <c r="M122" s="346"/>
      <c r="N122" s="346"/>
      <c r="O122" s="346"/>
      <c r="P122" s="349">
        <f t="shared" si="6"/>
        <v>1232</v>
      </c>
      <c r="Q122" s="206"/>
      <c r="R122" s="44">
        <f t="shared" si="7"/>
        <v>681.6</v>
      </c>
      <c r="S122" s="206">
        <f t="shared" si="8"/>
        <v>170.39999999999998</v>
      </c>
    </row>
    <row r="123" spans="1:19" ht="15">
      <c r="A123" s="116"/>
      <c r="B123" s="272">
        <v>2011</v>
      </c>
      <c r="C123" s="346">
        <v>1236</v>
      </c>
      <c r="D123" s="327"/>
      <c r="E123" s="328"/>
      <c r="F123" s="322"/>
      <c r="G123" s="346"/>
      <c r="H123" s="346">
        <v>220</v>
      </c>
      <c r="I123" s="346"/>
      <c r="J123" s="346">
        <v>250</v>
      </c>
      <c r="K123" s="346"/>
      <c r="L123" s="346"/>
      <c r="M123" s="346"/>
      <c r="N123" s="346"/>
      <c r="O123" s="346"/>
      <c r="P123" s="349">
        <f t="shared" si="6"/>
        <v>1206</v>
      </c>
      <c r="R123" s="44">
        <f t="shared" si="7"/>
        <v>988.80000000000007</v>
      </c>
      <c r="S123" s="206">
        <f t="shared" si="8"/>
        <v>247.19999999999993</v>
      </c>
    </row>
    <row r="124" spans="1:19" ht="15">
      <c r="A124" s="116"/>
      <c r="B124" s="272">
        <v>2012</v>
      </c>
      <c r="C124" s="346">
        <v>0</v>
      </c>
      <c r="D124" s="327"/>
      <c r="E124" s="328"/>
      <c r="F124" s="322"/>
      <c r="G124" s="346"/>
      <c r="H124" s="346"/>
      <c r="I124" s="346"/>
      <c r="J124" s="346"/>
      <c r="K124" s="346"/>
      <c r="L124" s="346"/>
      <c r="M124" s="346"/>
      <c r="N124" s="346"/>
      <c r="O124" s="346"/>
      <c r="P124" s="349">
        <f t="shared" si="6"/>
        <v>0</v>
      </c>
      <c r="R124" s="44">
        <f t="shared" si="7"/>
        <v>0</v>
      </c>
      <c r="S124" s="206">
        <f t="shared" si="8"/>
        <v>0</v>
      </c>
    </row>
    <row r="125" spans="1:19" ht="15">
      <c r="A125" s="116"/>
      <c r="B125" s="272">
        <v>2013</v>
      </c>
      <c r="C125" s="346">
        <v>0</v>
      </c>
      <c r="D125" s="327"/>
      <c r="E125" s="328"/>
      <c r="F125" s="322"/>
      <c r="G125" s="346"/>
      <c r="H125" s="346"/>
      <c r="I125" s="346"/>
      <c r="J125" s="346"/>
      <c r="K125" s="346"/>
      <c r="L125" s="346"/>
      <c r="M125" s="346"/>
      <c r="N125" s="346"/>
      <c r="O125" s="346"/>
      <c r="P125" s="349">
        <f t="shared" si="6"/>
        <v>0</v>
      </c>
      <c r="R125" s="44">
        <f t="shared" si="7"/>
        <v>0</v>
      </c>
      <c r="S125" s="206">
        <f t="shared" si="8"/>
        <v>0</v>
      </c>
    </row>
    <row r="126" spans="1:19">
      <c r="A126" s="116"/>
      <c r="B126" s="272">
        <v>2014</v>
      </c>
      <c r="C126" s="346">
        <v>0</v>
      </c>
      <c r="D126" s="346"/>
      <c r="E126" s="346"/>
      <c r="F126" s="346"/>
      <c r="G126" s="346"/>
      <c r="H126" s="346"/>
      <c r="I126" s="346"/>
      <c r="J126" s="346"/>
      <c r="K126" s="346"/>
      <c r="L126" s="346"/>
      <c r="M126" s="346"/>
      <c r="N126" s="346"/>
      <c r="O126" s="346"/>
      <c r="P126" s="349">
        <f t="shared" si="6"/>
        <v>0</v>
      </c>
      <c r="Q126" s="145"/>
      <c r="R126" s="44">
        <f t="shared" si="7"/>
        <v>0</v>
      </c>
      <c r="S126" s="206">
        <f t="shared" si="8"/>
        <v>0</v>
      </c>
    </row>
    <row r="127" spans="1:19">
      <c r="A127" s="116"/>
      <c r="B127" s="345"/>
      <c r="C127" s="346">
        <v>0</v>
      </c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9">
        <f t="shared" si="6"/>
        <v>0</v>
      </c>
      <c r="Q127" s="145"/>
      <c r="R127" s="44">
        <f>C127*0.8</f>
        <v>0</v>
      </c>
      <c r="S127" s="206">
        <f t="shared" si="8"/>
        <v>0</v>
      </c>
    </row>
    <row r="128" spans="1:19">
      <c r="A128" s="243"/>
      <c r="B128" s="345"/>
      <c r="C128" s="346">
        <v>0</v>
      </c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6"/>
      <c r="O128" s="346"/>
      <c r="P128" s="349">
        <f t="shared" si="6"/>
        <v>0</v>
      </c>
      <c r="Q128" s="145"/>
      <c r="R128" s="44">
        <f>SUM(R112:R127)</f>
        <v>4699.92</v>
      </c>
      <c r="S128" s="44">
        <f>SUM(S112:S127)</f>
        <v>1174.9799999999996</v>
      </c>
    </row>
    <row r="129" spans="1:19">
      <c r="A129" s="116"/>
      <c r="B129" s="350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2"/>
      <c r="Q129" s="145"/>
      <c r="R129" s="44"/>
      <c r="S129" s="206"/>
    </row>
    <row r="130" spans="1:19" ht="15.75" thickBot="1">
      <c r="A130" s="129"/>
      <c r="B130" s="130" t="s">
        <v>356</v>
      </c>
      <c r="C130" s="319">
        <f>SUM(C112:C129)</f>
        <v>5874.9</v>
      </c>
      <c r="D130" s="319">
        <f>SUM(D112:D123)</f>
        <v>0</v>
      </c>
      <c r="E130" s="319">
        <f>SUM(E112:E123)</f>
        <v>0</v>
      </c>
      <c r="F130" s="319">
        <f>SUM(F112:F123)</f>
        <v>0</v>
      </c>
      <c r="G130" s="319">
        <f>SUM(G112:G123)</f>
        <v>0</v>
      </c>
      <c r="H130" s="319">
        <f>SUM(H112:H129)</f>
        <v>700</v>
      </c>
      <c r="I130" s="319">
        <f>SUM(I112:I129)</f>
        <v>0</v>
      </c>
      <c r="J130" s="319">
        <f>SUM(J111:J123)</f>
        <v>881</v>
      </c>
      <c r="K130" s="319">
        <f>SUM(K112:K123)</f>
        <v>0</v>
      </c>
      <c r="L130" s="319">
        <f>SUM(L112:L123)</f>
        <v>0</v>
      </c>
      <c r="M130" s="319">
        <f>SUM(M116:M123)</f>
        <v>0</v>
      </c>
      <c r="N130" s="319"/>
      <c r="O130" s="319">
        <f>SUM(O112:O123)</f>
        <v>0</v>
      </c>
      <c r="P130" s="329">
        <f>SUM(P112:P129)</f>
        <v>5693.9</v>
      </c>
      <c r="R130" s="206">
        <f>P130-C130</f>
        <v>-181</v>
      </c>
    </row>
    <row r="131" spans="1:19" ht="16.5" thickTop="1" thickBot="1">
      <c r="A131" s="147"/>
      <c r="B131" s="148" t="s">
        <v>399</v>
      </c>
      <c r="C131" s="353">
        <f t="shared" ref="C131:M131" si="9">+C14+C24+C35+C53+C70+C79+C88+C98+C108+C130</f>
        <v>13574.9</v>
      </c>
      <c r="D131" s="353">
        <f t="shared" si="9"/>
        <v>0</v>
      </c>
      <c r="E131" s="353">
        <f t="shared" si="9"/>
        <v>0</v>
      </c>
      <c r="F131" s="353">
        <f t="shared" si="9"/>
        <v>0</v>
      </c>
      <c r="G131" s="353">
        <f t="shared" si="9"/>
        <v>3880</v>
      </c>
      <c r="H131" s="353">
        <f t="shared" si="9"/>
        <v>6309</v>
      </c>
      <c r="I131" s="353">
        <f t="shared" si="9"/>
        <v>6309</v>
      </c>
      <c r="J131" s="353">
        <f t="shared" si="9"/>
        <v>3600</v>
      </c>
      <c r="K131" s="353">
        <f t="shared" si="9"/>
        <v>0</v>
      </c>
      <c r="L131" s="353">
        <f t="shared" si="9"/>
        <v>0</v>
      </c>
      <c r="M131" s="353">
        <f t="shared" si="9"/>
        <v>0</v>
      </c>
      <c r="N131" s="353"/>
      <c r="O131" s="353">
        <f>+O14+O24+O35+O53+O70+O79+O88+O98+O108+O130</f>
        <v>194</v>
      </c>
      <c r="P131" s="354">
        <f>+P14+P24+P35+P53+P70+P79+P88+P98+P108+P130</f>
        <v>13660.9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R132" s="6">
        <f>4000/0.8</f>
        <v>5000</v>
      </c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434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1" manualBreakCount="1">
    <brk id="70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111111111111111111111163"/>
  <dimension ref="A1:W161"/>
  <sheetViews>
    <sheetView showGridLines="0" view="pageBreakPreview" topLeftCell="A3" zoomScale="60" zoomScaleNormal="70" workbookViewId="0">
      <pane xSplit="3" ySplit="3" topLeftCell="D117" activePane="bottomRight" state="frozen"/>
      <selection activeCell="P94" sqref="P94"/>
      <selection pane="topRight" activeCell="P94" sqref="P94"/>
      <selection pane="bottomLeft" activeCell="P94" sqref="P94"/>
      <selection pane="bottomRight" activeCell="B112" sqref="B112:B126"/>
    </sheetView>
  </sheetViews>
  <sheetFormatPr baseColWidth="10" defaultRowHeight="12.75"/>
  <cols>
    <col min="1" max="1" width="14.85546875" style="6" customWidth="1"/>
    <col min="2" max="2" width="18.85546875" style="6" customWidth="1"/>
    <col min="3" max="3" width="13.5703125" style="6" customWidth="1"/>
    <col min="4" max="4" width="10.140625" style="6" customWidth="1"/>
    <col min="5" max="5" width="11.7109375" style="6" customWidth="1"/>
    <col min="6" max="6" width="13.42578125" style="6" bestFit="1" customWidth="1"/>
    <col min="7" max="7" width="12.42578125" style="6" customWidth="1"/>
    <col min="8" max="8" width="11.85546875" style="6" customWidth="1"/>
    <col min="9" max="9" width="11.85546875" style="6" bestFit="1" customWidth="1"/>
    <col min="10" max="10" width="13.1406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2.5703125" style="6" customWidth="1"/>
    <col min="17" max="17" width="11.42578125" style="6" customWidth="1"/>
    <col min="18" max="18" width="11.5703125" style="6" bestFit="1" customWidth="1"/>
    <col min="19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409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72">
        <v>2013</v>
      </c>
      <c r="C9" s="160">
        <v>346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>
        <f>+C9+D9-E9+F9+G9+H9-I9-J9-K9-L9-O9+M9-N9</f>
        <v>346</v>
      </c>
      <c r="Q9" s="56"/>
      <c r="R9" s="56"/>
      <c r="S9" s="56"/>
    </row>
    <row r="10" spans="1:19">
      <c r="A10" s="116"/>
      <c r="B10" s="172">
        <v>2014</v>
      </c>
      <c r="C10" s="160">
        <v>1843</v>
      </c>
      <c r="D10" s="160"/>
      <c r="E10" s="160"/>
      <c r="F10" s="160"/>
      <c r="G10" s="160"/>
      <c r="H10" s="160"/>
      <c r="I10" s="160">
        <v>1728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115</v>
      </c>
    </row>
    <row r="11" spans="1:19">
      <c r="A11" s="116"/>
      <c r="B11" s="172">
        <v>2015</v>
      </c>
      <c r="C11" s="160"/>
      <c r="D11" s="160"/>
      <c r="E11" s="160"/>
      <c r="F11" s="160"/>
      <c r="G11" s="160">
        <v>1940</v>
      </c>
      <c r="H11" s="160"/>
      <c r="I11" s="160"/>
      <c r="J11" s="160"/>
      <c r="K11" s="160"/>
      <c r="L11" s="160"/>
      <c r="M11" s="160"/>
      <c r="N11" s="160"/>
      <c r="O11" s="160">
        <v>97</v>
      </c>
      <c r="P11" s="161">
        <f>+C11+D11-E11+F11+G11+H11-I11-J11-K11-L11-O11+M11-N11</f>
        <v>1843</v>
      </c>
    </row>
    <row r="12" spans="1:19">
      <c r="A12" s="116"/>
      <c r="B12" s="172">
        <v>2016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>+C12+D12-E12+F12+G12+H12-I12-J12-K12-L12-O12+M12-N12</f>
        <v>0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355">
        <f>SUM(C9:C13)</f>
        <v>2189</v>
      </c>
      <c r="D14" s="355">
        <f t="shared" ref="D14:J14" si="0">SUM(D9:D10)</f>
        <v>0</v>
      </c>
      <c r="E14" s="355">
        <f t="shared" si="0"/>
        <v>0</v>
      </c>
      <c r="F14" s="355">
        <f t="shared" si="0"/>
        <v>0</v>
      </c>
      <c r="G14" s="355">
        <f>SUM(G9:G13)</f>
        <v>1940</v>
      </c>
      <c r="H14" s="355">
        <f t="shared" si="0"/>
        <v>0</v>
      </c>
      <c r="I14" s="355">
        <f>SUM(I9:I13)</f>
        <v>1728</v>
      </c>
      <c r="J14" s="355">
        <f t="shared" si="0"/>
        <v>0</v>
      </c>
      <c r="K14" s="355">
        <f>SUM(K10)</f>
        <v>0</v>
      </c>
      <c r="L14" s="355">
        <f>SUM(L9:L10)</f>
        <v>0</v>
      </c>
      <c r="M14" s="355">
        <f>SUM(M10)</f>
        <v>0</v>
      </c>
      <c r="N14" s="355"/>
      <c r="O14" s="355">
        <f>SUM(O9:O13)</f>
        <v>97</v>
      </c>
      <c r="P14" s="356">
        <f>SUM(P9:P13)</f>
        <v>2304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23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23">
      <c r="A18" s="116"/>
      <c r="B18" s="172">
        <v>2013</v>
      </c>
      <c r="C18" s="160">
        <v>350</v>
      </c>
      <c r="D18" s="160"/>
      <c r="E18" s="160"/>
      <c r="F18" s="160"/>
      <c r="G18" s="160"/>
      <c r="H18" s="160"/>
      <c r="I18" s="160">
        <v>350</v>
      </c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  <c r="W18" s="435"/>
    </row>
    <row r="19" spans="1:23">
      <c r="A19" s="116"/>
      <c r="B19" s="172">
        <v>2014</v>
      </c>
      <c r="C19" s="160"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>
        <f>+C19+D19-E19+F19+G19+H19-I19-J19-K19-L19-O19+M19-N19</f>
        <v>0</v>
      </c>
      <c r="W19" s="435"/>
    </row>
    <row r="20" spans="1:23">
      <c r="A20" s="116"/>
      <c r="B20" s="172">
        <v>2015</v>
      </c>
      <c r="C20" s="160">
        <v>0</v>
      </c>
      <c r="D20" s="160"/>
      <c r="E20" s="160"/>
      <c r="F20" s="160"/>
      <c r="G20" s="160"/>
      <c r="H20" s="160">
        <v>219</v>
      </c>
      <c r="I20" s="160"/>
      <c r="J20" s="160"/>
      <c r="K20" s="160"/>
      <c r="L20" s="160"/>
      <c r="M20" s="160"/>
      <c r="N20" s="160"/>
      <c r="O20" s="160"/>
      <c r="P20" s="161">
        <f>+C20+D20-E20+F20+G20+H20-I20-J20-K20-L20-O20+M20-N20</f>
        <v>219</v>
      </c>
      <c r="W20" s="435"/>
    </row>
    <row r="21" spans="1:23">
      <c r="A21" s="116"/>
      <c r="B21" s="172">
        <v>2016</v>
      </c>
      <c r="C21" s="160"/>
      <c r="D21" s="160"/>
      <c r="E21" s="160"/>
      <c r="F21" s="160"/>
      <c r="G21" s="160"/>
      <c r="H21" s="321"/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0</v>
      </c>
      <c r="W21" s="435"/>
    </row>
    <row r="22" spans="1:23">
      <c r="A22" s="116"/>
      <c r="B22" s="12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S22" s="436"/>
    </row>
    <row r="23" spans="1:23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23" ht="15">
      <c r="A24" s="129"/>
      <c r="B24" s="117" t="s">
        <v>356</v>
      </c>
      <c r="C24" s="357">
        <f>SUM(C18:C23)</f>
        <v>350</v>
      </c>
      <c r="D24" s="355">
        <f>SUM(D18:D19)</f>
        <v>0</v>
      </c>
      <c r="E24" s="355">
        <f>SUM(E20)</f>
        <v>0</v>
      </c>
      <c r="F24" s="355"/>
      <c r="G24" s="355">
        <f>SUM(G19:G21)</f>
        <v>0</v>
      </c>
      <c r="H24" s="355">
        <f>SUM(H19:H23)</f>
        <v>219</v>
      </c>
      <c r="I24" s="355">
        <f>SUM(I18:I23)</f>
        <v>350</v>
      </c>
      <c r="J24" s="355">
        <f>SUM(J18:J19)</f>
        <v>0</v>
      </c>
      <c r="K24" s="355"/>
      <c r="L24" s="355">
        <f>SUM(L18:L19)</f>
        <v>0</v>
      </c>
      <c r="M24" s="355">
        <f>SUM(M19)</f>
        <v>0</v>
      </c>
      <c r="N24" s="355"/>
      <c r="O24" s="355">
        <f>SUM(O18:O19)</f>
        <v>0</v>
      </c>
      <c r="P24" s="356">
        <f>SUM(P18:P23)</f>
        <v>219</v>
      </c>
    </row>
    <row r="25" spans="1:23" ht="15">
      <c r="A25" s="116"/>
      <c r="B25" s="167" t="s">
        <v>83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9"/>
    </row>
    <row r="26" spans="1:23" ht="15">
      <c r="A26" s="116"/>
      <c r="B26" s="170" t="s">
        <v>360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60"/>
    </row>
    <row r="27" spans="1:23" ht="15">
      <c r="A27" s="116" t="s">
        <v>361</v>
      </c>
      <c r="B27" s="170" t="s">
        <v>353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60"/>
    </row>
    <row r="28" spans="1:23" ht="15">
      <c r="A28" s="116"/>
      <c r="B28" s="172">
        <v>2010</v>
      </c>
      <c r="C28" s="357">
        <v>0</v>
      </c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60">
        <f>+C28+D28-E28+F28+G28+H28-I28-J28-K28-L28-O28+M28-N28</f>
        <v>0</v>
      </c>
    </row>
    <row r="29" spans="1:23" ht="15">
      <c r="A29" s="116"/>
      <c r="B29" s="172">
        <v>2011</v>
      </c>
      <c r="C29" s="357">
        <v>0</v>
      </c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60">
        <f>+C29+D29-E29+F29+G29+H29-I29-J29-K29-L29-O29+M29-N29</f>
        <v>0</v>
      </c>
      <c r="Q29" s="56"/>
    </row>
    <row r="30" spans="1:23" ht="15">
      <c r="A30" s="116"/>
      <c r="B30" s="172">
        <v>2012</v>
      </c>
      <c r="C30" s="357">
        <v>113</v>
      </c>
      <c r="D30" s="357"/>
      <c r="E30" s="357"/>
      <c r="F30" s="357"/>
      <c r="G30" s="357"/>
      <c r="H30" s="357"/>
      <c r="I30" s="357"/>
      <c r="J30" s="357">
        <v>113</v>
      </c>
      <c r="K30" s="357"/>
      <c r="L30" s="357"/>
      <c r="M30" s="357"/>
      <c r="N30" s="357"/>
      <c r="O30" s="357"/>
      <c r="P30" s="360">
        <f>+C30+D30-E30+F30+G30+H30-I30-J30-K30-L30-O30+M30-N30</f>
        <v>0</v>
      </c>
      <c r="Q30" s="56"/>
    </row>
    <row r="31" spans="1:23" ht="15">
      <c r="A31" s="116"/>
      <c r="B31" s="172">
        <v>2013</v>
      </c>
      <c r="C31" s="357">
        <v>200</v>
      </c>
      <c r="D31" s="357"/>
      <c r="E31" s="357"/>
      <c r="F31" s="357"/>
      <c r="G31" s="357"/>
      <c r="H31" s="357"/>
      <c r="I31" s="357"/>
      <c r="J31" s="357">
        <v>200</v>
      </c>
      <c r="K31" s="357"/>
      <c r="L31" s="357"/>
      <c r="M31" s="357"/>
      <c r="N31" s="357"/>
      <c r="O31" s="357"/>
      <c r="P31" s="360">
        <f>+C31+D31-E31+F31+G31+H31-I31-J31-K31-L31-O31+M31-N31</f>
        <v>0</v>
      </c>
      <c r="Q31" s="56"/>
    </row>
    <row r="32" spans="1:23" ht="15">
      <c r="A32" s="116"/>
      <c r="B32" s="172">
        <v>2014</v>
      </c>
      <c r="C32" s="357">
        <v>0</v>
      </c>
      <c r="D32" s="357"/>
      <c r="E32" s="357"/>
      <c r="F32" s="357"/>
      <c r="G32" s="357"/>
      <c r="H32" s="357">
        <v>1509</v>
      </c>
      <c r="I32" s="357"/>
      <c r="J32" s="357">
        <v>1300</v>
      </c>
      <c r="K32" s="357"/>
      <c r="L32" s="357"/>
      <c r="M32" s="357"/>
      <c r="N32" s="357"/>
      <c r="O32" s="357"/>
      <c r="P32" s="360">
        <f>+C32+D32-E32+F32+G32+H32-I32-J32-K32-L32-O32+M32-N32</f>
        <v>209</v>
      </c>
      <c r="Q32" s="56"/>
    </row>
    <row r="33" spans="1:17" ht="15">
      <c r="A33" s="116"/>
      <c r="B33" s="172">
        <v>2015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60"/>
      <c r="Q33" s="56"/>
    </row>
    <row r="34" spans="1:17" ht="15">
      <c r="A34" s="116"/>
      <c r="B34" s="124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61"/>
      <c r="Q34" s="56"/>
    </row>
    <row r="35" spans="1:17" ht="15">
      <c r="A35" s="129"/>
      <c r="B35" s="117" t="s">
        <v>356</v>
      </c>
      <c r="C35" s="355">
        <f>SUM(C28:C34)</f>
        <v>313</v>
      </c>
      <c r="D35" s="355">
        <f>SUM(D28:D29)</f>
        <v>0</v>
      </c>
      <c r="E35" s="355">
        <f>SUM(E28:E29)</f>
        <v>0</v>
      </c>
      <c r="F35" s="355">
        <f>SUM(F29:F29)</f>
        <v>0</v>
      </c>
      <c r="G35" s="355">
        <f>SUM(G29:G29)</f>
        <v>0</v>
      </c>
      <c r="H35" s="355">
        <f>SUM(H28:H34)</f>
        <v>1509</v>
      </c>
      <c r="I35" s="355">
        <f>SUM(I28:I34)</f>
        <v>0</v>
      </c>
      <c r="J35" s="355">
        <f>SUM(J28:J34)</f>
        <v>1613</v>
      </c>
      <c r="K35" s="355"/>
      <c r="L35" s="355">
        <f>SUM(L28:L29)</f>
        <v>0</v>
      </c>
      <c r="M35" s="355"/>
      <c r="N35" s="355"/>
      <c r="O35" s="355">
        <f>SUM(O28:O29)</f>
        <v>0</v>
      </c>
      <c r="P35" s="356">
        <f>SUM(P28:P34)</f>
        <v>209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23">
        <v>2009</v>
      </c>
      <c r="C39" s="160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1">+C39+D39-E39+F39+G39+H39-I39-J39-K39-L39-O39+M39-N39</f>
        <v>0</v>
      </c>
    </row>
    <row r="40" spans="1:17">
      <c r="A40" s="116"/>
      <c r="B40" s="123">
        <v>2010</v>
      </c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1"/>
        <v>0</v>
      </c>
    </row>
    <row r="41" spans="1:17">
      <c r="A41" s="116"/>
      <c r="B41" s="123">
        <v>2011</v>
      </c>
      <c r="C41" s="160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1"/>
        <v>0</v>
      </c>
    </row>
    <row r="42" spans="1:17">
      <c r="A42" s="116"/>
      <c r="B42" s="123">
        <v>2012</v>
      </c>
      <c r="C42" s="160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1"/>
        <v>0</v>
      </c>
      <c r="Q42" s="56"/>
    </row>
    <row r="43" spans="1:17">
      <c r="A43" s="116"/>
      <c r="B43" s="123">
        <v>2013</v>
      </c>
      <c r="C43" s="160">
        <v>52</v>
      </c>
      <c r="D43" s="160"/>
      <c r="E43" s="160"/>
      <c r="F43" s="160"/>
      <c r="G43" s="160"/>
      <c r="H43" s="160">
        <v>350</v>
      </c>
      <c r="I43" s="160"/>
      <c r="J43" s="160">
        <v>402</v>
      </c>
      <c r="K43" s="160"/>
      <c r="L43" s="160"/>
      <c r="M43" s="160"/>
      <c r="N43" s="160"/>
      <c r="O43" s="160"/>
      <c r="P43" s="161">
        <f t="shared" si="1"/>
        <v>0</v>
      </c>
      <c r="Q43" s="56"/>
    </row>
    <row r="44" spans="1:17">
      <c r="A44" s="116"/>
      <c r="B44" s="123">
        <v>2014</v>
      </c>
      <c r="C44" s="160"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1"/>
        <v>0</v>
      </c>
      <c r="Q44" s="56"/>
    </row>
    <row r="45" spans="1:17">
      <c r="A45" s="116"/>
      <c r="B45" s="123">
        <v>2015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1"/>
        <v>0</v>
      </c>
      <c r="Q45" s="56"/>
    </row>
    <row r="46" spans="1:17">
      <c r="A46" s="116"/>
      <c r="B46" s="123">
        <v>2016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1"/>
        <v>0</v>
      </c>
    </row>
    <row r="47" spans="1:17">
      <c r="A47" s="116"/>
      <c r="B47" s="123">
        <v>2017</v>
      </c>
      <c r="C47" s="160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1"/>
        <v>0</v>
      </c>
    </row>
    <row r="48" spans="1:17">
      <c r="A48" s="116"/>
      <c r="B48" s="123">
        <v>2018</v>
      </c>
      <c r="C48" s="160"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1"/>
        <v>0</v>
      </c>
    </row>
    <row r="49" spans="1:17">
      <c r="A49" s="116"/>
      <c r="B49" s="123">
        <v>2019</v>
      </c>
      <c r="C49" s="160"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1"/>
        <v>0</v>
      </c>
    </row>
    <row r="50" spans="1:17">
      <c r="A50" s="116"/>
      <c r="B50" s="123">
        <v>2020</v>
      </c>
      <c r="C50" s="160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1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355">
        <f>SUM(C39:C52)</f>
        <v>52</v>
      </c>
      <c r="D53" s="355">
        <f>SUM(D39:D46)</f>
        <v>0</v>
      </c>
      <c r="E53" s="355">
        <f>SUM(E39:E46)</f>
        <v>0</v>
      </c>
      <c r="F53" s="355">
        <f>SUM(F39:F46)</f>
        <v>0</v>
      </c>
      <c r="G53" s="355">
        <f>SUM(G39:G46)</f>
        <v>0</v>
      </c>
      <c r="H53" s="355">
        <f>SUM(H39:H52)</f>
        <v>350</v>
      </c>
      <c r="I53" s="355">
        <f>SUM(I39:I52)</f>
        <v>0</v>
      </c>
      <c r="J53" s="355">
        <f>SUM(J39:J50)</f>
        <v>402</v>
      </c>
      <c r="K53" s="355">
        <f>SUM(K43:K46)</f>
        <v>0</v>
      </c>
      <c r="L53" s="355">
        <f>SUM(L45:L46)</f>
        <v>0</v>
      </c>
      <c r="M53" s="355"/>
      <c r="N53" s="355"/>
      <c r="O53" s="355">
        <f>SUM(O39:O46)</f>
        <v>0</v>
      </c>
      <c r="P53" s="356">
        <f>SUM(P39:P52)</f>
        <v>0</v>
      </c>
    </row>
    <row r="54" spans="1:17" ht="15">
      <c r="A54" s="116"/>
      <c r="B54" s="117" t="s">
        <v>372</v>
      </c>
      <c r="C54" s="357"/>
      <c r="D54" s="362"/>
      <c r="E54" s="363"/>
      <c r="F54" s="357"/>
      <c r="G54" s="357"/>
      <c r="H54" s="362"/>
      <c r="I54" s="363"/>
      <c r="J54" s="357"/>
      <c r="K54" s="357"/>
      <c r="L54" s="357"/>
      <c r="M54" s="357"/>
      <c r="N54" s="357"/>
      <c r="O54" s="357"/>
      <c r="P54" s="364"/>
    </row>
    <row r="55" spans="1:17" ht="15">
      <c r="A55" s="116"/>
      <c r="B55" s="117" t="s">
        <v>373</v>
      </c>
      <c r="C55" s="357"/>
      <c r="D55" s="362"/>
      <c r="E55" s="363"/>
      <c r="F55" s="357"/>
      <c r="G55" s="357"/>
      <c r="H55" s="362"/>
      <c r="I55" s="363"/>
      <c r="J55" s="357"/>
      <c r="K55" s="357"/>
      <c r="L55" s="357"/>
      <c r="M55" s="357"/>
      <c r="N55" s="357"/>
      <c r="O55" s="357"/>
      <c r="P55" s="364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23">
        <v>2000</v>
      </c>
      <c r="C57" s="160">
        <v>8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2">+C57+D57-E57+F57+G57+H57-I57-J57-K57-L57-O57+M57-N57</f>
        <v>8</v>
      </c>
      <c r="Q57" s="56"/>
    </row>
    <row r="58" spans="1:17">
      <c r="A58" s="116"/>
      <c r="B58" s="123">
        <v>2001</v>
      </c>
      <c r="C58" s="160">
        <v>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2"/>
        <v>1</v>
      </c>
      <c r="Q58" s="56"/>
    </row>
    <row r="59" spans="1:17">
      <c r="A59" s="116"/>
      <c r="B59" s="123">
        <v>2002</v>
      </c>
      <c r="C59" s="160">
        <v>5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2"/>
        <v>5</v>
      </c>
      <c r="Q59" s="56"/>
    </row>
    <row r="60" spans="1:17">
      <c r="A60" s="116"/>
      <c r="B60" s="123">
        <v>2003</v>
      </c>
      <c r="C60" s="160"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2"/>
        <v>0</v>
      </c>
      <c r="Q60" s="56"/>
    </row>
    <row r="61" spans="1:17">
      <c r="A61" s="116"/>
      <c r="B61" s="123">
        <v>2004</v>
      </c>
      <c r="C61" s="160"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2"/>
        <v>0</v>
      </c>
      <c r="Q61" s="56"/>
    </row>
    <row r="62" spans="1:17">
      <c r="A62" s="116"/>
      <c r="B62" s="123">
        <v>2005</v>
      </c>
      <c r="C62" s="160">
        <v>20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2"/>
        <v>20</v>
      </c>
      <c r="Q62" s="56"/>
    </row>
    <row r="63" spans="1:17">
      <c r="A63" s="116"/>
      <c r="B63" s="123">
        <v>2006</v>
      </c>
      <c r="C63" s="160">
        <v>10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2"/>
        <v>10</v>
      </c>
    </row>
    <row r="64" spans="1:17">
      <c r="A64" s="116"/>
      <c r="B64" s="123">
        <v>2007</v>
      </c>
      <c r="C64" s="160">
        <v>15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2"/>
        <v>15</v>
      </c>
    </row>
    <row r="65" spans="1:18">
      <c r="A65" s="116"/>
      <c r="B65" s="123">
        <v>2008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2"/>
        <v>0</v>
      </c>
    </row>
    <row r="66" spans="1:18">
      <c r="A66" s="116"/>
      <c r="B66" s="123">
        <v>2009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2"/>
        <v>0</v>
      </c>
    </row>
    <row r="67" spans="1:18">
      <c r="A67" s="116"/>
      <c r="B67" s="123">
        <v>2010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>
        <v>2011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355">
        <f>SUM(C57:C69)</f>
        <v>59</v>
      </c>
      <c r="D70" s="355">
        <f t="shared" ref="D70:J70" si="3">SUM(D57:D63)</f>
        <v>0</v>
      </c>
      <c r="E70" s="355">
        <f t="shared" si="3"/>
        <v>0</v>
      </c>
      <c r="F70" s="355">
        <f t="shared" si="3"/>
        <v>0</v>
      </c>
      <c r="G70" s="355">
        <f t="shared" si="3"/>
        <v>0</v>
      </c>
      <c r="H70" s="355">
        <f>SUM(H57:H69)</f>
        <v>0</v>
      </c>
      <c r="I70" s="355">
        <f>SUM(I57:I69)</f>
        <v>0</v>
      </c>
      <c r="J70" s="355">
        <f t="shared" si="3"/>
        <v>0</v>
      </c>
      <c r="K70" s="355"/>
      <c r="L70" s="355">
        <f>SUM(L57:L63)</f>
        <v>0</v>
      </c>
      <c r="M70" s="355"/>
      <c r="N70" s="355"/>
      <c r="O70" s="355">
        <f>SUM(O57:O63)</f>
        <v>0</v>
      </c>
      <c r="P70" s="356">
        <f>SUM(P57:P69)</f>
        <v>59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272">
        <v>2013</v>
      </c>
      <c r="C74" s="365">
        <v>454</v>
      </c>
      <c r="D74" s="365"/>
      <c r="E74" s="365"/>
      <c r="F74" s="365"/>
      <c r="G74" s="365"/>
      <c r="H74" s="365"/>
      <c r="I74" s="365">
        <v>202</v>
      </c>
      <c r="J74" s="365"/>
      <c r="K74" s="365"/>
      <c r="L74" s="365"/>
      <c r="M74" s="365"/>
      <c r="N74" s="365"/>
      <c r="O74" s="365"/>
      <c r="P74" s="366">
        <f>+C74+D74-E74+F74+G74+H74-I74-J74-K74-L74-O74+M74-N74</f>
        <v>252</v>
      </c>
      <c r="Q74" s="56"/>
    </row>
    <row r="75" spans="1:18">
      <c r="A75" s="116"/>
      <c r="B75" s="272">
        <v>2014</v>
      </c>
      <c r="C75" s="365">
        <v>1843</v>
      </c>
      <c r="D75" s="365"/>
      <c r="E75" s="365"/>
      <c r="F75" s="365"/>
      <c r="G75" s="365"/>
      <c r="H75" s="365"/>
      <c r="I75" s="365">
        <v>1843</v>
      </c>
      <c r="J75" s="365"/>
      <c r="K75" s="365"/>
      <c r="L75" s="365"/>
      <c r="M75" s="365"/>
      <c r="N75" s="365"/>
      <c r="O75" s="365"/>
      <c r="P75" s="366">
        <f>+C75+D75-E75+F75+G75+H75-I75-J75-K75-L75-O75+M75-N75</f>
        <v>0</v>
      </c>
    </row>
    <row r="76" spans="1:18">
      <c r="A76" s="116"/>
      <c r="B76" s="272">
        <v>2015</v>
      </c>
      <c r="C76" s="365"/>
      <c r="D76" s="365"/>
      <c r="E76" s="365"/>
      <c r="F76" s="365"/>
      <c r="G76" s="365">
        <v>1940</v>
      </c>
      <c r="H76" s="365"/>
      <c r="I76" s="365"/>
      <c r="J76" s="365"/>
      <c r="K76" s="365"/>
      <c r="L76" s="365"/>
      <c r="M76" s="365"/>
      <c r="N76" s="365"/>
      <c r="O76" s="365">
        <v>97</v>
      </c>
      <c r="P76" s="366">
        <f>+C76+D76-E76+F76+G76+H76-I76-J76-K76-L76-O76+M76-N76</f>
        <v>1843</v>
      </c>
    </row>
    <row r="77" spans="1:18">
      <c r="A77" s="116"/>
      <c r="B77" s="272">
        <v>2016</v>
      </c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6">
        <f>+C77+D77-E77+F77+G77+H77-I77-J77-K77-L77-O77+M77-N77</f>
        <v>0</v>
      </c>
      <c r="R77" s="206">
        <f>I74-H94</f>
        <v>202</v>
      </c>
    </row>
    <row r="78" spans="1:18">
      <c r="A78" s="116"/>
      <c r="B78" s="367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9"/>
    </row>
    <row r="79" spans="1:18" ht="15">
      <c r="A79" s="129"/>
      <c r="B79" s="117" t="s">
        <v>356</v>
      </c>
      <c r="C79" s="357">
        <f>SUM(C74:C78)</f>
        <v>2297</v>
      </c>
      <c r="D79" s="355">
        <f t="shared" ref="D79:J79" si="4">SUM(D74:D75)</f>
        <v>0</v>
      </c>
      <c r="E79" s="355">
        <f t="shared" si="4"/>
        <v>0</v>
      </c>
      <c r="F79" s="355">
        <f t="shared" si="4"/>
        <v>0</v>
      </c>
      <c r="G79" s="355">
        <f>SUM(G74:G78)</f>
        <v>1940</v>
      </c>
      <c r="H79" s="355">
        <f>SUM(H74:H78)</f>
        <v>0</v>
      </c>
      <c r="I79" s="355">
        <f>SUM(I74:I78)</f>
        <v>2045</v>
      </c>
      <c r="J79" s="355">
        <f t="shared" si="4"/>
        <v>0</v>
      </c>
      <c r="K79" s="355"/>
      <c r="L79" s="355"/>
      <c r="M79" s="355">
        <f>SUM(M74:M75)</f>
        <v>0</v>
      </c>
      <c r="N79" s="355"/>
      <c r="O79" s="355">
        <f>SUM(O74:O78)</f>
        <v>97</v>
      </c>
      <c r="P79" s="356">
        <f>SUM(P74:P78)</f>
        <v>2095</v>
      </c>
    </row>
    <row r="80" spans="1:18" ht="15">
      <c r="A80" s="116"/>
      <c r="B80" s="167" t="s">
        <v>75</v>
      </c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9"/>
    </row>
    <row r="81" spans="1:17" ht="15">
      <c r="A81" s="116"/>
      <c r="B81" s="170" t="s">
        <v>357</v>
      </c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60"/>
    </row>
    <row r="82" spans="1:17" ht="15">
      <c r="A82" s="116" t="s">
        <v>375</v>
      </c>
      <c r="B82" s="170" t="s">
        <v>353</v>
      </c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60"/>
    </row>
    <row r="83" spans="1:17" ht="15">
      <c r="A83" s="116"/>
      <c r="B83" s="272">
        <v>2013</v>
      </c>
      <c r="C83" s="357">
        <v>1642</v>
      </c>
      <c r="D83" s="357"/>
      <c r="E83" s="357"/>
      <c r="F83" s="357"/>
      <c r="G83" s="357"/>
      <c r="H83" s="357"/>
      <c r="I83" s="357">
        <v>1642</v>
      </c>
      <c r="J83" s="357"/>
      <c r="K83" s="357"/>
      <c r="L83" s="357"/>
      <c r="M83" s="357"/>
      <c r="N83" s="357"/>
      <c r="O83" s="357"/>
      <c r="P83" s="360">
        <f>+C83+D83-E83+F83+G83+H83-I83-J83-K83-L83-O83+M83-N83</f>
        <v>0</v>
      </c>
      <c r="Q83" s="56"/>
    </row>
    <row r="84" spans="1:17" ht="15">
      <c r="A84" s="116"/>
      <c r="B84" s="272">
        <v>2014</v>
      </c>
      <c r="C84" s="357">
        <v>0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60">
        <f>+C84+D84-E84+F84+G84+H84-I84-J84-K84-L84-O84+M84-N84</f>
        <v>0</v>
      </c>
      <c r="Q84" s="56"/>
    </row>
    <row r="85" spans="1:17" ht="15">
      <c r="A85" s="116"/>
      <c r="B85" s="272">
        <v>2015</v>
      </c>
      <c r="C85" s="357">
        <v>0</v>
      </c>
      <c r="D85" s="357"/>
      <c r="E85" s="357"/>
      <c r="F85" s="357"/>
      <c r="G85" s="357"/>
      <c r="H85" s="357">
        <v>200</v>
      </c>
      <c r="I85" s="357"/>
      <c r="J85" s="357"/>
      <c r="K85" s="357"/>
      <c r="L85" s="357"/>
      <c r="M85" s="357"/>
      <c r="N85" s="357"/>
      <c r="O85" s="357"/>
      <c r="P85" s="360">
        <f>+C85+D85-E85+F85+G85+H85-I85-J85-K85-L85-O85+M85-N85</f>
        <v>200</v>
      </c>
      <c r="Q85" s="56"/>
    </row>
    <row r="86" spans="1:17" ht="15">
      <c r="A86" s="116"/>
      <c r="B86" s="272">
        <v>2016</v>
      </c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60">
        <f>+C86+D86-E86+F86+G86+H86-I86-J86-K86-L86-O86+M86-N86</f>
        <v>0</v>
      </c>
      <c r="Q86" s="56"/>
    </row>
    <row r="87" spans="1:17" ht="15">
      <c r="A87" s="116"/>
      <c r="B87" s="370"/>
      <c r="C87" s="355">
        <v>0</v>
      </c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61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357">
        <f>SUM(C83:C87)</f>
        <v>1642</v>
      </c>
      <c r="D88" s="355">
        <f t="shared" ref="D88:J88" si="5">SUM(D83:D84)</f>
        <v>0</v>
      </c>
      <c r="E88" s="355">
        <f t="shared" si="5"/>
        <v>0</v>
      </c>
      <c r="F88" s="355">
        <f t="shared" si="5"/>
        <v>0</v>
      </c>
      <c r="G88" s="355">
        <f t="shared" si="5"/>
        <v>0</v>
      </c>
      <c r="H88" s="355">
        <f>SUM(H84:H87)</f>
        <v>200</v>
      </c>
      <c r="I88" s="355">
        <f>SUM(I83:I87)</f>
        <v>1642</v>
      </c>
      <c r="J88" s="355">
        <f t="shared" si="5"/>
        <v>0</v>
      </c>
      <c r="K88" s="355"/>
      <c r="L88" s="355">
        <f>SUM(L83:L84)</f>
        <v>0</v>
      </c>
      <c r="M88" s="355"/>
      <c r="N88" s="355"/>
      <c r="O88" s="355">
        <f>SUM(O83:O84)</f>
        <v>0</v>
      </c>
      <c r="P88" s="356">
        <f>SUM(P83:P87)</f>
        <v>200</v>
      </c>
    </row>
    <row r="89" spans="1:17" ht="15">
      <c r="A89" s="116"/>
      <c r="B89" s="167" t="s">
        <v>70</v>
      </c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9"/>
    </row>
    <row r="90" spans="1:17" ht="15">
      <c r="A90" s="116"/>
      <c r="B90" s="170" t="s">
        <v>379</v>
      </c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60"/>
    </row>
    <row r="91" spans="1:17" ht="15">
      <c r="A91" s="116" t="s">
        <v>380</v>
      </c>
      <c r="B91" s="170" t="s">
        <v>353</v>
      </c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60"/>
    </row>
    <row r="92" spans="1:17" ht="15">
      <c r="A92" s="116"/>
      <c r="B92" s="272">
        <v>2011</v>
      </c>
      <c r="C92" s="357">
        <v>0</v>
      </c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60">
        <f>+C92+D92-E92+F92+G92+H92-I92-J92-K92-L92-O92+M92-N92</f>
        <v>0</v>
      </c>
    </row>
    <row r="93" spans="1:17" ht="15">
      <c r="A93" s="116"/>
      <c r="B93" s="272">
        <v>2012</v>
      </c>
      <c r="C93" s="357">
        <v>365</v>
      </c>
      <c r="D93" s="357"/>
      <c r="E93" s="357"/>
      <c r="F93" s="357"/>
      <c r="G93" s="357"/>
      <c r="H93" s="357"/>
      <c r="I93" s="357">
        <v>265</v>
      </c>
      <c r="J93" s="357"/>
      <c r="K93" s="357"/>
      <c r="L93" s="357"/>
      <c r="M93" s="357"/>
      <c r="N93" s="357"/>
      <c r="O93" s="357"/>
      <c r="P93" s="360">
        <f>+C93+D93-E93+F93+G93+H93-I93-J93-K93-L93-O93+M93-N93</f>
        <v>100</v>
      </c>
      <c r="Q93" s="56"/>
    </row>
    <row r="94" spans="1:17" ht="15">
      <c r="A94" s="116"/>
      <c r="B94" s="272">
        <v>2013</v>
      </c>
      <c r="C94" s="357">
        <v>0</v>
      </c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60">
        <f>+C94+D94-E94+F94+G94+H94-I94-J94-K94-L94-O94+M94-N94</f>
        <v>0</v>
      </c>
    </row>
    <row r="95" spans="1:17" ht="15">
      <c r="A95" s="116"/>
      <c r="B95" s="272">
        <v>2014</v>
      </c>
      <c r="C95" s="357"/>
      <c r="D95" s="357"/>
      <c r="E95" s="357"/>
      <c r="F95" s="357"/>
      <c r="G95" s="357"/>
      <c r="H95" s="357">
        <v>1342</v>
      </c>
      <c r="I95" s="357"/>
      <c r="J95" s="357"/>
      <c r="K95" s="357"/>
      <c r="L95" s="357"/>
      <c r="M95" s="357"/>
      <c r="N95" s="357"/>
      <c r="O95" s="357"/>
      <c r="P95" s="360">
        <f>+C95+D95-E95+F95+G95+H95-I95-J95-K95-L95-O95+M95-N95</f>
        <v>1342</v>
      </c>
    </row>
    <row r="96" spans="1:17" ht="15">
      <c r="A96" s="116"/>
      <c r="B96" s="272">
        <v>2015</v>
      </c>
      <c r="C96" s="357">
        <v>0</v>
      </c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60">
        <f>+C96+D96-E96+F96+G96+H96-I96-J96-K96-L96-O96+M96-N96</f>
        <v>0</v>
      </c>
    </row>
    <row r="97" spans="1:19" ht="15">
      <c r="A97" s="116"/>
      <c r="B97" s="371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61"/>
    </row>
    <row r="98" spans="1:19" ht="15">
      <c r="A98" s="129"/>
      <c r="B98" s="117" t="s">
        <v>356</v>
      </c>
      <c r="C98" s="355">
        <f>SUM(C92:C97)</f>
        <v>365</v>
      </c>
      <c r="D98" s="355">
        <f>SUM(D93:D94)</f>
        <v>0</v>
      </c>
      <c r="E98" s="355">
        <f>SUM(E93:E94)</f>
        <v>0</v>
      </c>
      <c r="F98" s="355">
        <f>SUM(F93:F94)</f>
        <v>0</v>
      </c>
      <c r="G98" s="355">
        <f>SUM(G93:G94)</f>
        <v>0</v>
      </c>
      <c r="H98" s="355">
        <f>SUM(H92:H97)</f>
        <v>1342</v>
      </c>
      <c r="I98" s="355">
        <f>SUM(I92:I97)</f>
        <v>265</v>
      </c>
      <c r="J98" s="355">
        <f>SUM(J92:J94)</f>
        <v>0</v>
      </c>
      <c r="K98" s="355"/>
      <c r="L98" s="355">
        <f>SUM(L92)</f>
        <v>0</v>
      </c>
      <c r="M98" s="355"/>
      <c r="N98" s="355"/>
      <c r="O98" s="355">
        <f>SUM(O92:O94)</f>
        <v>0</v>
      </c>
      <c r="P98" s="356">
        <f>SUM(P92:P97)</f>
        <v>1442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272">
        <v>2011</v>
      </c>
      <c r="C102" s="372">
        <v>0</v>
      </c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3">
        <f>+C102+D102-E102+F102+G102+H102-I102-J102-K102-L102-O102+M102-N102</f>
        <v>0</v>
      </c>
      <c r="R102" s="6" t="s">
        <v>415</v>
      </c>
      <c r="S102" s="6">
        <v>1000</v>
      </c>
    </row>
    <row r="103" spans="1:19">
      <c r="A103" s="116"/>
      <c r="B103" s="272">
        <v>2012</v>
      </c>
      <c r="C103" s="372">
        <v>700</v>
      </c>
      <c r="D103" s="372"/>
      <c r="E103" s="372"/>
      <c r="F103" s="372"/>
      <c r="G103" s="372"/>
      <c r="H103" s="374"/>
      <c r="I103" s="375"/>
      <c r="J103" s="372"/>
      <c r="K103" s="372"/>
      <c r="L103" s="372"/>
      <c r="M103" s="372"/>
      <c r="N103" s="372"/>
      <c r="O103" s="372"/>
      <c r="P103" s="373">
        <f>+C103+D103-E103+F103+G103+H103-I103-J103-K103-L103-O103+M103-N103</f>
        <v>700</v>
      </c>
      <c r="R103" s="6" t="s">
        <v>410</v>
      </c>
      <c r="S103" s="6">
        <v>14</v>
      </c>
    </row>
    <row r="104" spans="1:19">
      <c r="A104" s="116"/>
      <c r="B104" s="272">
        <v>2013</v>
      </c>
      <c r="C104" s="372">
        <v>0</v>
      </c>
      <c r="D104" s="372"/>
      <c r="E104" s="372"/>
      <c r="F104" s="372"/>
      <c r="G104" s="372"/>
      <c r="H104" s="374">
        <v>1852</v>
      </c>
      <c r="I104" s="374">
        <v>1800</v>
      </c>
      <c r="J104" s="372"/>
      <c r="K104" s="372"/>
      <c r="L104" s="372"/>
      <c r="M104" s="372"/>
      <c r="N104" s="372"/>
      <c r="O104" s="372"/>
      <c r="P104" s="373">
        <f>+C104+D104-E104+F104+G104+H104-I104-J104-K104-L104-O104+M104-N104</f>
        <v>52</v>
      </c>
      <c r="R104" s="6" t="s">
        <v>411</v>
      </c>
      <c r="S104" s="6">
        <v>1735</v>
      </c>
    </row>
    <row r="105" spans="1:19">
      <c r="A105" s="116"/>
      <c r="B105" s="272">
        <v>2014</v>
      </c>
      <c r="C105" s="372">
        <v>0</v>
      </c>
      <c r="D105" s="372"/>
      <c r="E105" s="372"/>
      <c r="F105" s="372"/>
      <c r="G105" s="372"/>
      <c r="H105" s="374">
        <v>300</v>
      </c>
      <c r="I105" s="372"/>
      <c r="J105" s="376"/>
      <c r="K105" s="372"/>
      <c r="L105" s="372"/>
      <c r="M105" s="372"/>
      <c r="N105" s="372"/>
      <c r="O105" s="372"/>
      <c r="P105" s="377">
        <f>+C105+D105-E105+F105+G105+H105-I105-J105-K105-L105-O105+M105-N105</f>
        <v>300</v>
      </c>
      <c r="R105" s="6" t="s">
        <v>412</v>
      </c>
      <c r="S105" s="6">
        <v>600</v>
      </c>
    </row>
    <row r="106" spans="1:19">
      <c r="A106" s="116"/>
      <c r="B106" s="272">
        <v>2015</v>
      </c>
      <c r="C106" s="374">
        <v>0</v>
      </c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7">
        <f>+C106+D106-E106+F106+G106+H106-I106-J106-K106-L106-O106+M106-N106</f>
        <v>0</v>
      </c>
      <c r="S106" s="6">
        <f>SUM(S102:S105)</f>
        <v>3349</v>
      </c>
    </row>
    <row r="107" spans="1:19">
      <c r="A107" s="116"/>
      <c r="B107" s="378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80"/>
    </row>
    <row r="108" spans="1:19" ht="15">
      <c r="A108" s="129"/>
      <c r="B108" s="117" t="s">
        <v>356</v>
      </c>
      <c r="C108" s="355">
        <f>SUM(C102:C107)</f>
        <v>700</v>
      </c>
      <c r="D108" s="355">
        <f>SUM(D102:D103)</f>
        <v>0</v>
      </c>
      <c r="E108" s="355">
        <f>SUM(E102:E103)</f>
        <v>0</v>
      </c>
      <c r="F108" s="355">
        <f>SUM(F102:F103)</f>
        <v>0</v>
      </c>
      <c r="G108" s="355">
        <f>SUM(G102:G103)</f>
        <v>0</v>
      </c>
      <c r="H108" s="355">
        <f>SUM(H103:H107)</f>
        <v>2152</v>
      </c>
      <c r="I108" s="355">
        <f>SUM(I102:I107)</f>
        <v>1800</v>
      </c>
      <c r="J108" s="355">
        <f>SUM(J104:J107)</f>
        <v>0</v>
      </c>
      <c r="K108" s="355"/>
      <c r="L108" s="355">
        <f>SUM(L102:L103)</f>
        <v>0</v>
      </c>
      <c r="M108" s="355">
        <f>SUM(M103:M104)</f>
        <v>0</v>
      </c>
      <c r="N108" s="355"/>
      <c r="O108" s="355">
        <f>SUM(O103:O104)</f>
        <v>0</v>
      </c>
      <c r="P108" s="356">
        <f>SUM(P102:P107)</f>
        <v>1052</v>
      </c>
    </row>
    <row r="109" spans="1:19" ht="15">
      <c r="A109" s="116"/>
      <c r="B109" s="155" t="s">
        <v>389</v>
      </c>
      <c r="C109" s="156"/>
      <c r="D109" s="362"/>
      <c r="E109" s="363"/>
      <c r="F109" s="357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362"/>
      <c r="E110" s="363"/>
      <c r="F110" s="357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362"/>
      <c r="E111" s="363"/>
      <c r="F111" s="357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72">
        <v>2000</v>
      </c>
      <c r="C112" s="382">
        <v>217</v>
      </c>
      <c r="D112" s="362"/>
      <c r="E112" s="363"/>
      <c r="F112" s="357"/>
      <c r="G112" s="383"/>
      <c r="H112" s="383"/>
      <c r="I112" s="383"/>
      <c r="J112" s="383">
        <f>35+182</f>
        <v>217</v>
      </c>
      <c r="K112" s="383"/>
      <c r="L112" s="383"/>
      <c r="M112" s="383"/>
      <c r="N112" s="383"/>
      <c r="O112" s="383"/>
      <c r="P112" s="384">
        <f t="shared" ref="P112:P128" si="6">+C112+D112-E112+F112+G112+H112-I112-J112-K112-L112-O112+M112-N112</f>
        <v>0</v>
      </c>
      <c r="R112" s="44">
        <f>C112*0.8</f>
        <v>173.60000000000002</v>
      </c>
      <c r="S112" s="206">
        <f>C112-R112</f>
        <v>43.399999999999977</v>
      </c>
    </row>
    <row r="113" spans="1:19" ht="15">
      <c r="A113" s="116"/>
      <c r="B113" s="272">
        <v>2001</v>
      </c>
      <c r="C113" s="382">
        <v>375</v>
      </c>
      <c r="D113" s="362"/>
      <c r="E113" s="363"/>
      <c r="F113" s="357"/>
      <c r="G113" s="383"/>
      <c r="H113" s="383"/>
      <c r="I113" s="383"/>
      <c r="J113" s="383">
        <f>73+23</f>
        <v>96</v>
      </c>
      <c r="K113" s="383"/>
      <c r="L113" s="383"/>
      <c r="M113" s="383"/>
      <c r="N113" s="383"/>
      <c r="O113" s="383"/>
      <c r="P113" s="384">
        <f t="shared" si="6"/>
        <v>279</v>
      </c>
      <c r="R113" s="44">
        <f t="shared" ref="R113:R126" si="7">C113*0.8</f>
        <v>300</v>
      </c>
      <c r="S113" s="206">
        <f t="shared" ref="S113:S127" si="8">C113-R113</f>
        <v>75</v>
      </c>
    </row>
    <row r="114" spans="1:19" ht="15">
      <c r="A114" s="116"/>
      <c r="B114" s="272">
        <v>2002</v>
      </c>
      <c r="C114" s="382">
        <v>593</v>
      </c>
      <c r="D114" s="362"/>
      <c r="E114" s="363"/>
      <c r="F114" s="357"/>
      <c r="G114" s="383"/>
      <c r="H114" s="383"/>
      <c r="I114" s="383"/>
      <c r="J114" s="383">
        <v>119</v>
      </c>
      <c r="K114" s="383"/>
      <c r="L114" s="383"/>
      <c r="M114" s="383"/>
      <c r="N114" s="383"/>
      <c r="O114" s="383"/>
      <c r="P114" s="384">
        <f t="shared" si="6"/>
        <v>474</v>
      </c>
      <c r="R114" s="44">
        <f t="shared" si="7"/>
        <v>474.40000000000003</v>
      </c>
      <c r="S114" s="206">
        <f t="shared" si="8"/>
        <v>118.59999999999997</v>
      </c>
    </row>
    <row r="115" spans="1:19" ht="15">
      <c r="A115" s="116"/>
      <c r="B115" s="272">
        <v>2003</v>
      </c>
      <c r="C115" s="382">
        <v>0</v>
      </c>
      <c r="D115" s="362"/>
      <c r="E115" s="363"/>
      <c r="F115" s="357"/>
      <c r="G115" s="383"/>
      <c r="H115" s="383"/>
      <c r="I115" s="383"/>
      <c r="J115" s="383"/>
      <c r="K115" s="383"/>
      <c r="L115" s="383"/>
      <c r="M115" s="383"/>
      <c r="N115" s="383"/>
      <c r="O115" s="383"/>
      <c r="P115" s="384">
        <f t="shared" si="6"/>
        <v>0</v>
      </c>
      <c r="R115" s="44">
        <f t="shared" si="7"/>
        <v>0</v>
      </c>
      <c r="S115" s="206">
        <f t="shared" si="8"/>
        <v>0</v>
      </c>
    </row>
    <row r="116" spans="1:19" ht="15">
      <c r="A116" s="116"/>
      <c r="B116" s="272">
        <v>2004</v>
      </c>
      <c r="C116" s="382">
        <v>1203</v>
      </c>
      <c r="D116" s="362"/>
      <c r="E116" s="363"/>
      <c r="F116" s="357"/>
      <c r="G116" s="383"/>
      <c r="H116" s="383"/>
      <c r="I116" s="383"/>
      <c r="J116" s="383">
        <v>216</v>
      </c>
      <c r="K116" s="383"/>
      <c r="L116" s="383"/>
      <c r="M116" s="383"/>
      <c r="N116" s="383"/>
      <c r="O116" s="383"/>
      <c r="P116" s="384">
        <f t="shared" si="6"/>
        <v>987</v>
      </c>
      <c r="R116" s="44">
        <f t="shared" si="7"/>
        <v>962.40000000000009</v>
      </c>
      <c r="S116" s="206">
        <f t="shared" si="8"/>
        <v>240.59999999999991</v>
      </c>
    </row>
    <row r="117" spans="1:19" ht="15">
      <c r="A117" s="116"/>
      <c r="B117" s="272">
        <v>2005</v>
      </c>
      <c r="C117" s="382">
        <v>868</v>
      </c>
      <c r="D117" s="362"/>
      <c r="E117" s="363"/>
      <c r="F117" s="357"/>
      <c r="G117" s="382"/>
      <c r="H117" s="382"/>
      <c r="I117" s="382"/>
      <c r="J117" s="382">
        <v>194</v>
      </c>
      <c r="K117" s="382"/>
      <c r="L117" s="382"/>
      <c r="M117" s="382"/>
      <c r="N117" s="382"/>
      <c r="O117" s="382"/>
      <c r="P117" s="385">
        <f t="shared" si="6"/>
        <v>674</v>
      </c>
      <c r="R117" s="44">
        <f t="shared" si="7"/>
        <v>694.40000000000009</v>
      </c>
      <c r="S117" s="206">
        <f t="shared" si="8"/>
        <v>173.59999999999991</v>
      </c>
    </row>
    <row r="118" spans="1:19" ht="15">
      <c r="A118" s="116"/>
      <c r="B118" s="272">
        <v>2006</v>
      </c>
      <c r="C118" s="383">
        <v>1232</v>
      </c>
      <c r="D118" s="362"/>
      <c r="E118" s="363"/>
      <c r="F118" s="357"/>
      <c r="G118" s="382"/>
      <c r="H118" s="382"/>
      <c r="I118" s="382"/>
      <c r="J118" s="382">
        <v>245</v>
      </c>
      <c r="K118" s="382"/>
      <c r="L118" s="382"/>
      <c r="M118" s="382"/>
      <c r="N118" s="382"/>
      <c r="O118" s="382"/>
      <c r="P118" s="385">
        <f t="shared" si="6"/>
        <v>987</v>
      </c>
      <c r="R118" s="44">
        <f t="shared" si="7"/>
        <v>985.6</v>
      </c>
      <c r="S118" s="206">
        <f t="shared" si="8"/>
        <v>246.39999999999998</v>
      </c>
    </row>
    <row r="119" spans="1:19" ht="15">
      <c r="A119" s="116"/>
      <c r="B119" s="272">
        <v>2007</v>
      </c>
      <c r="C119" s="382">
        <v>1206</v>
      </c>
      <c r="D119" s="362"/>
      <c r="E119" s="363"/>
      <c r="F119" s="357"/>
      <c r="G119" s="382"/>
      <c r="H119" s="382"/>
      <c r="I119" s="382"/>
      <c r="J119" s="382">
        <v>271</v>
      </c>
      <c r="K119" s="382"/>
      <c r="L119" s="382"/>
      <c r="M119" s="382"/>
      <c r="N119" s="382"/>
      <c r="O119" s="382"/>
      <c r="P119" s="385">
        <f t="shared" si="6"/>
        <v>935</v>
      </c>
      <c r="R119" s="44">
        <f t="shared" si="7"/>
        <v>964.80000000000007</v>
      </c>
      <c r="S119" s="206">
        <f t="shared" si="8"/>
        <v>241.19999999999993</v>
      </c>
    </row>
    <row r="120" spans="1:19" ht="15">
      <c r="A120" s="116"/>
      <c r="B120" s="272">
        <v>2008</v>
      </c>
      <c r="C120" s="382">
        <v>0</v>
      </c>
      <c r="D120" s="362"/>
      <c r="E120" s="363"/>
      <c r="F120" s="357"/>
      <c r="G120" s="382"/>
      <c r="H120" s="382">
        <v>265</v>
      </c>
      <c r="I120" s="382"/>
      <c r="J120" s="382"/>
      <c r="K120" s="382"/>
      <c r="L120" s="382"/>
      <c r="M120" s="382"/>
      <c r="N120" s="382"/>
      <c r="O120" s="382"/>
      <c r="P120" s="385">
        <f t="shared" si="6"/>
        <v>265</v>
      </c>
      <c r="R120" s="44">
        <f t="shared" si="7"/>
        <v>0</v>
      </c>
      <c r="S120" s="206">
        <f t="shared" si="8"/>
        <v>0</v>
      </c>
    </row>
    <row r="121" spans="1:19" ht="15">
      <c r="A121" s="116"/>
      <c r="B121" s="272">
        <v>2009</v>
      </c>
      <c r="C121" s="382">
        <v>0</v>
      </c>
      <c r="D121" s="362"/>
      <c r="E121" s="363"/>
      <c r="F121" s="357"/>
      <c r="G121" s="382"/>
      <c r="H121" s="383">
        <v>1793</v>
      </c>
      <c r="I121" s="382"/>
      <c r="J121" s="382">
        <v>227</v>
      </c>
      <c r="K121" s="382"/>
      <c r="L121" s="382"/>
      <c r="M121" s="382"/>
      <c r="N121" s="382"/>
      <c r="O121" s="382"/>
      <c r="P121" s="385">
        <f t="shared" si="6"/>
        <v>1566</v>
      </c>
      <c r="R121" s="44">
        <f t="shared" si="7"/>
        <v>0</v>
      </c>
      <c r="S121" s="206">
        <f t="shared" si="8"/>
        <v>0</v>
      </c>
    </row>
    <row r="122" spans="1:19" ht="15">
      <c r="A122" s="116"/>
      <c r="B122" s="272">
        <v>2010</v>
      </c>
      <c r="C122" s="382">
        <v>0</v>
      </c>
      <c r="D122" s="362"/>
      <c r="E122" s="363"/>
      <c r="F122" s="357"/>
      <c r="G122" s="382"/>
      <c r="H122" s="383"/>
      <c r="I122" s="382"/>
      <c r="J122" s="382"/>
      <c r="K122" s="382"/>
      <c r="L122" s="382"/>
      <c r="M122" s="382"/>
      <c r="N122" s="382"/>
      <c r="O122" s="382"/>
      <c r="P122" s="385">
        <f t="shared" si="6"/>
        <v>0</v>
      </c>
      <c r="Q122" s="206"/>
      <c r="R122" s="44">
        <f t="shared" si="7"/>
        <v>0</v>
      </c>
      <c r="S122" s="206">
        <f t="shared" si="8"/>
        <v>0</v>
      </c>
    </row>
    <row r="123" spans="1:19" ht="15">
      <c r="A123" s="116"/>
      <c r="B123" s="272">
        <v>2011</v>
      </c>
      <c r="C123" s="382">
        <v>0</v>
      </c>
      <c r="D123" s="362"/>
      <c r="E123" s="363"/>
      <c r="F123" s="357"/>
      <c r="G123" s="382"/>
      <c r="H123" s="382"/>
      <c r="I123" s="382"/>
      <c r="J123" s="382"/>
      <c r="K123" s="382"/>
      <c r="L123" s="382"/>
      <c r="M123" s="382"/>
      <c r="N123" s="382"/>
      <c r="O123" s="382"/>
      <c r="P123" s="385">
        <f t="shared" si="6"/>
        <v>0</v>
      </c>
      <c r="R123" s="44">
        <f t="shared" si="7"/>
        <v>0</v>
      </c>
      <c r="S123" s="206">
        <f t="shared" si="8"/>
        <v>0</v>
      </c>
    </row>
    <row r="124" spans="1:19" ht="15">
      <c r="A124" s="116"/>
      <c r="B124" s="272">
        <v>2012</v>
      </c>
      <c r="C124" s="382">
        <v>0</v>
      </c>
      <c r="D124" s="362"/>
      <c r="E124" s="363"/>
      <c r="F124" s="357"/>
      <c r="G124" s="382"/>
      <c r="H124" s="382"/>
      <c r="I124" s="382"/>
      <c r="J124" s="382"/>
      <c r="K124" s="382"/>
      <c r="L124" s="382"/>
      <c r="M124" s="382"/>
      <c r="N124" s="382"/>
      <c r="O124" s="382"/>
      <c r="P124" s="385">
        <f t="shared" si="6"/>
        <v>0</v>
      </c>
      <c r="R124" s="44">
        <f t="shared" si="7"/>
        <v>0</v>
      </c>
      <c r="S124" s="206">
        <f t="shared" si="8"/>
        <v>0</v>
      </c>
    </row>
    <row r="125" spans="1:19" ht="15">
      <c r="A125" s="116"/>
      <c r="B125" s="272">
        <v>2013</v>
      </c>
      <c r="C125" s="382">
        <v>0</v>
      </c>
      <c r="D125" s="362"/>
      <c r="E125" s="363"/>
      <c r="F125" s="357"/>
      <c r="G125" s="382"/>
      <c r="H125" s="382"/>
      <c r="I125" s="382"/>
      <c r="J125" s="382"/>
      <c r="K125" s="382"/>
      <c r="L125" s="382"/>
      <c r="M125" s="382"/>
      <c r="N125" s="382"/>
      <c r="O125" s="382"/>
      <c r="P125" s="385">
        <f t="shared" si="6"/>
        <v>0</v>
      </c>
      <c r="R125" s="44">
        <f t="shared" si="7"/>
        <v>0</v>
      </c>
      <c r="S125" s="206">
        <f t="shared" si="8"/>
        <v>0</v>
      </c>
    </row>
    <row r="126" spans="1:19">
      <c r="A126" s="116"/>
      <c r="B126" s="272">
        <v>2014</v>
      </c>
      <c r="C126" s="382">
        <v>0</v>
      </c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5">
        <f t="shared" si="6"/>
        <v>0</v>
      </c>
      <c r="Q126" s="145"/>
      <c r="R126" s="44">
        <f t="shared" si="7"/>
        <v>0</v>
      </c>
      <c r="S126" s="206">
        <f t="shared" si="8"/>
        <v>0</v>
      </c>
    </row>
    <row r="127" spans="1:19">
      <c r="A127" s="116"/>
      <c r="B127" s="381"/>
      <c r="C127" s="382">
        <v>0</v>
      </c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5">
        <f t="shared" si="6"/>
        <v>0</v>
      </c>
      <c r="Q127" s="145"/>
      <c r="R127" s="44">
        <f>C127*0.8</f>
        <v>0</v>
      </c>
      <c r="S127" s="206">
        <f t="shared" si="8"/>
        <v>0</v>
      </c>
    </row>
    <row r="128" spans="1:19">
      <c r="A128" s="243"/>
      <c r="B128" s="381"/>
      <c r="C128" s="382">
        <v>0</v>
      </c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5">
        <f t="shared" si="6"/>
        <v>0</v>
      </c>
      <c r="Q128" s="145"/>
      <c r="R128" s="44">
        <f>SUM(R112:R127)</f>
        <v>4555.2</v>
      </c>
      <c r="S128" s="44">
        <f>SUM(S112:S127)</f>
        <v>1138.7999999999997</v>
      </c>
    </row>
    <row r="129" spans="1:19">
      <c r="A129" s="116"/>
      <c r="B129" s="386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8"/>
      <c r="Q129" s="145"/>
      <c r="R129" s="44"/>
      <c r="S129" s="206"/>
    </row>
    <row r="130" spans="1:19" ht="15.75" thickBot="1">
      <c r="A130" s="129"/>
      <c r="B130" s="130" t="s">
        <v>356</v>
      </c>
      <c r="C130" s="355">
        <f>SUM(C112:C129)</f>
        <v>5694</v>
      </c>
      <c r="D130" s="355">
        <f>SUM(D112:D123)</f>
        <v>0</v>
      </c>
      <c r="E130" s="355">
        <f>SUM(E112:E123)</f>
        <v>0</v>
      </c>
      <c r="F130" s="355">
        <f>SUM(F112:F123)</f>
        <v>0</v>
      </c>
      <c r="G130" s="355">
        <f>SUM(G112:G123)</f>
        <v>0</v>
      </c>
      <c r="H130" s="355">
        <f>SUM(H112:H129)</f>
        <v>2058</v>
      </c>
      <c r="I130" s="355">
        <f>SUM(I112:I129)</f>
        <v>0</v>
      </c>
      <c r="J130" s="355">
        <f>SUM(J111:J123)</f>
        <v>1585</v>
      </c>
      <c r="K130" s="355">
        <f>SUM(K112:K123)</f>
        <v>0</v>
      </c>
      <c r="L130" s="355">
        <f>SUM(L112:L123)</f>
        <v>0</v>
      </c>
      <c r="M130" s="355">
        <f>SUM(M116:M123)</f>
        <v>0</v>
      </c>
      <c r="N130" s="355"/>
      <c r="O130" s="355">
        <f>SUM(O112:O123)</f>
        <v>0</v>
      </c>
      <c r="P130" s="364">
        <f>SUM(P112:P129)</f>
        <v>6167</v>
      </c>
      <c r="R130" s="206">
        <f>P130-C130</f>
        <v>473</v>
      </c>
    </row>
    <row r="131" spans="1:19" ht="16.5" thickTop="1" thickBot="1">
      <c r="A131" s="147"/>
      <c r="B131" s="148" t="s">
        <v>399</v>
      </c>
      <c r="C131" s="389">
        <f t="shared" ref="C131:M131" si="9">+C14+C24+C35+C53+C70+C79+C88+C98+C108+C130</f>
        <v>13661</v>
      </c>
      <c r="D131" s="389">
        <f t="shared" si="9"/>
        <v>0</v>
      </c>
      <c r="E131" s="389">
        <f t="shared" si="9"/>
        <v>0</v>
      </c>
      <c r="F131" s="389">
        <f t="shared" si="9"/>
        <v>0</v>
      </c>
      <c r="G131" s="389">
        <f t="shared" si="9"/>
        <v>3880</v>
      </c>
      <c r="H131" s="389">
        <f t="shared" si="9"/>
        <v>7830</v>
      </c>
      <c r="I131" s="389">
        <f t="shared" si="9"/>
        <v>7830</v>
      </c>
      <c r="J131" s="389">
        <f t="shared" si="9"/>
        <v>3600</v>
      </c>
      <c r="K131" s="389">
        <f t="shared" si="9"/>
        <v>0</v>
      </c>
      <c r="L131" s="389">
        <f t="shared" si="9"/>
        <v>0</v>
      </c>
      <c r="M131" s="389">
        <f t="shared" si="9"/>
        <v>0</v>
      </c>
      <c r="N131" s="389"/>
      <c r="O131" s="389">
        <f>+O14+O24+O35+O53+O70+O79+O88+O98+O108+O130</f>
        <v>194</v>
      </c>
      <c r="P131" s="390">
        <f>+P14+P24+P35+P53+P70+P79+P88+P98+P108+P130</f>
        <v>13747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206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1" manualBreakCount="1">
    <brk id="70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111111111111111111111164"/>
  <dimension ref="A1:S161"/>
  <sheetViews>
    <sheetView showGridLines="0" view="pageBreakPreview" topLeftCell="A3" zoomScale="60" zoomScaleNormal="85" workbookViewId="0">
      <pane xSplit="3" ySplit="3" topLeftCell="D6" activePane="bottomRight" state="frozen"/>
      <selection activeCell="P94" sqref="P94"/>
      <selection pane="topRight" activeCell="P94" sqref="P94"/>
      <selection pane="bottomLeft" activeCell="P94" sqref="P94"/>
      <selection pane="bottomRight" activeCell="B9" sqref="B9:B12"/>
    </sheetView>
  </sheetViews>
  <sheetFormatPr baseColWidth="10" defaultRowHeight="12.75"/>
  <cols>
    <col min="1" max="1" width="14.85546875" style="6" customWidth="1"/>
    <col min="2" max="2" width="18.140625" style="6" customWidth="1"/>
    <col min="3" max="3" width="12.5703125" style="6" customWidth="1"/>
    <col min="4" max="4" width="10.140625" style="6" customWidth="1"/>
    <col min="5" max="5" width="11.7109375" style="6" customWidth="1"/>
    <col min="6" max="6" width="13.5703125" style="6" bestFit="1" customWidth="1"/>
    <col min="7" max="7" width="12.42578125" style="6" customWidth="1"/>
    <col min="8" max="8" width="11.85546875" style="6" customWidth="1"/>
    <col min="9" max="9" width="12.28515625" style="6" bestFit="1" customWidth="1"/>
    <col min="10" max="10" width="13.1406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2.5703125" style="6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409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72">
        <v>2013</v>
      </c>
      <c r="C9" s="160">
        <v>346</v>
      </c>
      <c r="D9" s="160"/>
      <c r="E9" s="160"/>
      <c r="F9" s="160"/>
      <c r="G9" s="160"/>
      <c r="H9" s="160"/>
      <c r="I9" s="160">
        <v>346</v>
      </c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72">
        <v>2014</v>
      </c>
      <c r="C10" s="160">
        <v>115</v>
      </c>
      <c r="D10" s="160"/>
      <c r="E10" s="160"/>
      <c r="F10" s="160"/>
      <c r="G10" s="160"/>
      <c r="H10" s="160"/>
      <c r="I10" s="160">
        <v>115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172">
        <v>2015</v>
      </c>
      <c r="C11" s="160">
        <v>1843</v>
      </c>
      <c r="D11" s="160"/>
      <c r="E11" s="160"/>
      <c r="F11" s="160"/>
      <c r="G11" s="160"/>
      <c r="H11" s="160"/>
      <c r="I11" s="160">
        <v>1800</v>
      </c>
      <c r="J11" s="160"/>
      <c r="K11" s="160"/>
      <c r="L11" s="160"/>
      <c r="M11" s="160"/>
      <c r="N11" s="160"/>
      <c r="O11" s="160"/>
      <c r="P11" s="161">
        <f>+C11+D11-E11+F11+G11+H11-I11-J11-K11-L11-O11+M11-N11</f>
        <v>43</v>
      </c>
    </row>
    <row r="12" spans="1:19">
      <c r="A12" s="116"/>
      <c r="B12" s="172">
        <v>2016</v>
      </c>
      <c r="C12" s="160">
        <v>0</v>
      </c>
      <c r="D12" s="160"/>
      <c r="E12" s="160"/>
      <c r="F12" s="160"/>
      <c r="G12" s="160">
        <v>2017</v>
      </c>
      <c r="H12" s="160"/>
      <c r="I12" s="160"/>
      <c r="J12" s="160"/>
      <c r="K12" s="160"/>
      <c r="L12" s="160"/>
      <c r="M12" s="160"/>
      <c r="N12" s="160"/>
      <c r="O12" s="160">
        <v>101</v>
      </c>
      <c r="P12" s="161">
        <f>+C12+D12-E12+F12+G12+H12-I12-J12-K12-L12-O12+M12-N12</f>
        <v>1916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391">
        <f>SUM(C9:C13)</f>
        <v>2304</v>
      </c>
      <c r="D14" s="391">
        <f t="shared" ref="D14:J14" si="0">SUM(D9:D10)</f>
        <v>0</v>
      </c>
      <c r="E14" s="391">
        <f t="shared" si="0"/>
        <v>0</v>
      </c>
      <c r="F14" s="391">
        <f t="shared" si="0"/>
        <v>0</v>
      </c>
      <c r="G14" s="391">
        <f>SUM(G9:G13)</f>
        <v>2017</v>
      </c>
      <c r="H14" s="391">
        <f t="shared" si="0"/>
        <v>0</v>
      </c>
      <c r="I14" s="391">
        <f>SUM(I9:I13)</f>
        <v>2261</v>
      </c>
      <c r="J14" s="391">
        <f t="shared" si="0"/>
        <v>0</v>
      </c>
      <c r="K14" s="391">
        <f>SUM(K10)</f>
        <v>0</v>
      </c>
      <c r="L14" s="391">
        <f>SUM(L9:L10)</f>
        <v>0</v>
      </c>
      <c r="M14" s="391">
        <f>SUM(M10)</f>
        <v>0</v>
      </c>
      <c r="N14" s="391"/>
      <c r="O14" s="391">
        <f>SUM(O9:O13)</f>
        <v>101</v>
      </c>
      <c r="P14" s="392">
        <f>SUM(P9:P13)</f>
        <v>1959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7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7">
      <c r="A18" s="116"/>
      <c r="B18" s="172">
        <v>2013</v>
      </c>
      <c r="C18" s="160">
        <v>0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7">
      <c r="A19" s="116"/>
      <c r="B19" s="172">
        <v>2014</v>
      </c>
      <c r="C19" s="160">
        <v>0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>
        <f>+C19+D19-E19+F19+G19+H19-I19-J19-K19-L19-O19+M19-N19</f>
        <v>0</v>
      </c>
    </row>
    <row r="20" spans="1:17">
      <c r="A20" s="116"/>
      <c r="B20" s="172">
        <v>2015</v>
      </c>
      <c r="C20" s="160">
        <v>219</v>
      </c>
      <c r="D20" s="160"/>
      <c r="E20" s="160"/>
      <c r="F20" s="160"/>
      <c r="G20" s="160"/>
      <c r="H20" s="160">
        <v>250</v>
      </c>
      <c r="I20" s="393">
        <v>219</v>
      </c>
      <c r="J20" s="160"/>
      <c r="K20" s="160"/>
      <c r="L20" s="160"/>
      <c r="M20" s="160"/>
      <c r="N20" s="160"/>
      <c r="O20" s="160"/>
      <c r="P20" s="161">
        <f>+C20+D20-E20+F20+G20+H20-I20-J20-K20-L20-O20+M20-N20</f>
        <v>250</v>
      </c>
    </row>
    <row r="21" spans="1:17">
      <c r="A21" s="116"/>
      <c r="B21" s="172">
        <v>2016</v>
      </c>
      <c r="C21" s="160">
        <v>0</v>
      </c>
      <c r="D21" s="160"/>
      <c r="E21" s="160"/>
      <c r="F21" s="160"/>
      <c r="G21" s="160"/>
      <c r="H21" s="321"/>
      <c r="I21" s="160"/>
      <c r="J21" s="160"/>
      <c r="K21" s="160"/>
      <c r="L21" s="160"/>
      <c r="M21" s="160"/>
      <c r="N21" s="160"/>
      <c r="O21" s="160"/>
      <c r="P21" s="161">
        <f>+C21+D21-E21+F21+G21+H21-I21-J21-K21-L21-O21+M21-N21</f>
        <v>0</v>
      </c>
    </row>
    <row r="22" spans="1:17">
      <c r="A22" s="116"/>
      <c r="B22" s="12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7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7" ht="15">
      <c r="A24" s="129"/>
      <c r="B24" s="117" t="s">
        <v>356</v>
      </c>
      <c r="C24" s="394">
        <f>SUM(C18:C23)</f>
        <v>219</v>
      </c>
      <c r="D24" s="391">
        <f>SUM(D18:D19)</f>
        <v>0</v>
      </c>
      <c r="E24" s="391">
        <f>SUM(E20)</f>
        <v>0</v>
      </c>
      <c r="F24" s="391"/>
      <c r="G24" s="391">
        <f>SUM(G19:G21)</f>
        <v>0</v>
      </c>
      <c r="H24" s="391">
        <f>SUM(H19:H23)</f>
        <v>250</v>
      </c>
      <c r="I24" s="391">
        <f>SUM(I18:I23)</f>
        <v>219</v>
      </c>
      <c r="J24" s="391">
        <f>SUM(J18:J19)</f>
        <v>0</v>
      </c>
      <c r="K24" s="391"/>
      <c r="L24" s="391">
        <f>SUM(L18:L19)</f>
        <v>0</v>
      </c>
      <c r="M24" s="391">
        <f>SUM(M19)</f>
        <v>0</v>
      </c>
      <c r="N24" s="391"/>
      <c r="O24" s="391">
        <f>SUM(O18:O19)</f>
        <v>0</v>
      </c>
      <c r="P24" s="392">
        <f>SUM(P18:P23)</f>
        <v>250</v>
      </c>
    </row>
    <row r="25" spans="1:17" ht="15">
      <c r="A25" s="116"/>
      <c r="B25" s="167" t="s">
        <v>83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6"/>
    </row>
    <row r="26" spans="1:17" ht="15">
      <c r="A26" s="116"/>
      <c r="B26" s="170" t="s">
        <v>360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7"/>
    </row>
    <row r="27" spans="1:17" ht="15">
      <c r="A27" s="116" t="s">
        <v>361</v>
      </c>
      <c r="B27" s="170" t="s">
        <v>353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7"/>
    </row>
    <row r="28" spans="1:17" ht="15">
      <c r="A28" s="116"/>
      <c r="B28" s="172">
        <v>2010</v>
      </c>
      <c r="C28" s="394">
        <v>0</v>
      </c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7">
        <f t="shared" ref="P28:P33" si="1">+C28+D28-E28+F28+G28+H28-I28-J28-K28-L28-O28+M28-N28</f>
        <v>0</v>
      </c>
    </row>
    <row r="29" spans="1:17" ht="15">
      <c r="A29" s="116"/>
      <c r="B29" s="172">
        <v>2011</v>
      </c>
      <c r="C29" s="394">
        <v>0</v>
      </c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7">
        <f t="shared" si="1"/>
        <v>0</v>
      </c>
      <c r="Q29" s="56"/>
    </row>
    <row r="30" spans="1:17" ht="15">
      <c r="A30" s="116"/>
      <c r="B30" s="172">
        <v>2012</v>
      </c>
      <c r="C30" s="394">
        <v>0</v>
      </c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7">
        <f t="shared" si="1"/>
        <v>0</v>
      </c>
      <c r="Q30" s="56"/>
    </row>
    <row r="31" spans="1:17" ht="15">
      <c r="A31" s="116"/>
      <c r="B31" s="172">
        <v>2013</v>
      </c>
      <c r="C31" s="394">
        <v>0</v>
      </c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7">
        <f t="shared" si="1"/>
        <v>0</v>
      </c>
      <c r="Q31" s="56"/>
    </row>
    <row r="32" spans="1:17" ht="15">
      <c r="A32" s="116"/>
      <c r="B32" s="172">
        <v>2014</v>
      </c>
      <c r="C32" s="394">
        <v>209</v>
      </c>
      <c r="D32" s="394"/>
      <c r="E32" s="394"/>
      <c r="F32" s="394"/>
      <c r="G32" s="394"/>
      <c r="H32" s="394"/>
      <c r="I32" s="394"/>
      <c r="J32" s="394">
        <v>209</v>
      </c>
      <c r="K32" s="394"/>
      <c r="L32" s="394"/>
      <c r="M32" s="394"/>
      <c r="N32" s="394"/>
      <c r="O32" s="394"/>
      <c r="P32" s="397">
        <f t="shared" si="1"/>
        <v>0</v>
      </c>
      <c r="Q32" s="56"/>
    </row>
    <row r="33" spans="1:17" ht="15">
      <c r="A33" s="116"/>
      <c r="B33" s="172">
        <v>2015</v>
      </c>
      <c r="C33" s="394"/>
      <c r="D33" s="394"/>
      <c r="E33" s="394"/>
      <c r="F33" s="394"/>
      <c r="G33" s="394"/>
      <c r="H33" s="394">
        <f>1550+219</f>
        <v>1769</v>
      </c>
      <c r="I33" s="394"/>
      <c r="J33" s="394">
        <v>1500</v>
      </c>
      <c r="K33" s="394"/>
      <c r="L33" s="394"/>
      <c r="M33" s="394"/>
      <c r="N33" s="394"/>
      <c r="O33" s="394"/>
      <c r="P33" s="397">
        <f t="shared" si="1"/>
        <v>269</v>
      </c>
      <c r="Q33" s="56"/>
    </row>
    <row r="34" spans="1:17" ht="15">
      <c r="A34" s="116"/>
      <c r="B34" s="124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8"/>
      <c r="Q34" s="56"/>
    </row>
    <row r="35" spans="1:17" ht="15">
      <c r="A35" s="129"/>
      <c r="B35" s="117" t="s">
        <v>356</v>
      </c>
      <c r="C35" s="391">
        <f>SUM(C28:C34)</f>
        <v>209</v>
      </c>
      <c r="D35" s="391">
        <f>SUM(D28:D29)</f>
        <v>0</v>
      </c>
      <c r="E35" s="391">
        <f>SUM(E28:E29)</f>
        <v>0</v>
      </c>
      <c r="F35" s="391">
        <f>SUM(F29:F29)</f>
        <v>0</v>
      </c>
      <c r="G35" s="391">
        <f>SUM(G29:G29)</f>
        <v>0</v>
      </c>
      <c r="H35" s="391">
        <f>SUM(H28:H34)</f>
        <v>1769</v>
      </c>
      <c r="I35" s="391">
        <f>SUM(I28:I34)</f>
        <v>0</v>
      </c>
      <c r="J35" s="391">
        <f>SUM(J28:J34)</f>
        <v>1709</v>
      </c>
      <c r="K35" s="391"/>
      <c r="L35" s="391">
        <f>SUM(L28:L29)</f>
        <v>0</v>
      </c>
      <c r="M35" s="391"/>
      <c r="N35" s="391"/>
      <c r="O35" s="391">
        <f>SUM(O28:O29)</f>
        <v>0</v>
      </c>
      <c r="P35" s="392">
        <f>SUM(P28:P34)</f>
        <v>269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23">
        <v>2009</v>
      </c>
      <c r="C39" s="160">
        <v>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2">+C39+D39-E39+F39+G39+H39-I39-J39-K39-L39-O39+M39-N39</f>
        <v>0</v>
      </c>
    </row>
    <row r="40" spans="1:17">
      <c r="A40" s="116"/>
      <c r="B40" s="123">
        <v>2010</v>
      </c>
      <c r="C40" s="160"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2"/>
        <v>0</v>
      </c>
    </row>
    <row r="41" spans="1:17">
      <c r="A41" s="116"/>
      <c r="B41" s="123">
        <v>2011</v>
      </c>
      <c r="C41" s="160"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2"/>
        <v>0</v>
      </c>
    </row>
    <row r="42" spans="1:17">
      <c r="A42" s="116"/>
      <c r="B42" s="123">
        <v>2012</v>
      </c>
      <c r="C42" s="160">
        <v>0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2"/>
        <v>0</v>
      </c>
      <c r="Q42" s="56"/>
    </row>
    <row r="43" spans="1:17">
      <c r="A43" s="116"/>
      <c r="B43" s="123">
        <v>2013</v>
      </c>
      <c r="C43" s="160">
        <v>0</v>
      </c>
      <c r="D43" s="160"/>
      <c r="E43" s="160"/>
      <c r="F43" s="160"/>
      <c r="G43" s="160"/>
      <c r="H43" s="160">
        <v>346</v>
      </c>
      <c r="I43" s="160">
        <v>20</v>
      </c>
      <c r="J43" s="160">
        <v>300</v>
      </c>
      <c r="K43" s="160"/>
      <c r="L43" s="160"/>
      <c r="M43" s="160"/>
      <c r="N43" s="160"/>
      <c r="O43" s="160"/>
      <c r="P43" s="161">
        <f t="shared" si="2"/>
        <v>26</v>
      </c>
      <c r="Q43" s="56"/>
    </row>
    <row r="44" spans="1:17">
      <c r="A44" s="116"/>
      <c r="B44" s="123">
        <v>2014</v>
      </c>
      <c r="C44" s="160">
        <v>0</v>
      </c>
      <c r="D44" s="160"/>
      <c r="E44" s="160"/>
      <c r="F44" s="160"/>
      <c r="G44" s="160"/>
      <c r="H44" s="160">
        <v>115</v>
      </c>
      <c r="I44" s="160"/>
      <c r="J44" s="160">
        <v>100</v>
      </c>
      <c r="K44" s="160"/>
      <c r="L44" s="160"/>
      <c r="M44" s="160"/>
      <c r="N44" s="160"/>
      <c r="O44" s="160"/>
      <c r="P44" s="161">
        <f t="shared" si="2"/>
        <v>15</v>
      </c>
      <c r="Q44" s="56"/>
    </row>
    <row r="45" spans="1:17">
      <c r="A45" s="116"/>
      <c r="B45" s="123">
        <v>2015</v>
      </c>
      <c r="C45" s="160"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>
        <f t="shared" si="2"/>
        <v>0</v>
      </c>
      <c r="Q45" s="56"/>
    </row>
    <row r="46" spans="1:17">
      <c r="A46" s="116"/>
      <c r="B46" s="123">
        <v>2016</v>
      </c>
      <c r="C46" s="160"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2"/>
        <v>0</v>
      </c>
    </row>
    <row r="47" spans="1:17">
      <c r="A47" s="116"/>
      <c r="B47" s="123">
        <v>2017</v>
      </c>
      <c r="C47" s="160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2"/>
        <v>0</v>
      </c>
    </row>
    <row r="48" spans="1:17">
      <c r="A48" s="116"/>
      <c r="B48" s="123">
        <v>2018</v>
      </c>
      <c r="C48" s="160">
        <v>0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2"/>
        <v>0</v>
      </c>
    </row>
    <row r="49" spans="1:17">
      <c r="A49" s="116"/>
      <c r="B49" s="123">
        <v>2019</v>
      </c>
      <c r="C49" s="160"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2"/>
        <v>0</v>
      </c>
    </row>
    <row r="50" spans="1:17">
      <c r="A50" s="116"/>
      <c r="B50" s="123">
        <v>2020</v>
      </c>
      <c r="C50" s="160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2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391">
        <f>SUM(C39:C52)</f>
        <v>0</v>
      </c>
      <c r="D53" s="391">
        <f>SUM(D39:D46)</f>
        <v>0</v>
      </c>
      <c r="E53" s="391">
        <f>SUM(E39:E46)</f>
        <v>0</v>
      </c>
      <c r="F53" s="391">
        <f>SUM(F39:F46)</f>
        <v>0</v>
      </c>
      <c r="G53" s="391">
        <f>SUM(G39:G46)</f>
        <v>0</v>
      </c>
      <c r="H53" s="391">
        <f>SUM(H39:H52)</f>
        <v>461</v>
      </c>
      <c r="I53" s="391">
        <f>SUM(I39:I52)</f>
        <v>20</v>
      </c>
      <c r="J53" s="391">
        <f>SUM(J39:J50)</f>
        <v>400</v>
      </c>
      <c r="K53" s="391">
        <f>SUM(K43:K46)</f>
        <v>0</v>
      </c>
      <c r="L53" s="391">
        <f>SUM(L45:L46)</f>
        <v>0</v>
      </c>
      <c r="M53" s="391"/>
      <c r="N53" s="391"/>
      <c r="O53" s="391">
        <f>SUM(O39:O46)</f>
        <v>0</v>
      </c>
      <c r="P53" s="392">
        <f>SUM(P39:P52)</f>
        <v>41</v>
      </c>
    </row>
    <row r="54" spans="1:17" ht="15">
      <c r="A54" s="116"/>
      <c r="B54" s="117" t="s">
        <v>372</v>
      </c>
      <c r="C54" s="394"/>
      <c r="D54" s="399"/>
      <c r="E54" s="400"/>
      <c r="F54" s="394"/>
      <c r="G54" s="394"/>
      <c r="H54" s="399"/>
      <c r="I54" s="400"/>
      <c r="J54" s="394"/>
      <c r="K54" s="394"/>
      <c r="L54" s="394"/>
      <c r="M54" s="394"/>
      <c r="N54" s="394"/>
      <c r="O54" s="394"/>
      <c r="P54" s="401"/>
    </row>
    <row r="55" spans="1:17" ht="15">
      <c r="A55" s="116"/>
      <c r="B55" s="117" t="s">
        <v>373</v>
      </c>
      <c r="C55" s="394"/>
      <c r="D55" s="399"/>
      <c r="E55" s="400"/>
      <c r="F55" s="394"/>
      <c r="G55" s="394"/>
      <c r="H55" s="399"/>
      <c r="I55" s="400"/>
      <c r="J55" s="394"/>
      <c r="K55" s="394"/>
      <c r="L55" s="394"/>
      <c r="M55" s="394"/>
      <c r="N55" s="394"/>
      <c r="O55" s="394"/>
      <c r="P55" s="401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23">
        <v>2000</v>
      </c>
      <c r="C57" s="160">
        <v>8</v>
      </c>
      <c r="D57" s="183"/>
      <c r="E57" s="183"/>
      <c r="F57" s="183"/>
      <c r="G57" s="183"/>
      <c r="H57" s="183"/>
      <c r="I57" s="183"/>
      <c r="J57" s="183">
        <v>8</v>
      </c>
      <c r="K57" s="183"/>
      <c r="L57" s="183"/>
      <c r="M57" s="183"/>
      <c r="N57" s="183"/>
      <c r="O57" s="183"/>
      <c r="P57" s="184">
        <f t="shared" ref="P57:P66" si="3">+C57+D57-E57+F57+G57+H57-I57-J57-K57-L57-O57+M57-N57</f>
        <v>0</v>
      </c>
      <c r="Q57" s="56"/>
    </row>
    <row r="58" spans="1:17">
      <c r="A58" s="116"/>
      <c r="B58" s="123">
        <v>2001</v>
      </c>
      <c r="C58" s="160">
        <v>1</v>
      </c>
      <c r="D58" s="176"/>
      <c r="E58" s="176"/>
      <c r="F58" s="176"/>
      <c r="G58" s="176"/>
      <c r="H58" s="176"/>
      <c r="I58" s="176"/>
      <c r="J58" s="176">
        <v>1</v>
      </c>
      <c r="K58" s="176"/>
      <c r="L58" s="176"/>
      <c r="M58" s="176"/>
      <c r="N58" s="176"/>
      <c r="O58" s="176"/>
      <c r="P58" s="177">
        <f t="shared" si="3"/>
        <v>0</v>
      </c>
      <c r="Q58" s="56"/>
    </row>
    <row r="59" spans="1:17">
      <c r="A59" s="116"/>
      <c r="B59" s="123">
        <v>2002</v>
      </c>
      <c r="C59" s="160">
        <v>5</v>
      </c>
      <c r="D59" s="160"/>
      <c r="E59" s="160"/>
      <c r="F59" s="160"/>
      <c r="G59" s="160"/>
      <c r="H59" s="160"/>
      <c r="I59" s="160"/>
      <c r="J59" s="160">
        <v>5</v>
      </c>
      <c r="K59" s="160"/>
      <c r="L59" s="160"/>
      <c r="M59" s="160"/>
      <c r="N59" s="160"/>
      <c r="O59" s="160"/>
      <c r="P59" s="161">
        <f t="shared" si="3"/>
        <v>0</v>
      </c>
      <c r="Q59" s="56"/>
    </row>
    <row r="60" spans="1:17">
      <c r="A60" s="116"/>
      <c r="B60" s="123">
        <v>2003</v>
      </c>
      <c r="C60" s="160">
        <v>0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3"/>
        <v>0</v>
      </c>
      <c r="Q60" s="56"/>
    </row>
    <row r="61" spans="1:17">
      <c r="A61" s="116"/>
      <c r="B61" s="123">
        <v>2004</v>
      </c>
      <c r="C61" s="160"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3"/>
        <v>0</v>
      </c>
      <c r="Q61" s="56"/>
    </row>
    <row r="62" spans="1:17">
      <c r="A62" s="116"/>
      <c r="B62" s="123">
        <v>2005</v>
      </c>
      <c r="C62" s="160">
        <v>20</v>
      </c>
      <c r="D62" s="160"/>
      <c r="E62" s="160"/>
      <c r="F62" s="160"/>
      <c r="G62" s="160"/>
      <c r="H62" s="160"/>
      <c r="I62" s="160"/>
      <c r="J62" s="160">
        <v>10</v>
      </c>
      <c r="K62" s="160"/>
      <c r="L62" s="160"/>
      <c r="M62" s="160"/>
      <c r="N62" s="160"/>
      <c r="O62" s="160"/>
      <c r="P62" s="161">
        <f t="shared" si="3"/>
        <v>10</v>
      </c>
      <c r="Q62" s="56"/>
    </row>
    <row r="63" spans="1:17">
      <c r="A63" s="116"/>
      <c r="B63" s="123">
        <v>2006</v>
      </c>
      <c r="C63" s="160">
        <v>10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3"/>
        <v>10</v>
      </c>
    </row>
    <row r="64" spans="1:17">
      <c r="A64" s="116"/>
      <c r="B64" s="123">
        <v>2007</v>
      </c>
      <c r="C64" s="160">
        <v>15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3"/>
        <v>15</v>
      </c>
    </row>
    <row r="65" spans="1:18">
      <c r="A65" s="116"/>
      <c r="B65" s="123">
        <v>2013</v>
      </c>
      <c r="C65" s="160">
        <v>0</v>
      </c>
      <c r="D65" s="160"/>
      <c r="E65" s="160"/>
      <c r="F65" s="160"/>
      <c r="G65" s="160"/>
      <c r="H65" s="160">
        <v>20</v>
      </c>
      <c r="I65" s="160"/>
      <c r="J65" s="160"/>
      <c r="K65" s="160"/>
      <c r="L65" s="160"/>
      <c r="M65" s="160"/>
      <c r="N65" s="160"/>
      <c r="O65" s="160"/>
      <c r="P65" s="161">
        <f t="shared" si="3"/>
        <v>20</v>
      </c>
    </row>
    <row r="66" spans="1:18">
      <c r="A66" s="116"/>
      <c r="B66" s="123">
        <v>2016</v>
      </c>
      <c r="C66" s="160">
        <v>0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3"/>
        <v>0</v>
      </c>
    </row>
    <row r="67" spans="1:18">
      <c r="A67" s="116"/>
      <c r="B67" s="123">
        <v>2017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>
        <v>2018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391">
        <f>SUM(C57:C69)</f>
        <v>59</v>
      </c>
      <c r="D70" s="391">
        <f t="shared" ref="D70:J70" si="4">SUM(D57:D63)</f>
        <v>0</v>
      </c>
      <c r="E70" s="391">
        <f t="shared" si="4"/>
        <v>0</v>
      </c>
      <c r="F70" s="391">
        <f t="shared" si="4"/>
        <v>0</v>
      </c>
      <c r="G70" s="391">
        <f t="shared" si="4"/>
        <v>0</v>
      </c>
      <c r="H70" s="391">
        <f>SUM(H57:H69)</f>
        <v>20</v>
      </c>
      <c r="I70" s="391">
        <f>SUM(I57:I69)</f>
        <v>0</v>
      </c>
      <c r="J70" s="391">
        <f t="shared" si="4"/>
        <v>24</v>
      </c>
      <c r="K70" s="391"/>
      <c r="L70" s="391">
        <f>SUM(L57:L63)</f>
        <v>0</v>
      </c>
      <c r="M70" s="391"/>
      <c r="N70" s="391"/>
      <c r="O70" s="391">
        <f>SUM(O57:O63)</f>
        <v>0</v>
      </c>
      <c r="P70" s="392">
        <f>SUM(P57:P69)</f>
        <v>55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408">
        <v>2013</v>
      </c>
      <c r="C74" s="403">
        <v>252</v>
      </c>
      <c r="D74" s="403"/>
      <c r="E74" s="403"/>
      <c r="F74" s="403"/>
      <c r="G74" s="403"/>
      <c r="H74" s="403"/>
      <c r="I74" s="403">
        <v>252</v>
      </c>
      <c r="J74" s="403"/>
      <c r="K74" s="403"/>
      <c r="L74" s="403"/>
      <c r="M74" s="403"/>
      <c r="N74" s="403"/>
      <c r="O74" s="403"/>
      <c r="P74" s="404">
        <f>+C74+D74-E74+F74+G74+H74-I74-J74-K74-L74-O74+M74-N74</f>
        <v>0</v>
      </c>
      <c r="Q74" s="56"/>
    </row>
    <row r="75" spans="1:18">
      <c r="A75" s="116"/>
      <c r="B75" s="408">
        <v>2014</v>
      </c>
      <c r="C75" s="403">
        <v>0</v>
      </c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4">
        <f>+C75+D75-E75+F75+G75+H75-I75-J75-K75-L75-O75+M75-N75</f>
        <v>0</v>
      </c>
    </row>
    <row r="76" spans="1:18">
      <c r="A76" s="116"/>
      <c r="B76" s="408">
        <v>2015</v>
      </c>
      <c r="C76" s="403">
        <v>1843</v>
      </c>
      <c r="D76" s="403"/>
      <c r="E76" s="403"/>
      <c r="F76" s="403"/>
      <c r="G76" s="403"/>
      <c r="H76" s="403"/>
      <c r="I76" s="403">
        <v>1843</v>
      </c>
      <c r="J76" s="403"/>
      <c r="K76" s="403"/>
      <c r="L76" s="403"/>
      <c r="M76" s="403"/>
      <c r="N76" s="403"/>
      <c r="O76" s="403"/>
      <c r="P76" s="404">
        <f>+C76+D76-E76+F76+G76+H76-I76-J76-K76-L76-O76+M76-N76</f>
        <v>0</v>
      </c>
    </row>
    <row r="77" spans="1:18">
      <c r="A77" s="116"/>
      <c r="B77" s="408">
        <v>2016</v>
      </c>
      <c r="C77" s="403">
        <v>0</v>
      </c>
      <c r="D77" s="403"/>
      <c r="E77" s="403"/>
      <c r="F77" s="403"/>
      <c r="G77" s="403">
        <v>2018</v>
      </c>
      <c r="H77" s="403"/>
      <c r="I77" s="403"/>
      <c r="J77" s="403"/>
      <c r="K77" s="403"/>
      <c r="L77" s="403"/>
      <c r="M77" s="403"/>
      <c r="N77" s="403"/>
      <c r="O77" s="403">
        <v>101</v>
      </c>
      <c r="P77" s="404">
        <f>+C77+D77-E77+F77+G77+H77-I77-J77-K77-L77-O77+M77-N77</f>
        <v>1917</v>
      </c>
      <c r="R77" s="206">
        <f>I74-H94</f>
        <v>252</v>
      </c>
    </row>
    <row r="78" spans="1:18">
      <c r="A78" s="116"/>
      <c r="B78" s="405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7"/>
    </row>
    <row r="79" spans="1:18" ht="15">
      <c r="A79" s="129"/>
      <c r="B79" s="117" t="s">
        <v>356</v>
      </c>
      <c r="C79" s="394">
        <f>SUM(C74:C78)</f>
        <v>2095</v>
      </c>
      <c r="D79" s="391">
        <f t="shared" ref="D79:J79" si="5">SUM(D74:D75)</f>
        <v>0</v>
      </c>
      <c r="E79" s="391">
        <f t="shared" si="5"/>
        <v>0</v>
      </c>
      <c r="F79" s="391">
        <f t="shared" si="5"/>
        <v>0</v>
      </c>
      <c r="G79" s="391">
        <f>SUM(G74:G78)</f>
        <v>2018</v>
      </c>
      <c r="H79" s="391">
        <f>SUM(H74:H78)</f>
        <v>0</v>
      </c>
      <c r="I79" s="391">
        <f>SUM(I74:I78)</f>
        <v>2095</v>
      </c>
      <c r="J79" s="391">
        <f t="shared" si="5"/>
        <v>0</v>
      </c>
      <c r="K79" s="391"/>
      <c r="L79" s="391"/>
      <c r="M79" s="391">
        <f>SUM(M74:M75)</f>
        <v>0</v>
      </c>
      <c r="N79" s="391"/>
      <c r="O79" s="391">
        <f>SUM(O74:O78)</f>
        <v>101</v>
      </c>
      <c r="P79" s="392">
        <f>SUM(P74:P78)</f>
        <v>1917</v>
      </c>
    </row>
    <row r="80" spans="1:18" ht="15">
      <c r="A80" s="116"/>
      <c r="B80" s="167" t="s">
        <v>75</v>
      </c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6"/>
    </row>
    <row r="81" spans="1:17" ht="15">
      <c r="A81" s="116"/>
      <c r="B81" s="170" t="s">
        <v>357</v>
      </c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7"/>
    </row>
    <row r="82" spans="1:17" ht="15">
      <c r="A82" s="116" t="s">
        <v>375</v>
      </c>
      <c r="B82" s="170" t="s">
        <v>353</v>
      </c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7"/>
    </row>
    <row r="83" spans="1:17" ht="15">
      <c r="A83" s="116"/>
      <c r="B83" s="408">
        <v>2013</v>
      </c>
      <c r="C83" s="394">
        <v>0</v>
      </c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7">
        <f>+C83+D83-E83+F83+G83+H83-I83-J83-K83-L83-O83+M83-N83</f>
        <v>0</v>
      </c>
      <c r="Q83" s="56"/>
    </row>
    <row r="84" spans="1:17" ht="15">
      <c r="A84" s="116"/>
      <c r="B84" s="408">
        <v>2014</v>
      </c>
      <c r="C84" s="394">
        <v>0</v>
      </c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7">
        <f>+C84+D84-E84+F84+G84+H84-I84-J84-K84-L84-O84+M84-N84</f>
        <v>0</v>
      </c>
      <c r="Q84" s="56"/>
    </row>
    <row r="85" spans="1:17" ht="15">
      <c r="A85" s="116"/>
      <c r="B85" s="408">
        <v>2015</v>
      </c>
      <c r="C85" s="394">
        <v>200</v>
      </c>
      <c r="D85" s="394"/>
      <c r="E85" s="394"/>
      <c r="F85" s="394"/>
      <c r="G85" s="394"/>
      <c r="H85" s="394">
        <v>353</v>
      </c>
      <c r="I85" s="394">
        <v>200</v>
      </c>
      <c r="J85" s="394"/>
      <c r="K85" s="394"/>
      <c r="L85" s="394"/>
      <c r="M85" s="394"/>
      <c r="N85" s="394"/>
      <c r="O85" s="394"/>
      <c r="P85" s="397">
        <f>+C85+D85-E85+F85+G85+H85-I85-J85-K85-L85-O85+M85-N85</f>
        <v>353</v>
      </c>
      <c r="Q85" s="56"/>
    </row>
    <row r="86" spans="1:17" ht="15">
      <c r="A86" s="116"/>
      <c r="B86" s="408">
        <v>2016</v>
      </c>
      <c r="C86" s="394">
        <v>0</v>
      </c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7">
        <f>+C86+D86-E86+F86+G86+H86-I86-J86-K86-L86-O86+M86-N86</f>
        <v>0</v>
      </c>
      <c r="Q86" s="56"/>
    </row>
    <row r="87" spans="1:17" ht="15">
      <c r="A87" s="116"/>
      <c r="B87" s="409"/>
      <c r="C87" s="391">
        <v>0</v>
      </c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8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394">
        <f>SUM(C83:C87)</f>
        <v>200</v>
      </c>
      <c r="D88" s="391">
        <f t="shared" ref="D88:J88" si="6">SUM(D83:D84)</f>
        <v>0</v>
      </c>
      <c r="E88" s="391">
        <f t="shared" si="6"/>
        <v>0</v>
      </c>
      <c r="F88" s="391">
        <f t="shared" si="6"/>
        <v>0</v>
      </c>
      <c r="G88" s="391">
        <f t="shared" si="6"/>
        <v>0</v>
      </c>
      <c r="H88" s="391">
        <f>SUM(H84:H87)</f>
        <v>353</v>
      </c>
      <c r="I88" s="391">
        <f>SUM(I83:I87)</f>
        <v>200</v>
      </c>
      <c r="J88" s="391">
        <f t="shared" si="6"/>
        <v>0</v>
      </c>
      <c r="K88" s="391"/>
      <c r="L88" s="391">
        <f>SUM(L83:L84)</f>
        <v>0</v>
      </c>
      <c r="M88" s="391"/>
      <c r="N88" s="391"/>
      <c r="O88" s="391">
        <f>SUM(O83:O84)</f>
        <v>0</v>
      </c>
      <c r="P88" s="392">
        <f>SUM(P83:P87)</f>
        <v>353</v>
      </c>
    </row>
    <row r="89" spans="1:17" ht="15">
      <c r="A89" s="116"/>
      <c r="B89" s="167" t="s">
        <v>70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6"/>
    </row>
    <row r="90" spans="1:17" ht="15">
      <c r="A90" s="116"/>
      <c r="B90" s="170" t="s">
        <v>379</v>
      </c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7"/>
    </row>
    <row r="91" spans="1:17" ht="15">
      <c r="A91" s="116" t="s">
        <v>380</v>
      </c>
      <c r="B91" s="170" t="s">
        <v>353</v>
      </c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7"/>
    </row>
    <row r="92" spans="1:17" ht="15">
      <c r="A92" s="116"/>
      <c r="B92" s="410">
        <v>2011</v>
      </c>
      <c r="C92" s="394">
        <v>0</v>
      </c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7">
        <f>+C92+D92-E92+F92+G92+H92-I92-J92-K92-L92-O92+M92-N92</f>
        <v>0</v>
      </c>
    </row>
    <row r="93" spans="1:17" ht="15">
      <c r="A93" s="116"/>
      <c r="B93" s="410">
        <v>2012</v>
      </c>
      <c r="C93" s="394">
        <v>100</v>
      </c>
      <c r="D93" s="394"/>
      <c r="E93" s="394"/>
      <c r="F93" s="394"/>
      <c r="G93" s="394"/>
      <c r="H93" s="394"/>
      <c r="I93" s="394">
        <v>100</v>
      </c>
      <c r="J93" s="394"/>
      <c r="K93" s="394"/>
      <c r="L93" s="394"/>
      <c r="M93" s="394"/>
      <c r="N93" s="394"/>
      <c r="O93" s="394"/>
      <c r="P93" s="397">
        <f>+C93+D93-E93+F93+G93+H93-I93-J93-K93-L93-O93+M93-N93</f>
        <v>0</v>
      </c>
      <c r="Q93" s="56"/>
    </row>
    <row r="94" spans="1:17" ht="15">
      <c r="A94" s="116"/>
      <c r="B94" s="410">
        <v>2013</v>
      </c>
      <c r="C94" s="394">
        <v>0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7">
        <f>+C94+D94-E94+F94+G94+H94-I94-J94-K94-L94-O94+M94-N94</f>
        <v>0</v>
      </c>
    </row>
    <row r="95" spans="1:17" ht="15">
      <c r="A95" s="116"/>
      <c r="B95" s="410">
        <v>2014</v>
      </c>
      <c r="C95" s="394">
        <v>1342</v>
      </c>
      <c r="D95" s="394"/>
      <c r="E95" s="394"/>
      <c r="F95" s="394"/>
      <c r="G95" s="394"/>
      <c r="H95" s="394">
        <v>1353</v>
      </c>
      <c r="I95" s="394"/>
      <c r="J95" s="394"/>
      <c r="K95" s="394"/>
      <c r="L95" s="394"/>
      <c r="M95" s="394"/>
      <c r="N95" s="394"/>
      <c r="O95" s="394"/>
      <c r="P95" s="397">
        <f>+C95+D95-E95+F95+G95+H95-I95-J95-K95-L95-O95+M95-N95</f>
        <v>2695</v>
      </c>
    </row>
    <row r="96" spans="1:17" ht="15">
      <c r="A96" s="116"/>
      <c r="B96" s="410">
        <v>2015</v>
      </c>
      <c r="C96" s="394">
        <v>0</v>
      </c>
      <c r="D96" s="394"/>
      <c r="E96" s="394"/>
      <c r="F96" s="394"/>
      <c r="G96" s="394"/>
      <c r="H96" s="394">
        <v>160</v>
      </c>
      <c r="I96" s="394"/>
      <c r="J96" s="394"/>
      <c r="K96" s="394"/>
      <c r="L96" s="394"/>
      <c r="M96" s="394"/>
      <c r="N96" s="394"/>
      <c r="O96" s="394"/>
      <c r="P96" s="397">
        <f>+C96+D96-E96+F96+G96+H96-I96-J96-K96-L96-O96+M96-N96</f>
        <v>160</v>
      </c>
    </row>
    <row r="97" spans="1:19" ht="15">
      <c r="A97" s="116"/>
      <c r="B97" s="41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8"/>
    </row>
    <row r="98" spans="1:19" ht="15">
      <c r="A98" s="129"/>
      <c r="B98" s="117" t="s">
        <v>356</v>
      </c>
      <c r="C98" s="391">
        <f>SUM(C92:C97)</f>
        <v>1442</v>
      </c>
      <c r="D98" s="391">
        <f>SUM(D93:D94)</f>
        <v>0</v>
      </c>
      <c r="E98" s="391">
        <f>SUM(E93:E94)</f>
        <v>0</v>
      </c>
      <c r="F98" s="391">
        <f>SUM(F93:F94)</f>
        <v>0</v>
      </c>
      <c r="G98" s="391">
        <f>SUM(G93:G94)</f>
        <v>0</v>
      </c>
      <c r="H98" s="391">
        <f>SUM(H92:H97)</f>
        <v>1513</v>
      </c>
      <c r="I98" s="391">
        <f>SUM(I92:I97)</f>
        <v>100</v>
      </c>
      <c r="J98" s="391">
        <f>SUM(J92:J94)</f>
        <v>0</v>
      </c>
      <c r="K98" s="391"/>
      <c r="L98" s="391">
        <f>SUM(L92)</f>
        <v>0</v>
      </c>
      <c r="M98" s="391"/>
      <c r="N98" s="391"/>
      <c r="O98" s="391">
        <f>SUM(O92:O94)</f>
        <v>0</v>
      </c>
      <c r="P98" s="392">
        <f>SUM(P92:P97)</f>
        <v>2855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610">
        <v>2011</v>
      </c>
      <c r="C102" s="412">
        <v>0</v>
      </c>
      <c r="D102" s="413"/>
      <c r="E102" s="413"/>
      <c r="F102" s="413"/>
      <c r="G102" s="413"/>
      <c r="H102" s="413"/>
      <c r="I102" s="412"/>
      <c r="J102" s="413"/>
      <c r="K102" s="413"/>
      <c r="L102" s="413"/>
      <c r="M102" s="413"/>
      <c r="N102" s="413"/>
      <c r="O102" s="413"/>
      <c r="P102" s="414">
        <f>+C102+D102-E102+F102+G102+H102-I102-J102-K102-L102-O102+M102-N102</f>
        <v>0</v>
      </c>
      <c r="R102" s="6" t="s">
        <v>415</v>
      </c>
      <c r="S102" s="6">
        <v>1000</v>
      </c>
    </row>
    <row r="103" spans="1:19">
      <c r="A103" s="116"/>
      <c r="B103" s="610">
        <v>2012</v>
      </c>
      <c r="C103" s="412">
        <v>700</v>
      </c>
      <c r="D103" s="413"/>
      <c r="E103" s="413"/>
      <c r="F103" s="413"/>
      <c r="G103" s="413"/>
      <c r="H103" s="412"/>
      <c r="I103" s="412">
        <v>700</v>
      </c>
      <c r="J103" s="413"/>
      <c r="K103" s="413"/>
      <c r="L103" s="413"/>
      <c r="M103" s="413"/>
      <c r="N103" s="413"/>
      <c r="O103" s="413"/>
      <c r="P103" s="414">
        <f>+C103+D103-E103+F103+G103+H103-I103-J103-K103-L103-O103+M103-N103</f>
        <v>0</v>
      </c>
      <c r="R103" s="6" t="s">
        <v>410</v>
      </c>
      <c r="S103" s="6">
        <v>14</v>
      </c>
    </row>
    <row r="104" spans="1:19">
      <c r="A104" s="116"/>
      <c r="B104" s="610">
        <v>2013</v>
      </c>
      <c r="C104" s="412">
        <v>52</v>
      </c>
      <c r="D104" s="413"/>
      <c r="E104" s="413"/>
      <c r="F104" s="413"/>
      <c r="G104" s="413"/>
      <c r="H104" s="412"/>
      <c r="I104" s="412">
        <v>52</v>
      </c>
      <c r="J104" s="413"/>
      <c r="K104" s="413"/>
      <c r="L104" s="413"/>
      <c r="M104" s="413"/>
      <c r="N104" s="413"/>
      <c r="O104" s="413"/>
      <c r="P104" s="414">
        <f>+C104+D104-E104+F104+G104+H104-I104-J104-K104-L104-O104+M104-N104</f>
        <v>0</v>
      </c>
      <c r="R104" s="6" t="s">
        <v>411</v>
      </c>
      <c r="S104" s="6">
        <v>1735</v>
      </c>
    </row>
    <row r="105" spans="1:19">
      <c r="A105" s="116"/>
      <c r="B105" s="610">
        <v>2014</v>
      </c>
      <c r="C105" s="412">
        <v>300</v>
      </c>
      <c r="D105" s="413"/>
      <c r="E105" s="413"/>
      <c r="F105" s="413"/>
      <c r="G105" s="413"/>
      <c r="H105" s="412"/>
      <c r="I105" s="412">
        <v>220</v>
      </c>
      <c r="J105" s="415"/>
      <c r="K105" s="413"/>
      <c r="L105" s="413"/>
      <c r="M105" s="413"/>
      <c r="N105" s="413"/>
      <c r="O105" s="413"/>
      <c r="P105" s="416">
        <f>+C105+D105-E105+F105+G105+H105-I105-J105-K105-L105-O105+M105-N105</f>
        <v>80</v>
      </c>
      <c r="R105" s="6" t="s">
        <v>412</v>
      </c>
      <c r="S105" s="6">
        <v>600</v>
      </c>
    </row>
    <row r="106" spans="1:19">
      <c r="A106" s="116"/>
      <c r="B106" s="610">
        <v>2015</v>
      </c>
      <c r="C106" s="412">
        <v>0</v>
      </c>
      <c r="D106" s="412"/>
      <c r="E106" s="412"/>
      <c r="F106" s="412"/>
      <c r="G106" s="412"/>
      <c r="H106" s="412">
        <f>137+40</f>
        <v>177</v>
      </c>
      <c r="I106" s="412"/>
      <c r="J106" s="412"/>
      <c r="K106" s="412"/>
      <c r="L106" s="412"/>
      <c r="M106" s="412"/>
      <c r="N106" s="412"/>
      <c r="O106" s="412"/>
      <c r="P106" s="416">
        <f>+C106+D106-E106+F106+G106+H106-I106-J106-K106-L106-O106+M106-N106</f>
        <v>177</v>
      </c>
      <c r="S106" s="6">
        <f>SUM(S102:S105)</f>
        <v>3349</v>
      </c>
    </row>
    <row r="107" spans="1:19">
      <c r="A107" s="116"/>
      <c r="B107" s="417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9"/>
    </row>
    <row r="108" spans="1:19" ht="15">
      <c r="A108" s="129"/>
      <c r="B108" s="117" t="s">
        <v>356</v>
      </c>
      <c r="C108" s="391">
        <f>SUM(C102:C107)</f>
        <v>1052</v>
      </c>
      <c r="D108" s="391">
        <f>SUM(D102:D103)</f>
        <v>0</v>
      </c>
      <c r="E108" s="391">
        <f>SUM(E102:E103)</f>
        <v>0</v>
      </c>
      <c r="F108" s="391">
        <f>SUM(F102:F103)</f>
        <v>0</v>
      </c>
      <c r="G108" s="391">
        <f>SUM(G102:G103)</f>
        <v>0</v>
      </c>
      <c r="H108" s="391">
        <f>SUM(H103:H107)</f>
        <v>177</v>
      </c>
      <c r="I108" s="391">
        <f>SUM(I102:I107)</f>
        <v>972</v>
      </c>
      <c r="J108" s="391">
        <f>SUM(J104:J107)</f>
        <v>0</v>
      </c>
      <c r="K108" s="391"/>
      <c r="L108" s="391">
        <f>SUM(L102:L103)</f>
        <v>0</v>
      </c>
      <c r="M108" s="391">
        <f>SUM(M103:M104)</f>
        <v>0</v>
      </c>
      <c r="N108" s="391"/>
      <c r="O108" s="391">
        <f>SUM(O103:O104)</f>
        <v>0</v>
      </c>
      <c r="P108" s="392">
        <f>SUM(P102:P107)</f>
        <v>257</v>
      </c>
    </row>
    <row r="109" spans="1:19" ht="15">
      <c r="A109" s="116"/>
      <c r="B109" s="155" t="s">
        <v>389</v>
      </c>
      <c r="C109" s="156"/>
      <c r="D109" s="399"/>
      <c r="E109" s="400"/>
      <c r="F109" s="394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399"/>
      <c r="E110" s="400"/>
      <c r="F110" s="394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399"/>
      <c r="E111" s="400"/>
      <c r="F111" s="394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272">
        <v>2000</v>
      </c>
      <c r="C112" s="421">
        <v>0</v>
      </c>
      <c r="D112" s="399"/>
      <c r="E112" s="400"/>
      <c r="F112" s="394"/>
      <c r="G112" s="422"/>
      <c r="H112" s="422"/>
      <c r="I112" s="422"/>
      <c r="J112" s="422"/>
      <c r="K112" s="422"/>
      <c r="L112" s="422"/>
      <c r="M112" s="422"/>
      <c r="N112" s="422"/>
      <c r="O112" s="422"/>
      <c r="P112" s="423">
        <f t="shared" ref="P112:P128" si="7">+C112+D112-E112+F112+G112+H112-I112-J112-K112-L112-O112+M112-N112</f>
        <v>0</v>
      </c>
      <c r="R112" s="44">
        <f>C112*0.8</f>
        <v>0</v>
      </c>
      <c r="S112" s="206">
        <f>C112-R112</f>
        <v>0</v>
      </c>
    </row>
    <row r="113" spans="1:19" ht="15">
      <c r="A113" s="116"/>
      <c r="B113" s="272">
        <v>2001</v>
      </c>
      <c r="C113" s="421">
        <v>279</v>
      </c>
      <c r="D113" s="399"/>
      <c r="E113" s="400"/>
      <c r="F113" s="394"/>
      <c r="G113" s="422"/>
      <c r="H113" s="422"/>
      <c r="I113" s="422"/>
      <c r="J113" s="422">
        <v>279</v>
      </c>
      <c r="K113" s="422"/>
      <c r="L113" s="422"/>
      <c r="M113" s="422"/>
      <c r="N113" s="422"/>
      <c r="O113" s="422"/>
      <c r="P113" s="423">
        <f t="shared" si="7"/>
        <v>0</v>
      </c>
      <c r="R113" s="44">
        <f t="shared" ref="R113:R126" si="8">C113*0.8</f>
        <v>223.20000000000002</v>
      </c>
      <c r="S113" s="206">
        <f t="shared" ref="S113:S127" si="9">C113-R113</f>
        <v>55.799999999999983</v>
      </c>
    </row>
    <row r="114" spans="1:19" ht="15">
      <c r="A114" s="116"/>
      <c r="B114" s="272">
        <v>2002</v>
      </c>
      <c r="C114" s="421">
        <v>474</v>
      </c>
      <c r="D114" s="399"/>
      <c r="E114" s="400"/>
      <c r="F114" s="394"/>
      <c r="G114" s="422"/>
      <c r="H114" s="422"/>
      <c r="I114" s="422"/>
      <c r="J114" s="422">
        <v>474</v>
      </c>
      <c r="K114" s="422"/>
      <c r="L114" s="422"/>
      <c r="M114" s="422"/>
      <c r="N114" s="422"/>
      <c r="O114" s="422"/>
      <c r="P114" s="423">
        <f t="shared" si="7"/>
        <v>0</v>
      </c>
      <c r="R114" s="44">
        <f t="shared" si="8"/>
        <v>379.20000000000005</v>
      </c>
      <c r="S114" s="206">
        <f t="shared" si="9"/>
        <v>94.799999999999955</v>
      </c>
    </row>
    <row r="115" spans="1:19" ht="15">
      <c r="A115" s="116"/>
      <c r="B115" s="272">
        <v>2003</v>
      </c>
      <c r="C115" s="421">
        <v>0</v>
      </c>
      <c r="D115" s="399"/>
      <c r="E115" s="400"/>
      <c r="F115" s="394"/>
      <c r="G115" s="422"/>
      <c r="H115" s="422"/>
      <c r="I115" s="422"/>
      <c r="J115" s="422"/>
      <c r="K115" s="422"/>
      <c r="L115" s="422"/>
      <c r="M115" s="422"/>
      <c r="N115" s="422"/>
      <c r="O115" s="422"/>
      <c r="P115" s="423">
        <f t="shared" si="7"/>
        <v>0</v>
      </c>
      <c r="R115" s="44">
        <f t="shared" si="8"/>
        <v>0</v>
      </c>
      <c r="S115" s="206">
        <f t="shared" si="9"/>
        <v>0</v>
      </c>
    </row>
    <row r="116" spans="1:19" ht="15">
      <c r="A116" s="116"/>
      <c r="B116" s="272">
        <v>2004</v>
      </c>
      <c r="C116" s="421">
        <v>987</v>
      </c>
      <c r="D116" s="399"/>
      <c r="E116" s="400"/>
      <c r="F116" s="394"/>
      <c r="G116" s="422"/>
      <c r="H116" s="422"/>
      <c r="I116" s="422"/>
      <c r="J116" s="422">
        <v>200</v>
      </c>
      <c r="K116" s="422"/>
      <c r="L116" s="422"/>
      <c r="M116" s="422"/>
      <c r="N116" s="422"/>
      <c r="O116" s="422"/>
      <c r="P116" s="423">
        <f t="shared" si="7"/>
        <v>787</v>
      </c>
      <c r="R116" s="44">
        <f t="shared" si="8"/>
        <v>789.6</v>
      </c>
      <c r="S116" s="206">
        <f t="shared" si="9"/>
        <v>197.39999999999998</v>
      </c>
    </row>
    <row r="117" spans="1:19" ht="15">
      <c r="A117" s="116"/>
      <c r="B117" s="272">
        <v>2005</v>
      </c>
      <c r="C117" s="421">
        <v>674</v>
      </c>
      <c r="D117" s="399"/>
      <c r="E117" s="400"/>
      <c r="F117" s="394"/>
      <c r="G117" s="421"/>
      <c r="H117" s="421"/>
      <c r="I117" s="421"/>
      <c r="J117" s="421">
        <v>200</v>
      </c>
      <c r="K117" s="421"/>
      <c r="L117" s="421"/>
      <c r="M117" s="421"/>
      <c r="N117" s="421"/>
      <c r="O117" s="421"/>
      <c r="P117" s="424">
        <f t="shared" si="7"/>
        <v>474</v>
      </c>
      <c r="R117" s="44">
        <f t="shared" si="8"/>
        <v>539.20000000000005</v>
      </c>
      <c r="S117" s="206">
        <f t="shared" si="9"/>
        <v>134.79999999999995</v>
      </c>
    </row>
    <row r="118" spans="1:19" ht="15">
      <c r="A118" s="116"/>
      <c r="B118" s="272">
        <v>2006</v>
      </c>
      <c r="C118" s="421">
        <v>987</v>
      </c>
      <c r="D118" s="399"/>
      <c r="E118" s="400"/>
      <c r="F118" s="394"/>
      <c r="G118" s="421"/>
      <c r="H118" s="421"/>
      <c r="I118" s="421"/>
      <c r="J118" s="421">
        <v>200</v>
      </c>
      <c r="K118" s="421"/>
      <c r="L118" s="421"/>
      <c r="M118" s="421"/>
      <c r="N118" s="421"/>
      <c r="O118" s="421"/>
      <c r="P118" s="424">
        <f t="shared" si="7"/>
        <v>787</v>
      </c>
      <c r="R118" s="44">
        <f t="shared" si="8"/>
        <v>789.6</v>
      </c>
      <c r="S118" s="206">
        <f t="shared" si="9"/>
        <v>197.39999999999998</v>
      </c>
    </row>
    <row r="119" spans="1:19" ht="15">
      <c r="A119" s="116"/>
      <c r="B119" s="272">
        <v>2007</v>
      </c>
      <c r="C119" s="421">
        <v>935</v>
      </c>
      <c r="D119" s="399"/>
      <c r="E119" s="400"/>
      <c r="F119" s="394"/>
      <c r="G119" s="421"/>
      <c r="H119" s="421"/>
      <c r="I119" s="421"/>
      <c r="J119" s="421"/>
      <c r="K119" s="421"/>
      <c r="L119" s="421"/>
      <c r="M119" s="421"/>
      <c r="N119" s="421"/>
      <c r="O119" s="421"/>
      <c r="P119" s="424">
        <f t="shared" si="7"/>
        <v>935</v>
      </c>
      <c r="R119" s="44">
        <f t="shared" si="8"/>
        <v>748</v>
      </c>
      <c r="S119" s="206">
        <f t="shared" si="9"/>
        <v>187</v>
      </c>
    </row>
    <row r="120" spans="1:19" ht="15">
      <c r="A120" s="116"/>
      <c r="B120" s="272">
        <v>2008</v>
      </c>
      <c r="C120" s="421">
        <v>265</v>
      </c>
      <c r="D120" s="399"/>
      <c r="E120" s="400"/>
      <c r="F120" s="394"/>
      <c r="G120" s="421"/>
      <c r="H120" s="421">
        <v>800</v>
      </c>
      <c r="I120" s="421"/>
      <c r="J120" s="421"/>
      <c r="K120" s="421"/>
      <c r="L120" s="421"/>
      <c r="M120" s="421"/>
      <c r="N120" s="421"/>
      <c r="O120" s="421"/>
      <c r="P120" s="424">
        <f t="shared" si="7"/>
        <v>1065</v>
      </c>
      <c r="R120" s="44">
        <f t="shared" si="8"/>
        <v>212</v>
      </c>
      <c r="S120" s="206">
        <f t="shared" si="9"/>
        <v>53</v>
      </c>
    </row>
    <row r="121" spans="1:19" ht="15">
      <c r="A121" s="116"/>
      <c r="B121" s="272">
        <v>2009</v>
      </c>
      <c r="C121" s="421">
        <v>1566</v>
      </c>
      <c r="D121" s="399"/>
      <c r="E121" s="400"/>
      <c r="F121" s="394"/>
      <c r="G121" s="421"/>
      <c r="H121" s="422">
        <v>304</v>
      </c>
      <c r="I121" s="421"/>
      <c r="J121" s="421">
        <v>114</v>
      </c>
      <c r="K121" s="421"/>
      <c r="L121" s="421"/>
      <c r="M121" s="421"/>
      <c r="N121" s="421"/>
      <c r="O121" s="421"/>
      <c r="P121" s="424">
        <f t="shared" si="7"/>
        <v>1756</v>
      </c>
      <c r="R121" s="44">
        <f t="shared" si="8"/>
        <v>1252.8000000000002</v>
      </c>
      <c r="S121" s="206">
        <f t="shared" si="9"/>
        <v>313.19999999999982</v>
      </c>
    </row>
    <row r="122" spans="1:19" ht="15">
      <c r="A122" s="116"/>
      <c r="B122" s="272">
        <v>2010</v>
      </c>
      <c r="C122" s="421">
        <v>0</v>
      </c>
      <c r="D122" s="399"/>
      <c r="E122" s="400"/>
      <c r="F122" s="394"/>
      <c r="G122" s="421"/>
      <c r="H122" s="422">
        <v>220</v>
      </c>
      <c r="I122" s="421"/>
      <c r="J122" s="421"/>
      <c r="K122" s="421"/>
      <c r="L122" s="421"/>
      <c r="M122" s="421"/>
      <c r="N122" s="421"/>
      <c r="O122" s="421"/>
      <c r="P122" s="424">
        <f t="shared" si="7"/>
        <v>220</v>
      </c>
      <c r="Q122" s="206"/>
      <c r="R122" s="44">
        <f t="shared" si="8"/>
        <v>0</v>
      </c>
      <c r="S122" s="206">
        <f t="shared" si="9"/>
        <v>0</v>
      </c>
    </row>
    <row r="123" spans="1:19" ht="15">
      <c r="A123" s="116"/>
      <c r="B123" s="272">
        <v>2011</v>
      </c>
      <c r="C123" s="421">
        <v>0</v>
      </c>
      <c r="D123" s="399"/>
      <c r="E123" s="400"/>
      <c r="F123" s="394"/>
      <c r="G123" s="421"/>
      <c r="H123" s="421"/>
      <c r="I123" s="421"/>
      <c r="J123" s="421"/>
      <c r="K123" s="421"/>
      <c r="L123" s="421"/>
      <c r="M123" s="421"/>
      <c r="N123" s="421"/>
      <c r="O123" s="421"/>
      <c r="P123" s="424">
        <f t="shared" si="7"/>
        <v>0</v>
      </c>
      <c r="R123" s="44">
        <f t="shared" si="8"/>
        <v>0</v>
      </c>
      <c r="S123" s="206">
        <f t="shared" si="9"/>
        <v>0</v>
      </c>
    </row>
    <row r="124" spans="1:19" ht="15">
      <c r="A124" s="116"/>
      <c r="B124" s="272">
        <v>2012</v>
      </c>
      <c r="C124" s="421">
        <v>0</v>
      </c>
      <c r="D124" s="399"/>
      <c r="E124" s="400"/>
      <c r="F124" s="394"/>
      <c r="G124" s="421"/>
      <c r="H124" s="421"/>
      <c r="I124" s="421"/>
      <c r="J124" s="421"/>
      <c r="K124" s="421"/>
      <c r="L124" s="421"/>
      <c r="M124" s="421"/>
      <c r="N124" s="421"/>
      <c r="O124" s="421"/>
      <c r="P124" s="424">
        <f t="shared" si="7"/>
        <v>0</v>
      </c>
      <c r="R124" s="44">
        <f t="shared" si="8"/>
        <v>0</v>
      </c>
      <c r="S124" s="206">
        <f t="shared" si="9"/>
        <v>0</v>
      </c>
    </row>
    <row r="125" spans="1:19" ht="15">
      <c r="A125" s="116"/>
      <c r="B125" s="272">
        <v>2013</v>
      </c>
      <c r="C125" s="421">
        <v>0</v>
      </c>
      <c r="D125" s="399"/>
      <c r="E125" s="400"/>
      <c r="F125" s="394"/>
      <c r="G125" s="421"/>
      <c r="H125" s="421"/>
      <c r="I125" s="421"/>
      <c r="J125" s="421"/>
      <c r="K125" s="421"/>
      <c r="L125" s="421"/>
      <c r="M125" s="421"/>
      <c r="N125" s="421"/>
      <c r="O125" s="421"/>
      <c r="P125" s="424">
        <f t="shared" si="7"/>
        <v>0</v>
      </c>
      <c r="R125" s="44">
        <f t="shared" si="8"/>
        <v>0</v>
      </c>
      <c r="S125" s="206">
        <f t="shared" si="9"/>
        <v>0</v>
      </c>
    </row>
    <row r="126" spans="1:19">
      <c r="A126" s="116"/>
      <c r="B126" s="272">
        <v>2014</v>
      </c>
      <c r="C126" s="421">
        <v>0</v>
      </c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4">
        <f t="shared" si="7"/>
        <v>0</v>
      </c>
      <c r="Q126" s="145"/>
      <c r="R126" s="44">
        <f t="shared" si="8"/>
        <v>0</v>
      </c>
      <c r="S126" s="206">
        <f t="shared" si="9"/>
        <v>0</v>
      </c>
    </row>
    <row r="127" spans="1:19">
      <c r="A127" s="116"/>
      <c r="B127" s="420"/>
      <c r="C127" s="421">
        <v>0</v>
      </c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4">
        <f t="shared" si="7"/>
        <v>0</v>
      </c>
      <c r="Q127" s="145"/>
      <c r="R127" s="44">
        <f>C127*0.8</f>
        <v>0</v>
      </c>
      <c r="S127" s="206">
        <f t="shared" si="9"/>
        <v>0</v>
      </c>
    </row>
    <row r="128" spans="1:19">
      <c r="A128" s="243"/>
      <c r="B128" s="420"/>
      <c r="C128" s="421">
        <v>0</v>
      </c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4">
        <f t="shared" si="7"/>
        <v>0</v>
      </c>
      <c r="Q128" s="145"/>
      <c r="R128" s="44">
        <f>SUM(R112:R127)</f>
        <v>4933.6000000000004</v>
      </c>
      <c r="S128" s="44">
        <f>SUM(S112:S127)</f>
        <v>1233.3999999999996</v>
      </c>
    </row>
    <row r="129" spans="1:19">
      <c r="A129" s="116"/>
      <c r="B129" s="425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7"/>
      <c r="Q129" s="145"/>
      <c r="R129" s="44"/>
      <c r="S129" s="206"/>
    </row>
    <row r="130" spans="1:19" ht="15.75" thickBot="1">
      <c r="A130" s="129"/>
      <c r="B130" s="130" t="s">
        <v>356</v>
      </c>
      <c r="C130" s="391">
        <f>SUM(C112:C129)</f>
        <v>6167</v>
      </c>
      <c r="D130" s="391">
        <f>SUM(D112:D123)</f>
        <v>0</v>
      </c>
      <c r="E130" s="391">
        <f>SUM(E112:E123)</f>
        <v>0</v>
      </c>
      <c r="F130" s="391">
        <f>SUM(F112:F123)</f>
        <v>0</v>
      </c>
      <c r="G130" s="391">
        <f>SUM(G112:G123)</f>
        <v>0</v>
      </c>
      <c r="H130" s="391">
        <f>SUM(H112:H129)</f>
        <v>1324</v>
      </c>
      <c r="I130" s="391">
        <f>SUM(I112:I129)</f>
        <v>0</v>
      </c>
      <c r="J130" s="391">
        <f>SUM(J111:J123)</f>
        <v>1467</v>
      </c>
      <c r="K130" s="391">
        <f>SUM(K112:K123)</f>
        <v>0</v>
      </c>
      <c r="L130" s="391">
        <f>SUM(L112:L123)</f>
        <v>0</v>
      </c>
      <c r="M130" s="391">
        <f>SUM(M116:M123)</f>
        <v>0</v>
      </c>
      <c r="N130" s="391"/>
      <c r="O130" s="391">
        <f>SUM(O112:O123)</f>
        <v>0</v>
      </c>
      <c r="P130" s="401">
        <f>SUM(P112:P129)</f>
        <v>6024</v>
      </c>
      <c r="R130" s="206">
        <f>P130-C130</f>
        <v>-143</v>
      </c>
    </row>
    <row r="131" spans="1:19" ht="16.5" thickTop="1" thickBot="1">
      <c r="A131" s="147"/>
      <c r="B131" s="148" t="s">
        <v>399</v>
      </c>
      <c r="C131" s="428">
        <f t="shared" ref="C131:M131" si="10">+C14+C24+C35+C53+C70+C79+C88+C98+C108+C130</f>
        <v>13747</v>
      </c>
      <c r="D131" s="428">
        <f t="shared" si="10"/>
        <v>0</v>
      </c>
      <c r="E131" s="428">
        <f t="shared" si="10"/>
        <v>0</v>
      </c>
      <c r="F131" s="428">
        <f t="shared" si="10"/>
        <v>0</v>
      </c>
      <c r="G131" s="428">
        <f t="shared" si="10"/>
        <v>4035</v>
      </c>
      <c r="H131" s="428">
        <f t="shared" si="10"/>
        <v>5867</v>
      </c>
      <c r="I131" s="428">
        <f t="shared" si="10"/>
        <v>5867</v>
      </c>
      <c r="J131" s="428">
        <f t="shared" si="10"/>
        <v>3600</v>
      </c>
      <c r="K131" s="428">
        <f t="shared" si="10"/>
        <v>0</v>
      </c>
      <c r="L131" s="428">
        <f t="shared" si="10"/>
        <v>0</v>
      </c>
      <c r="M131" s="428">
        <f t="shared" si="10"/>
        <v>0</v>
      </c>
      <c r="N131" s="428"/>
      <c r="O131" s="428">
        <f>+O14+O24+O35+O53+O70+O79+O88+O98+O108+O130</f>
        <v>202</v>
      </c>
      <c r="P131" s="429">
        <f>+P14+P24+P35+P53+P70+P79+P88+P98+P108+P130</f>
        <v>13980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206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honeticPr fontId="25" type="noConversion"/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1" manualBreakCount="1">
    <brk id="70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111111111111111111111166"/>
  <dimension ref="A1:S161"/>
  <sheetViews>
    <sheetView showGridLines="0" view="pageBreakPreview" topLeftCell="A3" zoomScale="60" zoomScaleNormal="85" workbookViewId="0">
      <pane xSplit="3" ySplit="3" topLeftCell="D108" activePane="bottomRight" state="frozen"/>
      <selection activeCell="P94" sqref="P94"/>
      <selection pane="topRight" activeCell="P94" sqref="P94"/>
      <selection pane="bottomLeft" activeCell="P94" sqref="P94"/>
      <selection pane="bottomRight" activeCell="I126" sqref="I126"/>
    </sheetView>
  </sheetViews>
  <sheetFormatPr baseColWidth="10" defaultRowHeight="12.75"/>
  <cols>
    <col min="1" max="1" width="14.85546875" style="6" customWidth="1"/>
    <col min="2" max="2" width="24.28515625" style="6" customWidth="1"/>
    <col min="3" max="3" width="12.5703125" style="6" customWidth="1"/>
    <col min="4" max="4" width="10.140625" style="6" customWidth="1"/>
    <col min="5" max="5" width="11.7109375" style="6" customWidth="1"/>
    <col min="6" max="6" width="13.5703125" style="6" bestFit="1" customWidth="1"/>
    <col min="7" max="7" width="12.42578125" style="6" customWidth="1"/>
    <col min="8" max="8" width="11.85546875" style="6" customWidth="1"/>
    <col min="9" max="9" width="12.28515625" style="6" bestFit="1" customWidth="1"/>
    <col min="10" max="10" width="13.140625" style="6" customWidth="1"/>
    <col min="11" max="11" width="8.7109375" style="6" customWidth="1"/>
    <col min="12" max="12" width="7.85546875" style="6" customWidth="1"/>
    <col min="13" max="14" width="7.7109375" style="6" customWidth="1"/>
    <col min="15" max="15" width="11.85546875" style="6" customWidth="1"/>
    <col min="16" max="16" width="12.5703125" style="6" customWidth="1"/>
    <col min="17" max="16384" width="11.42578125" style="6"/>
  </cols>
  <sheetData>
    <row r="1" spans="1:19" ht="19.5">
      <c r="A1" s="89"/>
      <c r="B1" s="89"/>
      <c r="C1" s="90" t="s">
        <v>326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ht="18.75">
      <c r="A2" s="89"/>
      <c r="B2" s="89"/>
      <c r="C2" s="91" t="s">
        <v>327</v>
      </c>
      <c r="D2" s="89"/>
      <c r="E2" s="89"/>
      <c r="F2" s="89"/>
      <c r="G2" s="89"/>
      <c r="H2" s="89"/>
      <c r="J2" s="92" t="s">
        <v>328</v>
      </c>
      <c r="K2" s="92"/>
      <c r="L2" s="92"/>
      <c r="M2" s="92"/>
      <c r="N2" s="92"/>
      <c r="O2" s="89"/>
      <c r="P2" s="89"/>
    </row>
    <row r="3" spans="1:19" ht="15.75" thickBot="1">
      <c r="A3" s="89"/>
      <c r="B3" s="89"/>
      <c r="C3" s="93" t="s">
        <v>329</v>
      </c>
      <c r="D3" s="93"/>
      <c r="E3" s="94" t="s">
        <v>330</v>
      </c>
      <c r="F3" s="95"/>
      <c r="G3" s="93" t="s">
        <v>409</v>
      </c>
      <c r="H3" s="93"/>
      <c r="I3" s="94"/>
      <c r="J3" s="89"/>
      <c r="K3" s="89"/>
      <c r="L3" s="89"/>
      <c r="M3" s="89"/>
      <c r="N3" s="89"/>
      <c r="O3" s="89"/>
      <c r="P3" s="89"/>
    </row>
    <row r="4" spans="1:19" ht="15.75" thickTop="1">
      <c r="A4" s="96" t="s">
        <v>332</v>
      </c>
      <c r="B4" s="97"/>
      <c r="C4" s="98" t="s">
        <v>333</v>
      </c>
      <c r="D4" s="99" t="s">
        <v>334</v>
      </c>
      <c r="E4" s="100"/>
      <c r="F4" s="101"/>
      <c r="G4" s="98" t="s">
        <v>335</v>
      </c>
      <c r="H4" s="102" t="s">
        <v>336</v>
      </c>
      <c r="I4" s="103"/>
      <c r="J4" s="101"/>
      <c r="K4" s="101" t="s">
        <v>337</v>
      </c>
      <c r="L4" s="101"/>
      <c r="M4" s="104" t="s">
        <v>338</v>
      </c>
      <c r="N4" s="105"/>
      <c r="O4" s="101"/>
      <c r="P4" s="106" t="s">
        <v>339</v>
      </c>
    </row>
    <row r="5" spans="1:19" ht="15">
      <c r="A5" s="107"/>
      <c r="B5" s="154"/>
      <c r="C5" s="109" t="s">
        <v>340</v>
      </c>
      <c r="D5" s="110" t="s">
        <v>341</v>
      </c>
      <c r="E5" s="111" t="s">
        <v>342</v>
      </c>
      <c r="F5" s="109" t="s">
        <v>343</v>
      </c>
      <c r="G5" s="109" t="s">
        <v>344</v>
      </c>
      <c r="H5" s="112" t="s">
        <v>345</v>
      </c>
      <c r="I5" s="113" t="s">
        <v>346</v>
      </c>
      <c r="J5" s="109" t="s">
        <v>273</v>
      </c>
      <c r="K5" s="109" t="s">
        <v>347</v>
      </c>
      <c r="L5" s="109" t="s">
        <v>348</v>
      </c>
      <c r="M5" s="114" t="s">
        <v>341</v>
      </c>
      <c r="N5" s="114" t="s">
        <v>342</v>
      </c>
      <c r="O5" s="109" t="s">
        <v>349</v>
      </c>
      <c r="P5" s="115" t="s">
        <v>350</v>
      </c>
    </row>
    <row r="6" spans="1:19">
      <c r="A6" s="116"/>
      <c r="B6" s="155" t="s">
        <v>68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9">
      <c r="A7" s="116"/>
      <c r="B7" s="117" t="s">
        <v>351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9">
      <c r="A8" s="116" t="s">
        <v>352</v>
      </c>
      <c r="B8" s="117" t="s">
        <v>353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9">
      <c r="A9" s="116"/>
      <c r="B9" s="123">
        <v>2015</v>
      </c>
      <c r="C9" s="160">
        <v>43</v>
      </c>
      <c r="D9" s="160"/>
      <c r="E9" s="160"/>
      <c r="F9" s="160"/>
      <c r="G9" s="160"/>
      <c r="H9" s="160"/>
      <c r="I9" s="160">
        <v>43</v>
      </c>
      <c r="J9" s="160"/>
      <c r="K9" s="160"/>
      <c r="L9" s="160"/>
      <c r="M9" s="160"/>
      <c r="N9" s="160"/>
      <c r="O9" s="160"/>
      <c r="P9" s="161">
        <f>+C9+D9-E9+F9+G9+H9-I9-J9-K9-L9-O9+M9-N9</f>
        <v>0</v>
      </c>
      <c r="Q9" s="56"/>
      <c r="R9" s="56"/>
      <c r="S9" s="56"/>
    </row>
    <row r="10" spans="1:19">
      <c r="A10" s="116"/>
      <c r="B10" s="123">
        <v>2016</v>
      </c>
      <c r="C10" s="160">
        <v>1916</v>
      </c>
      <c r="D10" s="160"/>
      <c r="E10" s="160"/>
      <c r="F10" s="160"/>
      <c r="G10" s="160"/>
      <c r="H10" s="160"/>
      <c r="I10" s="160">
        <v>1916</v>
      </c>
      <c r="J10" s="160"/>
      <c r="K10" s="160"/>
      <c r="L10" s="160"/>
      <c r="M10" s="160"/>
      <c r="N10" s="160"/>
      <c r="O10" s="160"/>
      <c r="P10" s="161">
        <f>+C10+D10-E10+F10+G10+H10-I10-J10-K10-L10-O10+M10-N10</f>
        <v>0</v>
      </c>
    </row>
    <row r="11" spans="1:19">
      <c r="A11" s="116"/>
      <c r="B11" s="123">
        <v>2017</v>
      </c>
      <c r="C11" s="160"/>
      <c r="D11" s="160"/>
      <c r="E11" s="160"/>
      <c r="F11" s="160"/>
      <c r="G11" s="160">
        <v>1901</v>
      </c>
      <c r="H11" s="160"/>
      <c r="I11" s="160"/>
      <c r="J11" s="160"/>
      <c r="K11" s="160"/>
      <c r="L11" s="160"/>
      <c r="M11" s="160"/>
      <c r="N11" s="160"/>
      <c r="O11" s="160">
        <v>95</v>
      </c>
      <c r="P11" s="161">
        <f>+C11+D11-E11+F11+G11+H11-I11-J11-K11-L11-O11+M11-N11</f>
        <v>1806</v>
      </c>
    </row>
    <row r="12" spans="1:19">
      <c r="A12" s="116"/>
      <c r="B12" s="123">
        <v>2018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>
        <f>+C12+D12-E12+F12+G12+H12-I12-J12-K12-L12-O12+M12-N12</f>
        <v>0</v>
      </c>
    </row>
    <row r="13" spans="1:19">
      <c r="A13" s="116"/>
      <c r="B13" s="114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1:19" ht="15">
      <c r="A14" s="129"/>
      <c r="B14" s="117" t="s">
        <v>356</v>
      </c>
      <c r="C14" s="391">
        <f>SUM(C9:C13)</f>
        <v>1959</v>
      </c>
      <c r="D14" s="391">
        <f t="shared" ref="D14:J14" si="0">SUM(D9:D10)</f>
        <v>0</v>
      </c>
      <c r="E14" s="391">
        <f t="shared" si="0"/>
        <v>0</v>
      </c>
      <c r="F14" s="391">
        <f t="shared" si="0"/>
        <v>0</v>
      </c>
      <c r="G14" s="391">
        <f>SUM(G9:G13)</f>
        <v>1901</v>
      </c>
      <c r="H14" s="391">
        <f t="shared" si="0"/>
        <v>0</v>
      </c>
      <c r="I14" s="391">
        <f>SUM(I9:I13)</f>
        <v>1959</v>
      </c>
      <c r="J14" s="391">
        <f t="shared" si="0"/>
        <v>0</v>
      </c>
      <c r="K14" s="391">
        <f>SUM(K10)</f>
        <v>0</v>
      </c>
      <c r="L14" s="391">
        <f>SUM(L9:L10)</f>
        <v>0</v>
      </c>
      <c r="M14" s="391">
        <f>SUM(M10)</f>
        <v>0</v>
      </c>
      <c r="N14" s="391"/>
      <c r="O14" s="391">
        <f>SUM(O9:O13)</f>
        <v>95</v>
      </c>
      <c r="P14" s="392">
        <f>SUM(P9:P13)</f>
        <v>1806</v>
      </c>
    </row>
    <row r="15" spans="1:19">
      <c r="A15" s="116"/>
      <c r="B15" s="155" t="s">
        <v>74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1:19">
      <c r="A16" s="116"/>
      <c r="B16" s="117" t="s">
        <v>357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7">
      <c r="A17" s="116" t="s">
        <v>358</v>
      </c>
      <c r="B17" s="117" t="s">
        <v>353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7">
      <c r="A18" s="116"/>
      <c r="B18" s="123">
        <v>2015</v>
      </c>
      <c r="C18" s="160">
        <v>250</v>
      </c>
      <c r="D18" s="160"/>
      <c r="E18" s="160"/>
      <c r="F18" s="160"/>
      <c r="G18" s="160"/>
      <c r="H18" s="160"/>
      <c r="I18" s="160">
        <v>250</v>
      </c>
      <c r="J18" s="160"/>
      <c r="K18" s="160"/>
      <c r="L18" s="160"/>
      <c r="M18" s="160"/>
      <c r="N18" s="160"/>
      <c r="O18" s="160"/>
      <c r="P18" s="161">
        <f>+C18+D18-E18+F18+G18+H18-I18-J18-K18-L18-O18+M18-N18</f>
        <v>0</v>
      </c>
    </row>
    <row r="19" spans="1:17">
      <c r="A19" s="116"/>
      <c r="B19" s="123">
        <v>2016</v>
      </c>
      <c r="C19" s="160"/>
      <c r="D19" s="160"/>
      <c r="E19" s="160"/>
      <c r="F19" s="160"/>
      <c r="G19" s="160"/>
      <c r="H19" s="160">
        <v>316</v>
      </c>
      <c r="I19" s="160"/>
      <c r="J19" s="160"/>
      <c r="K19" s="160"/>
      <c r="L19" s="160"/>
      <c r="M19" s="160"/>
      <c r="N19" s="160"/>
      <c r="O19" s="160"/>
      <c r="P19" s="161">
        <f>+C19+D19-E19+F19+G19+H19-I19-J19-K19-L19-O19+M19-N19</f>
        <v>316</v>
      </c>
    </row>
    <row r="20" spans="1:17">
      <c r="A20" s="116"/>
      <c r="B20" s="123">
        <v>2017</v>
      </c>
      <c r="D20" s="160"/>
      <c r="E20" s="160"/>
      <c r="F20" s="160"/>
      <c r="G20" s="160"/>
      <c r="H20" s="160"/>
      <c r="I20" s="393"/>
      <c r="J20" s="160"/>
      <c r="K20" s="160"/>
      <c r="L20" s="160"/>
      <c r="M20" s="160"/>
      <c r="N20" s="160"/>
      <c r="O20" s="160"/>
      <c r="P20" s="461">
        <f>+C20+D20-E20+F20+G20+H20-I20-J20-K20-L20-O20+M20-N20</f>
        <v>0</v>
      </c>
    </row>
    <row r="21" spans="1:17">
      <c r="A21" s="116"/>
      <c r="B21" s="123">
        <v>2018</v>
      </c>
      <c r="D21" s="160"/>
      <c r="E21" s="160"/>
      <c r="F21" s="160"/>
      <c r="G21" s="160"/>
      <c r="H21" s="321"/>
      <c r="I21" s="160"/>
      <c r="J21" s="160"/>
      <c r="K21" s="160"/>
      <c r="L21" s="160"/>
      <c r="M21" s="160"/>
      <c r="N21" s="160"/>
      <c r="O21" s="160"/>
      <c r="P21" s="461">
        <f>+C21+D21-E21+F21+G21+H21-I21-J21-K21-L21-O21+M21-N21</f>
        <v>0</v>
      </c>
    </row>
    <row r="22" spans="1:17">
      <c r="A22" s="116"/>
      <c r="B22" s="123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7">
      <c r="A23" s="116"/>
      <c r="B23" s="114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1:17" ht="15">
      <c r="A24" s="129"/>
      <c r="B24" s="117" t="s">
        <v>356</v>
      </c>
      <c r="C24" s="394">
        <f>SUM(C18:C23)</f>
        <v>250</v>
      </c>
      <c r="D24" s="391">
        <f>SUM(D18:D19)</f>
        <v>0</v>
      </c>
      <c r="E24" s="391">
        <f>SUM(E20)</f>
        <v>0</v>
      </c>
      <c r="F24" s="391"/>
      <c r="G24" s="391">
        <f>SUM(G19:G21)</f>
        <v>0</v>
      </c>
      <c r="H24" s="391">
        <f>SUM(H19:H23)</f>
        <v>316</v>
      </c>
      <c r="I24" s="391">
        <f>SUM(I18:I23)</f>
        <v>250</v>
      </c>
      <c r="J24" s="391">
        <f>SUM(J18:J19)</f>
        <v>0</v>
      </c>
      <c r="K24" s="391"/>
      <c r="L24" s="391">
        <f>SUM(L18:L19)</f>
        <v>0</v>
      </c>
      <c r="M24" s="391">
        <f>SUM(M19)</f>
        <v>0</v>
      </c>
      <c r="N24" s="391"/>
      <c r="O24" s="391">
        <f>SUM(O18:O19)</f>
        <v>0</v>
      </c>
      <c r="P24" s="392">
        <f>SUM(P18:P23)</f>
        <v>316</v>
      </c>
    </row>
    <row r="25" spans="1:17" ht="15">
      <c r="A25" s="116"/>
      <c r="B25" s="167" t="s">
        <v>83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6"/>
    </row>
    <row r="26" spans="1:17" ht="15">
      <c r="A26" s="116"/>
      <c r="B26" s="170" t="s">
        <v>360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7"/>
    </row>
    <row r="27" spans="1:17" ht="15">
      <c r="A27" s="116" t="s">
        <v>361</v>
      </c>
      <c r="B27" s="170" t="s">
        <v>353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7"/>
    </row>
    <row r="28" spans="1:17" ht="15">
      <c r="A28" s="116"/>
      <c r="B28" s="123">
        <v>2014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7">
        <f t="shared" ref="P28:P33" si="1">+C28+D28-E28+F28+G28+H28-I28-J28-K28-L28-O28+M28-N28</f>
        <v>0</v>
      </c>
    </row>
    <row r="29" spans="1:17" ht="15">
      <c r="A29" s="116"/>
      <c r="B29" s="123">
        <v>2015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7">
        <f t="shared" si="1"/>
        <v>0</v>
      </c>
      <c r="Q29" s="56"/>
    </row>
    <row r="30" spans="1:17" ht="15">
      <c r="A30" s="116"/>
      <c r="B30" s="123">
        <v>2016</v>
      </c>
      <c r="C30" s="394">
        <v>269</v>
      </c>
      <c r="D30" s="394"/>
      <c r="E30" s="394"/>
      <c r="F30" s="394"/>
      <c r="G30" s="394"/>
      <c r="H30" s="394">
        <v>1600</v>
      </c>
      <c r="I30" s="394"/>
      <c r="J30" s="394">
        <v>1700</v>
      </c>
      <c r="K30" s="394"/>
      <c r="L30" s="394"/>
      <c r="M30" s="394"/>
      <c r="N30" s="394"/>
      <c r="O30" s="394"/>
      <c r="P30" s="397">
        <f t="shared" si="1"/>
        <v>169</v>
      </c>
      <c r="Q30" s="56"/>
    </row>
    <row r="31" spans="1:17" ht="15">
      <c r="A31" s="116"/>
      <c r="B31" s="123">
        <v>2017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7">
        <f t="shared" si="1"/>
        <v>0</v>
      </c>
      <c r="Q31" s="56"/>
    </row>
    <row r="32" spans="1:17" ht="15">
      <c r="A32" s="116"/>
      <c r="B32" s="123">
        <v>2018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7">
        <f t="shared" si="1"/>
        <v>0</v>
      </c>
      <c r="Q32" s="56"/>
    </row>
    <row r="33" spans="1:17" ht="15">
      <c r="A33" s="116"/>
      <c r="B33" s="172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7">
        <f t="shared" si="1"/>
        <v>0</v>
      </c>
      <c r="Q33" s="56"/>
    </row>
    <row r="34" spans="1:17" ht="15">
      <c r="A34" s="116"/>
      <c r="B34" s="124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8"/>
      <c r="Q34" s="56"/>
    </row>
    <row r="35" spans="1:17" ht="15">
      <c r="A35" s="129"/>
      <c r="B35" s="117" t="s">
        <v>356</v>
      </c>
      <c r="C35" s="391">
        <f>SUM(C28:C34)</f>
        <v>269</v>
      </c>
      <c r="D35" s="391">
        <f>SUM(D28:D29)</f>
        <v>0</v>
      </c>
      <c r="E35" s="391">
        <f>SUM(E28:E29)</f>
        <v>0</v>
      </c>
      <c r="F35" s="391">
        <f>SUM(F29:F29)</f>
        <v>0</v>
      </c>
      <c r="G35" s="391">
        <f>SUM(G29:G29)</f>
        <v>0</v>
      </c>
      <c r="H35" s="391">
        <f>SUM(H28:H34)</f>
        <v>1600</v>
      </c>
      <c r="I35" s="391">
        <f>SUM(I28:I34)</f>
        <v>0</v>
      </c>
      <c r="J35" s="391">
        <f>SUM(J28:J34)</f>
        <v>1700</v>
      </c>
      <c r="K35" s="391"/>
      <c r="L35" s="391">
        <f>SUM(L28:L29)</f>
        <v>0</v>
      </c>
      <c r="M35" s="391"/>
      <c r="N35" s="391"/>
      <c r="O35" s="391">
        <f>SUM(O28:O29)</f>
        <v>0</v>
      </c>
      <c r="P35" s="392">
        <f>SUM(P28:P34)</f>
        <v>169</v>
      </c>
    </row>
    <row r="36" spans="1:17">
      <c r="A36" s="116"/>
      <c r="B36" s="155" t="s">
        <v>363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74"/>
    </row>
    <row r="37" spans="1:17">
      <c r="A37" s="116"/>
      <c r="B37" s="117" t="s">
        <v>364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75"/>
    </row>
    <row r="38" spans="1:17">
      <c r="A38" s="116"/>
      <c r="B38" s="117" t="s">
        <v>353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75"/>
    </row>
    <row r="39" spans="1:17">
      <c r="A39" s="116" t="s">
        <v>365</v>
      </c>
      <c r="B39" s="123">
        <v>2009</v>
      </c>
      <c r="C39" s="160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7">
        <f t="shared" ref="P39:P50" si="2">+C39+D39-E39+F39+G39+H39-I39-J39-K39-L39-O39+M39-N39</f>
        <v>0</v>
      </c>
    </row>
    <row r="40" spans="1:17">
      <c r="A40" s="116"/>
      <c r="B40" s="123">
        <v>2010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1">
        <f t="shared" si="2"/>
        <v>0</v>
      </c>
    </row>
    <row r="41" spans="1:17">
      <c r="A41" s="116"/>
      <c r="B41" s="123">
        <v>2011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1">
        <f t="shared" si="2"/>
        <v>0</v>
      </c>
    </row>
    <row r="42" spans="1:17">
      <c r="A42" s="116"/>
      <c r="B42" s="123">
        <v>2012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>
        <f t="shared" si="2"/>
        <v>0</v>
      </c>
      <c r="Q42" s="56"/>
    </row>
    <row r="43" spans="1:17">
      <c r="A43" s="116"/>
      <c r="B43" s="123">
        <v>2013</v>
      </c>
      <c r="C43" s="160">
        <v>26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>
        <f t="shared" si="2"/>
        <v>26</v>
      </c>
      <c r="Q43" s="56"/>
    </row>
    <row r="44" spans="1:17">
      <c r="A44" s="116"/>
      <c r="B44" s="123">
        <v>2014</v>
      </c>
      <c r="C44" s="160">
        <v>15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>
        <f t="shared" si="2"/>
        <v>15</v>
      </c>
      <c r="Q44" s="56"/>
    </row>
    <row r="45" spans="1:17">
      <c r="A45" s="116"/>
      <c r="B45" s="123">
        <v>2015</v>
      </c>
      <c r="C45" s="160"/>
      <c r="D45" s="160"/>
      <c r="E45" s="160"/>
      <c r="F45" s="160"/>
      <c r="G45" s="160"/>
      <c r="H45" s="160">
        <f>43+250</f>
        <v>293</v>
      </c>
      <c r="I45" s="160"/>
      <c r="J45" s="160"/>
      <c r="K45" s="160"/>
      <c r="L45" s="160"/>
      <c r="M45" s="160"/>
      <c r="N45" s="160"/>
      <c r="O45" s="160"/>
      <c r="P45" s="161">
        <f t="shared" si="2"/>
        <v>293</v>
      </c>
      <c r="Q45" s="56"/>
    </row>
    <row r="46" spans="1:17">
      <c r="A46" s="116"/>
      <c r="B46" s="123">
        <v>2016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1">
        <f t="shared" si="2"/>
        <v>0</v>
      </c>
    </row>
    <row r="47" spans="1:17">
      <c r="A47" s="116"/>
      <c r="B47" s="123">
        <v>2017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1">
        <f t="shared" si="2"/>
        <v>0</v>
      </c>
    </row>
    <row r="48" spans="1:17">
      <c r="A48" s="116"/>
      <c r="B48" s="123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>
        <f t="shared" si="2"/>
        <v>0</v>
      </c>
    </row>
    <row r="49" spans="1:17">
      <c r="A49" s="116"/>
      <c r="B49" s="123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1">
        <f t="shared" si="2"/>
        <v>0</v>
      </c>
    </row>
    <row r="50" spans="1:17">
      <c r="A50" s="116"/>
      <c r="B50" s="123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1">
        <f t="shared" si="2"/>
        <v>0</v>
      </c>
    </row>
    <row r="51" spans="1:17">
      <c r="A51" s="116"/>
      <c r="B51" s="123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1"/>
    </row>
    <row r="52" spans="1:17">
      <c r="A52" s="116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78"/>
    </row>
    <row r="53" spans="1:17" ht="15">
      <c r="A53" s="129"/>
      <c r="B53" s="130" t="s">
        <v>356</v>
      </c>
      <c r="C53" s="391">
        <f>SUM(C39:C52)</f>
        <v>41</v>
      </c>
      <c r="D53" s="391">
        <f>SUM(D39:D46)</f>
        <v>0</v>
      </c>
      <c r="E53" s="391">
        <f>SUM(E39:E46)</f>
        <v>0</v>
      </c>
      <c r="F53" s="391">
        <f>SUM(F39:F46)</f>
        <v>0</v>
      </c>
      <c r="G53" s="391">
        <f>SUM(G39:G46)</f>
        <v>0</v>
      </c>
      <c r="H53" s="391">
        <f>SUM(H39:H52)</f>
        <v>293</v>
      </c>
      <c r="I53" s="391">
        <f>SUM(I39:I52)</f>
        <v>0</v>
      </c>
      <c r="J53" s="391">
        <f>SUM(J39:J50)</f>
        <v>0</v>
      </c>
      <c r="K53" s="391">
        <f>SUM(K43:K46)</f>
        <v>0</v>
      </c>
      <c r="L53" s="391">
        <f>SUM(L45:L46)</f>
        <v>0</v>
      </c>
      <c r="M53" s="391"/>
      <c r="N53" s="391"/>
      <c r="O53" s="391">
        <f>SUM(O39:O46)</f>
        <v>0</v>
      </c>
      <c r="P53" s="392">
        <f>SUM(P39:P52)</f>
        <v>334</v>
      </c>
    </row>
    <row r="54" spans="1:17" ht="15">
      <c r="A54" s="116"/>
      <c r="B54" s="117" t="s">
        <v>372</v>
      </c>
      <c r="C54" s="394"/>
      <c r="D54" s="399"/>
      <c r="E54" s="400"/>
      <c r="F54" s="394"/>
      <c r="G54" s="394"/>
      <c r="H54" s="399"/>
      <c r="I54" s="400"/>
      <c r="J54" s="394"/>
      <c r="K54" s="394"/>
      <c r="L54" s="394"/>
      <c r="M54" s="394"/>
      <c r="N54" s="394"/>
      <c r="O54" s="394"/>
      <c r="P54" s="401"/>
    </row>
    <row r="55" spans="1:17" ht="15">
      <c r="A55" s="116"/>
      <c r="B55" s="117" t="s">
        <v>373</v>
      </c>
      <c r="C55" s="394"/>
      <c r="D55" s="399"/>
      <c r="E55" s="400"/>
      <c r="F55" s="394"/>
      <c r="G55" s="394"/>
      <c r="H55" s="399"/>
      <c r="I55" s="400"/>
      <c r="J55" s="394"/>
      <c r="K55" s="394"/>
      <c r="L55" s="394"/>
      <c r="M55" s="394"/>
      <c r="N55" s="394"/>
      <c r="O55" s="394"/>
      <c r="P55" s="401"/>
    </row>
    <row r="56" spans="1:17">
      <c r="A56" s="116"/>
      <c r="B56" s="117" t="s">
        <v>353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9"/>
    </row>
    <row r="57" spans="1:17">
      <c r="A57" s="116"/>
      <c r="B57" s="123"/>
      <c r="C57" s="160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>
        <f t="shared" ref="P57:P66" si="3">+C57+D57-E57+F57+G57+H57-I57-J57-K57-L57-O57+M57-N57</f>
        <v>0</v>
      </c>
      <c r="Q57" s="56"/>
    </row>
    <row r="58" spans="1:17">
      <c r="A58" s="116"/>
      <c r="B58" s="123">
        <v>2005</v>
      </c>
      <c r="C58" s="160">
        <v>10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>
        <f t="shared" si="3"/>
        <v>10</v>
      </c>
      <c r="Q58" s="56"/>
    </row>
    <row r="59" spans="1:17">
      <c r="A59" s="116"/>
      <c r="B59" s="123">
        <v>2006</v>
      </c>
      <c r="C59" s="160">
        <v>10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1">
        <f t="shared" si="3"/>
        <v>10</v>
      </c>
      <c r="Q59" s="56"/>
    </row>
    <row r="60" spans="1:17">
      <c r="A60" s="116"/>
      <c r="B60" s="123">
        <v>2007</v>
      </c>
      <c r="C60" s="160">
        <v>15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>
        <f t="shared" si="3"/>
        <v>15</v>
      </c>
      <c r="Q60" s="56"/>
    </row>
    <row r="61" spans="1:17">
      <c r="A61" s="116"/>
      <c r="B61" s="123">
        <v>2013</v>
      </c>
      <c r="C61" s="160">
        <v>20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1">
        <f t="shared" si="3"/>
        <v>20</v>
      </c>
      <c r="Q61" s="56"/>
    </row>
    <row r="62" spans="1:17">
      <c r="A62" s="116"/>
      <c r="B62" s="123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1">
        <f t="shared" si="3"/>
        <v>0</v>
      </c>
      <c r="Q62" s="56"/>
    </row>
    <row r="63" spans="1:17">
      <c r="A63" s="116"/>
      <c r="B63" s="123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>
        <f t="shared" si="3"/>
        <v>0</v>
      </c>
    </row>
    <row r="64" spans="1:17">
      <c r="A64" s="116"/>
      <c r="B64" s="123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1">
        <f t="shared" si="3"/>
        <v>0</v>
      </c>
    </row>
    <row r="65" spans="1:18">
      <c r="A65" s="116"/>
      <c r="B65" s="123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>
        <f t="shared" si="3"/>
        <v>0</v>
      </c>
    </row>
    <row r="66" spans="1:18">
      <c r="A66" s="116"/>
      <c r="B66" s="123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1">
        <f t="shared" si="3"/>
        <v>0</v>
      </c>
    </row>
    <row r="67" spans="1:18">
      <c r="A67" s="116"/>
      <c r="B67" s="123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1"/>
    </row>
    <row r="68" spans="1:18">
      <c r="A68" s="116"/>
      <c r="B68" s="123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1"/>
    </row>
    <row r="69" spans="1:18">
      <c r="A69" s="116"/>
      <c r="B69" s="114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8" ht="15">
      <c r="A70" s="129"/>
      <c r="B70" s="117" t="s">
        <v>356</v>
      </c>
      <c r="C70" s="391">
        <f>SUM(C57:C69)</f>
        <v>55</v>
      </c>
      <c r="D70" s="391">
        <f t="shared" ref="D70:J70" si="4">SUM(D57:D63)</f>
        <v>0</v>
      </c>
      <c r="E70" s="391">
        <f t="shared" si="4"/>
        <v>0</v>
      </c>
      <c r="F70" s="391">
        <f t="shared" si="4"/>
        <v>0</v>
      </c>
      <c r="G70" s="391">
        <f t="shared" si="4"/>
        <v>0</v>
      </c>
      <c r="H70" s="391">
        <f>SUM(H57:H69)</f>
        <v>0</v>
      </c>
      <c r="I70" s="391">
        <f>SUM(I57:I69)</f>
        <v>0</v>
      </c>
      <c r="J70" s="391">
        <f t="shared" si="4"/>
        <v>0</v>
      </c>
      <c r="K70" s="391"/>
      <c r="L70" s="391">
        <f>SUM(L57:L63)</f>
        <v>0</v>
      </c>
      <c r="M70" s="391"/>
      <c r="N70" s="391"/>
      <c r="O70" s="391">
        <f>SUM(O57:O63)</f>
        <v>0</v>
      </c>
      <c r="P70" s="392">
        <f>SUM(P57:P69)</f>
        <v>55</v>
      </c>
    </row>
    <row r="71" spans="1:18">
      <c r="A71" s="116"/>
      <c r="B71" s="155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7"/>
    </row>
    <row r="72" spans="1:18">
      <c r="A72" s="116"/>
      <c r="B72" s="117" t="s">
        <v>351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9"/>
    </row>
    <row r="73" spans="1:18">
      <c r="A73" s="116" t="s">
        <v>374</v>
      </c>
      <c r="B73" s="117" t="s">
        <v>353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9"/>
    </row>
    <row r="74" spans="1:18">
      <c r="A74" s="116"/>
      <c r="B74" s="402">
        <v>2015</v>
      </c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4">
        <f>+C74+D74-E74+F74+G74+H74-I74-J74-K74-L74-O74+M74-N74</f>
        <v>0</v>
      </c>
      <c r="Q74" s="56"/>
    </row>
    <row r="75" spans="1:18">
      <c r="A75" s="116"/>
      <c r="B75" s="402">
        <v>2016</v>
      </c>
      <c r="C75" s="403">
        <v>1917</v>
      </c>
      <c r="D75" s="403"/>
      <c r="E75" s="403"/>
      <c r="F75" s="403"/>
      <c r="G75" s="403"/>
      <c r="H75" s="403"/>
      <c r="I75" s="403">
        <v>1917</v>
      </c>
      <c r="J75" s="403"/>
      <c r="K75" s="403"/>
      <c r="L75" s="403"/>
      <c r="M75" s="403"/>
      <c r="N75" s="403"/>
      <c r="O75" s="403"/>
      <c r="P75" s="404">
        <f>+C75+D75-E75+F75+G75+H75-I75-J75-K75-L75-O75+M75-N75</f>
        <v>0</v>
      </c>
    </row>
    <row r="76" spans="1:18">
      <c r="A76" s="116"/>
      <c r="B76" s="402">
        <v>2017</v>
      </c>
      <c r="C76" s="403"/>
      <c r="D76" s="403"/>
      <c r="E76" s="403"/>
      <c r="F76" s="403"/>
      <c r="G76" s="403">
        <v>1901</v>
      </c>
      <c r="H76" s="403"/>
      <c r="I76" s="403"/>
      <c r="J76" s="403"/>
      <c r="K76" s="403"/>
      <c r="L76" s="403"/>
      <c r="M76" s="403"/>
      <c r="N76" s="403"/>
      <c r="O76" s="403">
        <v>95</v>
      </c>
      <c r="P76" s="404">
        <f>+C76+D76-E76+F76+G76+H76-I76-J76-K76-L76-O76+M76-N76</f>
        <v>1806</v>
      </c>
    </row>
    <row r="77" spans="1:18">
      <c r="A77" s="116"/>
      <c r="B77" s="402">
        <v>2018</v>
      </c>
      <c r="C77" s="403">
        <v>0</v>
      </c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4">
        <f>+C77+D77-E77+F77+G77+H77-I77-J77-K77-L77-O77+M77-N77</f>
        <v>0</v>
      </c>
      <c r="R77" s="206">
        <f>I74-H94</f>
        <v>0</v>
      </c>
    </row>
    <row r="78" spans="1:18">
      <c r="A78" s="116"/>
      <c r="B78" s="405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7"/>
    </row>
    <row r="79" spans="1:18" ht="15">
      <c r="A79" s="129"/>
      <c r="B79" s="117" t="s">
        <v>356</v>
      </c>
      <c r="C79" s="394">
        <f>SUM(C74:C78)</f>
        <v>1917</v>
      </c>
      <c r="D79" s="391">
        <f t="shared" ref="D79:J79" si="5">SUM(D74:D75)</f>
        <v>0</v>
      </c>
      <c r="E79" s="391">
        <f t="shared" si="5"/>
        <v>0</v>
      </c>
      <c r="F79" s="391">
        <f t="shared" si="5"/>
        <v>0</v>
      </c>
      <c r="G79" s="391">
        <f>SUM(G74:G78)</f>
        <v>1901</v>
      </c>
      <c r="H79" s="391">
        <f>SUM(H74:H78)</f>
        <v>0</v>
      </c>
      <c r="I79" s="391">
        <f>SUM(I74:I78)</f>
        <v>1917</v>
      </c>
      <c r="J79" s="391">
        <f t="shared" si="5"/>
        <v>0</v>
      </c>
      <c r="K79" s="391"/>
      <c r="L79" s="391"/>
      <c r="M79" s="391">
        <f>SUM(M74:M75)</f>
        <v>0</v>
      </c>
      <c r="N79" s="391"/>
      <c r="O79" s="391">
        <f>SUM(O74:O78)</f>
        <v>95</v>
      </c>
      <c r="P79" s="392">
        <f>SUM(P74:P78)</f>
        <v>1806</v>
      </c>
    </row>
    <row r="80" spans="1:18" ht="15">
      <c r="A80" s="116"/>
      <c r="B80" s="167" t="s">
        <v>75</v>
      </c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6"/>
    </row>
    <row r="81" spans="1:17" ht="15">
      <c r="A81" s="116"/>
      <c r="B81" s="170" t="s">
        <v>357</v>
      </c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7"/>
    </row>
    <row r="82" spans="1:17" ht="15">
      <c r="A82" s="116" t="s">
        <v>375</v>
      </c>
      <c r="B82" s="170" t="s">
        <v>353</v>
      </c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7"/>
    </row>
    <row r="83" spans="1:17" ht="15">
      <c r="A83" s="116"/>
      <c r="B83" s="408">
        <v>2014</v>
      </c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7">
        <f>+C83+D83-E83+F83+G83+H83-I83-J83-K83-L83-O83+M83-N83</f>
        <v>0</v>
      </c>
      <c r="Q83" s="56"/>
    </row>
    <row r="84" spans="1:17" ht="15">
      <c r="A84" s="116"/>
      <c r="B84" s="408">
        <v>2015</v>
      </c>
      <c r="C84" s="394">
        <v>353</v>
      </c>
      <c r="D84" s="394"/>
      <c r="E84" s="394"/>
      <c r="F84" s="394"/>
      <c r="G84" s="394"/>
      <c r="H84" s="394"/>
      <c r="I84" s="394">
        <v>353</v>
      </c>
      <c r="J84" s="394"/>
      <c r="K84" s="394"/>
      <c r="L84" s="394"/>
      <c r="M84" s="394"/>
      <c r="N84" s="394"/>
      <c r="O84" s="394"/>
      <c r="P84" s="397">
        <f>+C84+D84-E84+F84+G84+H84-I84-J84-K84-L84-O84+M84-N84</f>
        <v>0</v>
      </c>
      <c r="Q84" s="56"/>
    </row>
    <row r="85" spans="1:17" ht="15">
      <c r="A85" s="116"/>
      <c r="B85" s="408">
        <v>2016</v>
      </c>
      <c r="C85" s="394"/>
      <c r="D85" s="394"/>
      <c r="E85" s="394"/>
      <c r="F85" s="394"/>
      <c r="G85" s="394"/>
      <c r="H85" s="394">
        <v>200</v>
      </c>
      <c r="I85" s="394"/>
      <c r="J85" s="394"/>
      <c r="K85" s="394"/>
      <c r="L85" s="394"/>
      <c r="M85" s="394"/>
      <c r="N85" s="394"/>
      <c r="O85" s="394"/>
      <c r="P85" s="397">
        <f>+C85+D85-E85+F85+G85+H85-I85-J85-K85-L85-O85+M85-N85</f>
        <v>200</v>
      </c>
      <c r="Q85" s="56"/>
    </row>
    <row r="86" spans="1:17" ht="15">
      <c r="A86" s="116"/>
      <c r="B86" s="408">
        <v>2017</v>
      </c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7">
        <f>+C86+D86-E86+F86+G86+H86-I86-J86-K86-L86-O86+M86-N86</f>
        <v>0</v>
      </c>
      <c r="Q86" s="56"/>
    </row>
    <row r="87" spans="1:17" ht="15">
      <c r="A87" s="116"/>
      <c r="B87" s="409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8">
        <f>+C87+D87-E87+F87+G87+H87-I87-J87-K87-L87-O87+M87-N87</f>
        <v>0</v>
      </c>
      <c r="Q87" s="56"/>
    </row>
    <row r="88" spans="1:17" ht="15">
      <c r="A88" s="129"/>
      <c r="B88" s="117" t="s">
        <v>356</v>
      </c>
      <c r="C88" s="394">
        <f>SUM(C83:C87)</f>
        <v>353</v>
      </c>
      <c r="D88" s="391">
        <f t="shared" ref="D88:J88" si="6">SUM(D83:D84)</f>
        <v>0</v>
      </c>
      <c r="E88" s="391">
        <f t="shared" si="6"/>
        <v>0</v>
      </c>
      <c r="F88" s="391">
        <f t="shared" si="6"/>
        <v>0</v>
      </c>
      <c r="G88" s="391">
        <f t="shared" si="6"/>
        <v>0</v>
      </c>
      <c r="H88" s="391">
        <f>SUM(H84:H87)</f>
        <v>200</v>
      </c>
      <c r="I88" s="391">
        <f>SUM(I83:I87)</f>
        <v>353</v>
      </c>
      <c r="J88" s="391">
        <f t="shared" si="6"/>
        <v>0</v>
      </c>
      <c r="K88" s="391"/>
      <c r="L88" s="391">
        <f>SUM(L83:L84)</f>
        <v>0</v>
      </c>
      <c r="M88" s="391"/>
      <c r="N88" s="391"/>
      <c r="O88" s="391">
        <f>SUM(O83:O84)</f>
        <v>0</v>
      </c>
      <c r="P88" s="392">
        <f>SUM(P83:P87)</f>
        <v>200</v>
      </c>
    </row>
    <row r="89" spans="1:17" ht="15">
      <c r="A89" s="116"/>
      <c r="B89" s="167" t="s">
        <v>70</v>
      </c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6"/>
    </row>
    <row r="90" spans="1:17" ht="15">
      <c r="A90" s="116"/>
      <c r="B90" s="170" t="s">
        <v>379</v>
      </c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7"/>
    </row>
    <row r="91" spans="1:17" ht="15">
      <c r="A91" s="116" t="s">
        <v>380</v>
      </c>
      <c r="B91" s="170" t="s">
        <v>353</v>
      </c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7"/>
    </row>
    <row r="92" spans="1:17" ht="15">
      <c r="A92" s="116"/>
      <c r="B92" s="410">
        <v>2013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7">
        <f>+C92+D92-E92+F92+G92+H92-I92-J92-K92-L92-O92+M92-N92</f>
        <v>0</v>
      </c>
    </row>
    <row r="93" spans="1:17" ht="15">
      <c r="A93" s="116"/>
      <c r="B93" s="410">
        <v>2014</v>
      </c>
      <c r="C93" s="394">
        <v>2695</v>
      </c>
      <c r="D93" s="394"/>
      <c r="E93" s="394"/>
      <c r="F93" s="394"/>
      <c r="G93" s="394"/>
      <c r="H93" s="394"/>
      <c r="I93" s="394">
        <v>2695</v>
      </c>
      <c r="J93" s="394"/>
      <c r="K93" s="394"/>
      <c r="L93" s="394"/>
      <c r="M93" s="394"/>
      <c r="N93" s="394"/>
      <c r="O93" s="394"/>
      <c r="P93" s="397">
        <f>+C93+D93-E93+F93+G93+H93-I93-J93-K93-L93-O93+M93-N93</f>
        <v>0</v>
      </c>
      <c r="Q93" s="56"/>
    </row>
    <row r="94" spans="1:17" ht="15">
      <c r="A94" s="116"/>
      <c r="B94" s="410">
        <v>2015</v>
      </c>
      <c r="C94" s="394">
        <v>160</v>
      </c>
      <c r="D94" s="394"/>
      <c r="E94" s="394"/>
      <c r="F94" s="394"/>
      <c r="G94" s="394"/>
      <c r="H94" s="394"/>
      <c r="I94" s="394">
        <v>160</v>
      </c>
      <c r="J94" s="394"/>
      <c r="K94" s="394"/>
      <c r="L94" s="394"/>
      <c r="M94" s="394"/>
      <c r="N94" s="394"/>
      <c r="O94" s="394"/>
      <c r="P94" s="397">
        <f>+C94+D94-E94+F94+G94+H94-I94-J94-K94-L94-O94+M94-N94</f>
        <v>0</v>
      </c>
    </row>
    <row r="95" spans="1:17" ht="15">
      <c r="A95" s="116"/>
      <c r="B95" s="410">
        <v>2016</v>
      </c>
      <c r="C95" s="394"/>
      <c r="D95" s="394"/>
      <c r="E95" s="394"/>
      <c r="F95" s="394"/>
      <c r="G95" s="394"/>
      <c r="H95" s="394">
        <v>1717</v>
      </c>
      <c r="I95" s="394"/>
      <c r="J95" s="394"/>
      <c r="K95" s="394"/>
      <c r="L95" s="394"/>
      <c r="M95" s="394"/>
      <c r="N95" s="394"/>
      <c r="O95" s="394"/>
      <c r="P95" s="397">
        <f>+C95+D95-E95+F95+G95+H95-I95-J95-K95-L95-O95+M95-N95</f>
        <v>1717</v>
      </c>
    </row>
    <row r="96" spans="1:17" ht="15">
      <c r="A96" s="116"/>
      <c r="B96" s="410">
        <v>2017</v>
      </c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7">
        <f>+C96+D96-E96+F96+G96+H96-I96-J96-K96-L96-O96+M96-N96</f>
        <v>0</v>
      </c>
    </row>
    <row r="97" spans="1:19" ht="15">
      <c r="A97" s="116"/>
      <c r="B97" s="41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8"/>
    </row>
    <row r="98" spans="1:19" ht="15">
      <c r="A98" s="129"/>
      <c r="B98" s="117" t="s">
        <v>356</v>
      </c>
      <c r="C98" s="391">
        <f>SUM(C92:C97)</f>
        <v>2855</v>
      </c>
      <c r="D98" s="391">
        <f>SUM(D93:D94)</f>
        <v>0</v>
      </c>
      <c r="E98" s="391">
        <f>SUM(E93:E94)</f>
        <v>0</v>
      </c>
      <c r="F98" s="391">
        <f>SUM(F93:F94)</f>
        <v>0</v>
      </c>
      <c r="G98" s="391">
        <f>SUM(G93:G94)</f>
        <v>0</v>
      </c>
      <c r="H98" s="391">
        <f>SUM(H92:H97)</f>
        <v>1717</v>
      </c>
      <c r="I98" s="391">
        <f>SUM(I92:I97)</f>
        <v>2855</v>
      </c>
      <c r="J98" s="391">
        <f>SUM(J92:J94)</f>
        <v>0</v>
      </c>
      <c r="K98" s="391"/>
      <c r="L98" s="391">
        <f>SUM(L92)</f>
        <v>0</v>
      </c>
      <c r="M98" s="391"/>
      <c r="N98" s="391"/>
      <c r="O98" s="391">
        <f>SUM(O92:O94)</f>
        <v>0</v>
      </c>
      <c r="P98" s="392">
        <f>SUM(P92:P97)</f>
        <v>1717</v>
      </c>
    </row>
    <row r="99" spans="1:19">
      <c r="A99" s="116"/>
      <c r="B99" s="155" t="s">
        <v>71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7"/>
    </row>
    <row r="100" spans="1:19">
      <c r="A100" s="116"/>
      <c r="B100" s="117" t="s">
        <v>384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9"/>
    </row>
    <row r="101" spans="1:19">
      <c r="A101" s="116" t="s">
        <v>385</v>
      </c>
      <c r="B101" s="117" t="s">
        <v>353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9"/>
    </row>
    <row r="102" spans="1:19">
      <c r="A102" s="116"/>
      <c r="B102" s="410">
        <v>2013</v>
      </c>
      <c r="C102" s="412"/>
      <c r="D102" s="413"/>
      <c r="E102" s="413"/>
      <c r="F102" s="413"/>
      <c r="G102" s="413"/>
      <c r="H102" s="413"/>
      <c r="I102" s="412"/>
      <c r="J102" s="413"/>
      <c r="K102" s="413"/>
      <c r="L102" s="413"/>
      <c r="M102" s="413"/>
      <c r="N102" s="413"/>
      <c r="O102" s="413"/>
      <c r="P102" s="414">
        <f>+C102+D102-E102+F102+G102+H102-I102-J102-K102-L102-O102+M102-N102</f>
        <v>0</v>
      </c>
      <c r="R102" s="6" t="s">
        <v>415</v>
      </c>
      <c r="S102" s="6">
        <v>1000</v>
      </c>
    </row>
    <row r="103" spans="1:19">
      <c r="A103" s="116"/>
      <c r="B103" s="410">
        <v>2014</v>
      </c>
      <c r="C103" s="412">
        <v>80</v>
      </c>
      <c r="D103" s="413"/>
      <c r="E103" s="413"/>
      <c r="F103" s="413"/>
      <c r="G103" s="413"/>
      <c r="H103" s="412"/>
      <c r="I103" s="412">
        <v>80</v>
      </c>
      <c r="J103" s="413"/>
      <c r="K103" s="413"/>
      <c r="L103" s="413"/>
      <c r="M103" s="413"/>
      <c r="N103" s="413"/>
      <c r="O103" s="413"/>
      <c r="P103" s="414">
        <f>+C103+D103-E103+F103+G103+H103-I103-J103-K103-L103-O103+M103-N103</f>
        <v>0</v>
      </c>
      <c r="R103" s="6" t="s">
        <v>410</v>
      </c>
      <c r="S103" s="6">
        <v>14</v>
      </c>
    </row>
    <row r="104" spans="1:19">
      <c r="A104" s="116"/>
      <c r="B104" s="410">
        <v>2015</v>
      </c>
      <c r="C104" s="412">
        <v>177</v>
      </c>
      <c r="D104" s="413"/>
      <c r="E104" s="413"/>
      <c r="F104" s="413"/>
      <c r="G104" s="413"/>
      <c r="H104" s="412">
        <v>353</v>
      </c>
      <c r="I104" s="412">
        <v>177</v>
      </c>
      <c r="J104" s="413"/>
      <c r="K104" s="413"/>
      <c r="L104" s="413"/>
      <c r="M104" s="413"/>
      <c r="N104" s="413"/>
      <c r="O104" s="413"/>
      <c r="P104" s="414">
        <f>+C104+D104-E104+F104+G104+H104-I104-J104-K104-L104-O104+M104-N104</f>
        <v>353</v>
      </c>
      <c r="R104" s="6" t="s">
        <v>411</v>
      </c>
      <c r="S104" s="6">
        <v>1735</v>
      </c>
    </row>
    <row r="105" spans="1:19">
      <c r="A105" s="116"/>
      <c r="B105" s="410">
        <v>2016</v>
      </c>
      <c r="C105" s="412"/>
      <c r="D105" s="413"/>
      <c r="E105" s="413"/>
      <c r="F105" s="413"/>
      <c r="G105" s="413"/>
      <c r="H105" s="412"/>
      <c r="I105" s="412"/>
      <c r="J105" s="415"/>
      <c r="K105" s="413"/>
      <c r="L105" s="413"/>
      <c r="M105" s="413"/>
      <c r="N105" s="413"/>
      <c r="O105" s="413"/>
      <c r="P105" s="416">
        <f>+C105+D105-E105+F105+G105+H105-I105-J105-K105-L105-O105+M105-N105</f>
        <v>0</v>
      </c>
      <c r="R105" s="6" t="s">
        <v>412</v>
      </c>
      <c r="S105" s="6">
        <v>600</v>
      </c>
    </row>
    <row r="106" spans="1:19">
      <c r="A106" s="116"/>
      <c r="B106" s="410">
        <v>2017</v>
      </c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6">
        <f>+C106+D106-E106+F106+G106+H106-I106-J106-K106-L106-O106+M106-N106</f>
        <v>0</v>
      </c>
      <c r="S106" s="6">
        <f>SUM(S102:S105)</f>
        <v>3349</v>
      </c>
    </row>
    <row r="107" spans="1:19">
      <c r="A107" s="116"/>
      <c r="B107" s="417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9"/>
    </row>
    <row r="108" spans="1:19" ht="15">
      <c r="A108" s="129"/>
      <c r="B108" s="117" t="s">
        <v>356</v>
      </c>
      <c r="C108" s="391">
        <f>SUM(C102:C107)</f>
        <v>257</v>
      </c>
      <c r="D108" s="391">
        <f>SUM(D102:D103)</f>
        <v>0</v>
      </c>
      <c r="E108" s="391">
        <f>SUM(E102:E103)</f>
        <v>0</v>
      </c>
      <c r="F108" s="391">
        <f>SUM(F102:F103)</f>
        <v>0</v>
      </c>
      <c r="G108" s="391">
        <f>SUM(G102:G103)</f>
        <v>0</v>
      </c>
      <c r="H108" s="391">
        <f>SUM(H103:H107)</f>
        <v>353</v>
      </c>
      <c r="I108" s="391">
        <f>SUM(I102:I107)</f>
        <v>257</v>
      </c>
      <c r="J108" s="391">
        <f>SUM(J104:J107)</f>
        <v>0</v>
      </c>
      <c r="K108" s="391"/>
      <c r="L108" s="391">
        <f>SUM(L102:L103)</f>
        <v>0</v>
      </c>
      <c r="M108" s="391">
        <f>SUM(M103:M104)</f>
        <v>0</v>
      </c>
      <c r="N108" s="391"/>
      <c r="O108" s="391">
        <f>SUM(O103:O104)</f>
        <v>0</v>
      </c>
      <c r="P108" s="392">
        <f>SUM(P102:P107)</f>
        <v>353</v>
      </c>
    </row>
    <row r="109" spans="1:19" ht="15">
      <c r="A109" s="116"/>
      <c r="B109" s="155" t="s">
        <v>389</v>
      </c>
      <c r="C109" s="156"/>
      <c r="D109" s="399"/>
      <c r="E109" s="400"/>
      <c r="F109" s="394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9" ht="15">
      <c r="A110" s="116"/>
      <c r="B110" s="117" t="s">
        <v>390</v>
      </c>
      <c r="C110" s="158"/>
      <c r="D110" s="399"/>
      <c r="E110" s="400"/>
      <c r="F110" s="394"/>
      <c r="G110" s="158"/>
      <c r="H110" s="158"/>
      <c r="I110" s="158"/>
      <c r="J110" s="158"/>
      <c r="K110" s="158"/>
      <c r="L110" s="158"/>
      <c r="M110" s="158"/>
      <c r="N110" s="158"/>
      <c r="O110" s="158"/>
      <c r="P110" s="159"/>
      <c r="R110" s="6" t="s">
        <v>414</v>
      </c>
      <c r="S110" s="6" t="s">
        <v>408</v>
      </c>
    </row>
    <row r="111" spans="1:19" ht="15">
      <c r="A111" s="116"/>
      <c r="B111" s="117" t="s">
        <v>353</v>
      </c>
      <c r="C111" s="158"/>
      <c r="D111" s="399"/>
      <c r="E111" s="400"/>
      <c r="F111" s="394"/>
      <c r="G111" s="158"/>
      <c r="H111" s="158"/>
      <c r="I111" s="158"/>
      <c r="J111" s="158"/>
      <c r="K111" s="158"/>
      <c r="L111" s="158"/>
      <c r="M111" s="158"/>
      <c r="N111" s="158"/>
      <c r="O111" s="158"/>
      <c r="P111" s="159"/>
    </row>
    <row r="112" spans="1:19" ht="15">
      <c r="A112" s="116"/>
      <c r="B112" s="420">
        <v>2004</v>
      </c>
      <c r="C112" s="421"/>
      <c r="D112" s="399"/>
      <c r="E112" s="400"/>
      <c r="F112" s="394"/>
      <c r="G112" s="422"/>
      <c r="H112" s="422"/>
      <c r="I112" s="422"/>
      <c r="J112" s="422"/>
      <c r="K112" s="422"/>
      <c r="L112" s="422"/>
      <c r="M112" s="422"/>
      <c r="N112" s="422"/>
      <c r="O112" s="422"/>
      <c r="P112" s="423">
        <f t="shared" ref="P112:P128" si="7">+C112+D112-E112+F112+G112+H112-I112-J112-K112-L112-O112+M112-N112</f>
        <v>0</v>
      </c>
      <c r="R112" s="44">
        <f>C112*0.8</f>
        <v>0</v>
      </c>
      <c r="S112" s="206">
        <f>C112-R112</f>
        <v>0</v>
      </c>
    </row>
    <row r="113" spans="1:19" ht="15">
      <c r="A113" s="116"/>
      <c r="B113" s="420">
        <v>2005</v>
      </c>
      <c r="C113" s="421"/>
      <c r="D113" s="399"/>
      <c r="E113" s="400"/>
      <c r="F113" s="394"/>
      <c r="G113" s="422"/>
      <c r="H113" s="422"/>
      <c r="I113" s="422"/>
      <c r="J113" s="422"/>
      <c r="K113" s="422"/>
      <c r="L113" s="422"/>
      <c r="M113" s="422"/>
      <c r="N113" s="422"/>
      <c r="O113" s="422"/>
      <c r="P113" s="423">
        <f t="shared" si="7"/>
        <v>0</v>
      </c>
      <c r="R113" s="44">
        <f t="shared" ref="R113:R126" si="8">C113*0.8</f>
        <v>0</v>
      </c>
      <c r="S113" s="206">
        <f t="shared" ref="S113:S127" si="9">C113-R113</f>
        <v>0</v>
      </c>
    </row>
    <row r="114" spans="1:19" ht="15">
      <c r="A114" s="116"/>
      <c r="B114" s="420">
        <v>2006</v>
      </c>
      <c r="C114" s="421"/>
      <c r="D114" s="399"/>
      <c r="E114" s="400"/>
      <c r="F114" s="394"/>
      <c r="G114" s="422"/>
      <c r="H114" s="422"/>
      <c r="I114" s="422"/>
      <c r="J114" s="422"/>
      <c r="K114" s="422"/>
      <c r="L114" s="422"/>
      <c r="M114" s="422"/>
      <c r="N114" s="422"/>
      <c r="O114" s="422"/>
      <c r="P114" s="423">
        <f t="shared" si="7"/>
        <v>0</v>
      </c>
      <c r="R114" s="44">
        <f t="shared" si="8"/>
        <v>0</v>
      </c>
      <c r="S114" s="206">
        <f t="shared" si="9"/>
        <v>0</v>
      </c>
    </row>
    <row r="115" spans="1:19" ht="15">
      <c r="A115" s="116"/>
      <c r="B115" s="420">
        <v>2007</v>
      </c>
      <c r="C115" s="421"/>
      <c r="D115" s="399"/>
      <c r="E115" s="400"/>
      <c r="F115" s="394"/>
      <c r="G115" s="422"/>
      <c r="H115" s="422"/>
      <c r="I115" s="422"/>
      <c r="J115" s="422"/>
      <c r="K115" s="422"/>
      <c r="L115" s="422"/>
      <c r="M115" s="422"/>
      <c r="N115" s="422"/>
      <c r="O115" s="422"/>
      <c r="P115" s="423">
        <f t="shared" si="7"/>
        <v>0</v>
      </c>
      <c r="R115" s="44">
        <f t="shared" si="8"/>
        <v>0</v>
      </c>
      <c r="S115" s="206">
        <f t="shared" si="9"/>
        <v>0</v>
      </c>
    </row>
    <row r="116" spans="1:19" ht="15">
      <c r="A116" s="116"/>
      <c r="B116" s="420">
        <v>2008</v>
      </c>
      <c r="C116" s="421">
        <v>787</v>
      </c>
      <c r="D116" s="399"/>
      <c r="E116" s="400"/>
      <c r="F116" s="394"/>
      <c r="G116" s="422"/>
      <c r="H116" s="422"/>
      <c r="I116" s="422"/>
      <c r="J116" s="422">
        <v>600</v>
      </c>
      <c r="K116" s="422"/>
      <c r="L116" s="422"/>
      <c r="M116" s="422"/>
      <c r="N116" s="422"/>
      <c r="O116" s="422"/>
      <c r="P116" s="423">
        <f t="shared" si="7"/>
        <v>187</v>
      </c>
      <c r="R116" s="44">
        <f t="shared" si="8"/>
        <v>629.6</v>
      </c>
      <c r="S116" s="206">
        <f t="shared" si="9"/>
        <v>157.39999999999998</v>
      </c>
    </row>
    <row r="117" spans="1:19" ht="15">
      <c r="A117" s="116"/>
      <c r="B117" s="420">
        <v>2009</v>
      </c>
      <c r="C117" s="421">
        <v>474</v>
      </c>
      <c r="D117" s="399"/>
      <c r="E117" s="400"/>
      <c r="F117" s="394"/>
      <c r="G117" s="421"/>
      <c r="H117" s="421"/>
      <c r="I117" s="421"/>
      <c r="J117" s="421">
        <v>400</v>
      </c>
      <c r="K117" s="421"/>
      <c r="L117" s="421"/>
      <c r="M117" s="421"/>
      <c r="N117" s="421"/>
      <c r="O117" s="421"/>
      <c r="P117" s="424">
        <f t="shared" si="7"/>
        <v>74</v>
      </c>
      <c r="R117" s="44">
        <f t="shared" si="8"/>
        <v>379.20000000000005</v>
      </c>
      <c r="S117" s="206">
        <f t="shared" si="9"/>
        <v>94.799999999999955</v>
      </c>
    </row>
    <row r="118" spans="1:19" ht="15">
      <c r="A118" s="116"/>
      <c r="B118" s="420">
        <v>2010</v>
      </c>
      <c r="C118" s="421">
        <v>787</v>
      </c>
      <c r="D118" s="399"/>
      <c r="E118" s="400"/>
      <c r="F118" s="394"/>
      <c r="G118" s="421"/>
      <c r="H118" s="421"/>
      <c r="I118" s="421"/>
      <c r="J118" s="421">
        <v>300</v>
      </c>
      <c r="K118" s="421"/>
      <c r="L118" s="421"/>
      <c r="M118" s="421"/>
      <c r="N118" s="421"/>
      <c r="O118" s="421"/>
      <c r="P118" s="424">
        <f t="shared" si="7"/>
        <v>487</v>
      </c>
      <c r="R118" s="44">
        <f t="shared" si="8"/>
        <v>629.6</v>
      </c>
      <c r="S118" s="206">
        <f t="shared" si="9"/>
        <v>157.39999999999998</v>
      </c>
    </row>
    <row r="119" spans="1:19" ht="15">
      <c r="A119" s="116"/>
      <c r="B119" s="420">
        <v>2011</v>
      </c>
      <c r="C119" s="421">
        <v>935</v>
      </c>
      <c r="D119" s="399"/>
      <c r="E119" s="400"/>
      <c r="F119" s="394"/>
      <c r="G119" s="421"/>
      <c r="H119" s="421"/>
      <c r="I119" s="421"/>
      <c r="J119" s="421">
        <v>300</v>
      </c>
      <c r="K119" s="421"/>
      <c r="L119" s="421"/>
      <c r="M119" s="421"/>
      <c r="N119" s="421"/>
      <c r="O119" s="421"/>
      <c r="P119" s="424">
        <f t="shared" si="7"/>
        <v>635</v>
      </c>
      <c r="R119" s="44">
        <f t="shared" si="8"/>
        <v>748</v>
      </c>
      <c r="S119" s="206">
        <f t="shared" si="9"/>
        <v>187</v>
      </c>
    </row>
    <row r="120" spans="1:19" ht="15">
      <c r="A120" s="116"/>
      <c r="B120" s="420">
        <v>2012</v>
      </c>
      <c r="C120" s="421">
        <v>1065</v>
      </c>
      <c r="D120" s="399"/>
      <c r="E120" s="400"/>
      <c r="F120" s="394"/>
      <c r="G120" s="421"/>
      <c r="H120" s="421"/>
      <c r="I120" s="421"/>
      <c r="J120" s="421">
        <v>300</v>
      </c>
      <c r="K120" s="421"/>
      <c r="L120" s="421"/>
      <c r="M120" s="421"/>
      <c r="N120" s="421"/>
      <c r="O120" s="421"/>
      <c r="P120" s="424">
        <f t="shared" si="7"/>
        <v>765</v>
      </c>
      <c r="R120" s="44">
        <f t="shared" si="8"/>
        <v>852</v>
      </c>
      <c r="S120" s="206">
        <f t="shared" si="9"/>
        <v>213</v>
      </c>
    </row>
    <row r="121" spans="1:19" ht="15">
      <c r="A121" s="116"/>
      <c r="B121" s="420">
        <v>2013</v>
      </c>
      <c r="C121" s="421">
        <v>1756</v>
      </c>
      <c r="D121" s="399"/>
      <c r="E121" s="400"/>
      <c r="F121" s="394"/>
      <c r="G121" s="421"/>
      <c r="H121" s="422"/>
      <c r="I121" s="421"/>
      <c r="J121" s="421"/>
      <c r="K121" s="421"/>
      <c r="L121" s="421"/>
      <c r="M121" s="421"/>
      <c r="N121" s="421"/>
      <c r="O121" s="421"/>
      <c r="P121" s="424">
        <f t="shared" si="7"/>
        <v>1756</v>
      </c>
      <c r="R121" s="44">
        <f t="shared" si="8"/>
        <v>1404.8000000000002</v>
      </c>
      <c r="S121" s="206">
        <f t="shared" si="9"/>
        <v>351.19999999999982</v>
      </c>
    </row>
    <row r="122" spans="1:19" ht="15">
      <c r="A122" s="116"/>
      <c r="B122" s="420">
        <v>2014</v>
      </c>
      <c r="C122" s="421">
        <v>220</v>
      </c>
      <c r="D122" s="399"/>
      <c r="E122" s="400"/>
      <c r="F122" s="394"/>
      <c r="G122" s="421"/>
      <c r="H122" s="422">
        <f>2695+80</f>
        <v>2775</v>
      </c>
      <c r="I122" s="421"/>
      <c r="J122" s="421"/>
      <c r="K122" s="421"/>
      <c r="L122" s="421"/>
      <c r="M122" s="421"/>
      <c r="N122" s="421"/>
      <c r="O122" s="421"/>
      <c r="P122" s="424">
        <f t="shared" si="7"/>
        <v>2995</v>
      </c>
      <c r="Q122" s="206"/>
      <c r="R122" s="44">
        <f t="shared" si="8"/>
        <v>176</v>
      </c>
      <c r="S122" s="206">
        <f t="shared" si="9"/>
        <v>44</v>
      </c>
    </row>
    <row r="123" spans="1:19" ht="15">
      <c r="A123" s="116"/>
      <c r="B123" s="420">
        <v>2015</v>
      </c>
      <c r="C123" s="421"/>
      <c r="D123" s="399"/>
      <c r="E123" s="400"/>
      <c r="F123" s="394"/>
      <c r="G123" s="421"/>
      <c r="H123" s="421">
        <f>160+177</f>
        <v>337</v>
      </c>
      <c r="I123" s="421"/>
      <c r="J123" s="421"/>
      <c r="K123" s="421"/>
      <c r="L123" s="421"/>
      <c r="M123" s="421"/>
      <c r="N123" s="421"/>
      <c r="O123" s="421"/>
      <c r="P123" s="424">
        <f t="shared" si="7"/>
        <v>337</v>
      </c>
      <c r="R123" s="44">
        <f t="shared" si="8"/>
        <v>0</v>
      </c>
      <c r="S123" s="206">
        <f t="shared" si="9"/>
        <v>0</v>
      </c>
    </row>
    <row r="124" spans="1:19" ht="15">
      <c r="A124" s="116"/>
      <c r="B124" s="420"/>
      <c r="C124" s="421"/>
      <c r="D124" s="399"/>
      <c r="E124" s="400"/>
      <c r="F124" s="394"/>
      <c r="G124" s="421"/>
      <c r="H124" s="421"/>
      <c r="I124" s="421"/>
      <c r="J124" s="421"/>
      <c r="K124" s="421"/>
      <c r="L124" s="421"/>
      <c r="M124" s="421"/>
      <c r="N124" s="421"/>
      <c r="O124" s="421"/>
      <c r="P124" s="424">
        <f t="shared" si="7"/>
        <v>0</v>
      </c>
      <c r="R124" s="44">
        <f t="shared" si="8"/>
        <v>0</v>
      </c>
      <c r="S124" s="206">
        <f t="shared" si="9"/>
        <v>0</v>
      </c>
    </row>
    <row r="125" spans="1:19" ht="15">
      <c r="A125" s="116"/>
      <c r="B125" s="420"/>
      <c r="C125" s="421"/>
      <c r="D125" s="399"/>
      <c r="E125" s="400"/>
      <c r="F125" s="394"/>
      <c r="G125" s="421"/>
      <c r="H125" s="421"/>
      <c r="I125" s="421"/>
      <c r="J125" s="421"/>
      <c r="K125" s="421"/>
      <c r="L125" s="421"/>
      <c r="M125" s="421"/>
      <c r="N125" s="421"/>
      <c r="O125" s="421"/>
      <c r="P125" s="424">
        <f t="shared" si="7"/>
        <v>0</v>
      </c>
      <c r="R125" s="44">
        <f t="shared" si="8"/>
        <v>0</v>
      </c>
      <c r="S125" s="206">
        <f t="shared" si="9"/>
        <v>0</v>
      </c>
    </row>
    <row r="126" spans="1:19">
      <c r="A126" s="116"/>
      <c r="B126" s="420"/>
      <c r="C126" s="421"/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4">
        <f t="shared" si="7"/>
        <v>0</v>
      </c>
      <c r="Q126" s="145"/>
      <c r="R126" s="44">
        <f t="shared" si="8"/>
        <v>0</v>
      </c>
      <c r="S126" s="206">
        <f t="shared" si="9"/>
        <v>0</v>
      </c>
    </row>
    <row r="127" spans="1:19">
      <c r="A127" s="116"/>
      <c r="B127" s="420"/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4">
        <f t="shared" si="7"/>
        <v>0</v>
      </c>
      <c r="Q127" s="145"/>
      <c r="R127" s="44">
        <f>C127*0.8</f>
        <v>0</v>
      </c>
      <c r="S127" s="206">
        <f t="shared" si="9"/>
        <v>0</v>
      </c>
    </row>
    <row r="128" spans="1:19">
      <c r="A128" s="243"/>
      <c r="B128" s="420"/>
      <c r="C128" s="421"/>
      <c r="D128" s="421"/>
      <c r="E128" s="421"/>
      <c r="F128" s="421"/>
      <c r="G128" s="421"/>
      <c r="H128" s="421"/>
      <c r="I128" s="421"/>
      <c r="J128" s="421"/>
      <c r="K128" s="421"/>
      <c r="L128" s="421"/>
      <c r="M128" s="421"/>
      <c r="N128" s="421"/>
      <c r="O128" s="421"/>
      <c r="P128" s="424">
        <f t="shared" si="7"/>
        <v>0</v>
      </c>
      <c r="Q128" s="145"/>
      <c r="R128" s="44">
        <f>SUM(R112:R127)</f>
        <v>4819.2000000000007</v>
      </c>
      <c r="S128" s="44">
        <f>SUM(S112:S127)</f>
        <v>1204.7999999999997</v>
      </c>
    </row>
    <row r="129" spans="1:19">
      <c r="A129" s="116"/>
      <c r="B129" s="425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7"/>
      <c r="Q129" s="145"/>
      <c r="R129" s="44"/>
      <c r="S129" s="206"/>
    </row>
    <row r="130" spans="1:19" ht="15.75" thickBot="1">
      <c r="A130" s="129"/>
      <c r="B130" s="130" t="s">
        <v>356</v>
      </c>
      <c r="C130" s="391">
        <f>SUM(C112:C129)</f>
        <v>6024</v>
      </c>
      <c r="D130" s="391">
        <f>SUM(D112:D123)</f>
        <v>0</v>
      </c>
      <c r="E130" s="391">
        <f>SUM(E112:E123)</f>
        <v>0</v>
      </c>
      <c r="F130" s="391">
        <f>SUM(F112:F123)</f>
        <v>0</v>
      </c>
      <c r="G130" s="391">
        <f>SUM(G112:G123)</f>
        <v>0</v>
      </c>
      <c r="H130" s="391">
        <f>SUM(H112:H129)</f>
        <v>3112</v>
      </c>
      <c r="I130" s="391">
        <f>SUM(I112:I129)</f>
        <v>0</v>
      </c>
      <c r="J130" s="391">
        <f>SUM(J111:J123)</f>
        <v>1900</v>
      </c>
      <c r="K130" s="391">
        <f>SUM(K112:K123)</f>
        <v>0</v>
      </c>
      <c r="L130" s="391">
        <f>SUM(L112:L123)</f>
        <v>0</v>
      </c>
      <c r="M130" s="391">
        <f>SUM(M116:M123)</f>
        <v>0</v>
      </c>
      <c r="N130" s="391"/>
      <c r="O130" s="391">
        <f>SUM(O112:O123)</f>
        <v>0</v>
      </c>
      <c r="P130" s="401">
        <f>SUM(P112:P129)</f>
        <v>7236</v>
      </c>
      <c r="R130" s="206">
        <f>P130-C130</f>
        <v>1212</v>
      </c>
    </row>
    <row r="131" spans="1:19" ht="16.5" thickTop="1" thickBot="1">
      <c r="A131" s="147"/>
      <c r="B131" s="148" t="s">
        <v>399</v>
      </c>
      <c r="C131" s="428">
        <f t="shared" ref="C131:M131" si="10">+C14+C24+C35+C53+C70+C79+C88+C98+C108+C130</f>
        <v>13980</v>
      </c>
      <c r="D131" s="428">
        <f t="shared" si="10"/>
        <v>0</v>
      </c>
      <c r="E131" s="428">
        <f t="shared" si="10"/>
        <v>0</v>
      </c>
      <c r="F131" s="428">
        <f t="shared" si="10"/>
        <v>0</v>
      </c>
      <c r="G131" s="428">
        <f t="shared" si="10"/>
        <v>3802</v>
      </c>
      <c r="H131" s="428">
        <f t="shared" si="10"/>
        <v>7591</v>
      </c>
      <c r="I131" s="428">
        <f t="shared" si="10"/>
        <v>7591</v>
      </c>
      <c r="J131" s="428">
        <f t="shared" si="10"/>
        <v>3600</v>
      </c>
      <c r="K131" s="428">
        <f t="shared" si="10"/>
        <v>0</v>
      </c>
      <c r="L131" s="428">
        <f t="shared" si="10"/>
        <v>0</v>
      </c>
      <c r="M131" s="428">
        <f t="shared" si="10"/>
        <v>0</v>
      </c>
      <c r="N131" s="428"/>
      <c r="O131" s="428">
        <f>+O14+O24+O35+O53+O70+O79+O88+O98+O108+O130</f>
        <v>190</v>
      </c>
      <c r="P131" s="429">
        <f>+P14+P24+P35+P53+P70+P79+P88+P98+P108+P130</f>
        <v>13992</v>
      </c>
    </row>
    <row r="132" spans="1:19" ht="15.75" thickTop="1">
      <c r="A132" s="151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</row>
    <row r="133" spans="1:19" ht="1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206"/>
    </row>
    <row r="134" spans="1:19" ht="15">
      <c r="A134" s="89" t="s">
        <v>400</v>
      </c>
      <c r="B134" s="89"/>
      <c r="C134" s="89"/>
      <c r="D134" s="89"/>
      <c r="E134" s="89" t="s">
        <v>401</v>
      </c>
      <c r="F134" s="89"/>
      <c r="G134" s="89"/>
      <c r="H134" s="89"/>
      <c r="I134" s="89"/>
      <c r="J134" s="89" t="s">
        <v>402</v>
      </c>
      <c r="K134" s="89"/>
      <c r="L134" s="89"/>
      <c r="M134" s="89"/>
      <c r="N134" s="89"/>
      <c r="O134" s="89"/>
      <c r="P134" s="89"/>
    </row>
    <row r="135" spans="1:19" ht="15">
      <c r="A135" s="94" t="s">
        <v>403</v>
      </c>
      <c r="B135" s="94"/>
      <c r="C135" s="89"/>
      <c r="D135" s="89"/>
      <c r="E135" s="89"/>
      <c r="F135" s="89"/>
      <c r="G135" s="89"/>
      <c r="H135" s="89"/>
      <c r="I135" s="89"/>
      <c r="J135" s="89" t="s">
        <v>404</v>
      </c>
      <c r="K135" s="89"/>
      <c r="L135" s="89"/>
      <c r="M135" s="89"/>
      <c r="N135" s="89"/>
      <c r="O135" s="89"/>
      <c r="P135" s="89"/>
    </row>
    <row r="136" spans="1:19" ht="15">
      <c r="B136" s="152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</row>
    <row r="137" spans="1:19" ht="1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</row>
    <row r="138" spans="1:19" ht="15">
      <c r="A138" s="89"/>
      <c r="B138" s="89"/>
      <c r="C138" s="89"/>
      <c r="D138" s="89"/>
      <c r="E138" s="153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</row>
    <row r="139" spans="1:19" ht="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 t="s">
        <v>405</v>
      </c>
      <c r="P139" s="89"/>
    </row>
    <row r="140" spans="1:19" ht="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</row>
    <row r="141" spans="1:19" ht="1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</row>
    <row r="142" spans="1:19" ht="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</row>
    <row r="143" spans="1:19" ht="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9" ht="1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16" ht="1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1:16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1:16" ht="1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1:16" ht="1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1:16" ht="1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1:16" ht="1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1:16" ht="1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6" ht="1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6" ht="1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6" ht="1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6" ht="1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6" ht="1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1:16" ht="1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1:16" ht="1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1:16" ht="15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</sheetData>
  <printOptions gridLinesSet="0"/>
  <pageMargins left="0.98425196850393704" right="0.19685039370078741" top="0.19685039370078741" bottom="1" header="0.51181102362204722" footer="0.51181102362204722"/>
  <pageSetup scale="55" fitToHeight="2" orientation="landscape" horizontalDpi="4294967292" r:id="rId1"/>
  <headerFooter alignWithMargins="0"/>
  <rowBreaks count="1" manualBreakCount="1"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111111111111111111165"/>
  <dimension ref="A1:I37"/>
  <sheetViews>
    <sheetView showGridLines="0" view="pageBreakPreview" zoomScale="70" zoomScaleSheetLayoutView="70" workbookViewId="0">
      <selection activeCell="A26" sqref="A26"/>
    </sheetView>
  </sheetViews>
  <sheetFormatPr baseColWidth="10" defaultRowHeight="16.5"/>
  <cols>
    <col min="1" max="1" width="40" style="474" bestFit="1" customWidth="1"/>
    <col min="2" max="2" width="15" style="474" customWidth="1"/>
    <col min="3" max="3" width="14.7109375" style="474" customWidth="1"/>
    <col min="4" max="4" width="14.42578125" style="474" customWidth="1"/>
    <col min="5" max="5" width="14.7109375" style="474" customWidth="1"/>
    <col min="6" max="6" width="14.85546875" style="474" customWidth="1"/>
    <col min="7" max="8" width="15.7109375" style="474" customWidth="1"/>
    <col min="9" max="9" width="15" style="474" customWidth="1"/>
    <col min="10" max="16384" width="11.42578125" style="474"/>
  </cols>
  <sheetData>
    <row r="1" spans="1:9">
      <c r="A1" s="473"/>
      <c r="B1" s="473"/>
    </row>
    <row r="2" spans="1:9" ht="27">
      <c r="A2" s="612" t="s">
        <v>446</v>
      </c>
      <c r="B2" s="612"/>
      <c r="C2" s="612"/>
      <c r="D2" s="612"/>
      <c r="E2" s="612"/>
      <c r="F2" s="612"/>
      <c r="G2" s="612"/>
      <c r="H2" s="612"/>
      <c r="I2" s="612"/>
    </row>
    <row r="3" spans="1:9" ht="21" thickBot="1">
      <c r="A3" s="485"/>
      <c r="B3" s="485"/>
      <c r="C3" s="486"/>
      <c r="D3" s="486"/>
      <c r="E3" s="486"/>
      <c r="F3" s="486"/>
      <c r="G3" s="487"/>
      <c r="H3" s="487"/>
      <c r="I3" s="487"/>
    </row>
    <row r="4" spans="1:9" ht="21" thickBot="1">
      <c r="A4" s="488"/>
      <c r="B4" s="489">
        <v>2010</v>
      </c>
      <c r="C4" s="489">
        <v>2011</v>
      </c>
      <c r="D4" s="489">
        <v>2012</v>
      </c>
      <c r="E4" s="489">
        <v>2013</v>
      </c>
      <c r="F4" s="489">
        <v>2014</v>
      </c>
      <c r="G4" s="489">
        <v>2015</v>
      </c>
      <c r="H4" s="489">
        <v>2016</v>
      </c>
      <c r="I4" s="489">
        <v>2017</v>
      </c>
    </row>
    <row r="5" spans="1:9" ht="20.25">
      <c r="A5" s="490" t="s">
        <v>352</v>
      </c>
      <c r="B5" s="491"/>
      <c r="C5" s="492"/>
      <c r="D5" s="492"/>
      <c r="E5" s="492"/>
      <c r="F5" s="492">
        <v>0</v>
      </c>
      <c r="G5" s="492">
        <v>0</v>
      </c>
      <c r="H5" s="492"/>
      <c r="I5" s="492"/>
    </row>
    <row r="6" spans="1:9" ht="20.25">
      <c r="A6" s="490" t="s">
        <v>358</v>
      </c>
      <c r="B6" s="491"/>
      <c r="C6" s="492"/>
      <c r="D6" s="492"/>
      <c r="E6" s="492"/>
      <c r="F6" s="492">
        <v>0</v>
      </c>
      <c r="G6" s="492">
        <v>0</v>
      </c>
      <c r="H6" s="492"/>
      <c r="I6" s="492"/>
    </row>
    <row r="7" spans="1:9" ht="20.25">
      <c r="A7" s="490" t="s">
        <v>361</v>
      </c>
      <c r="B7" s="491">
        <v>1000</v>
      </c>
      <c r="C7" s="492">
        <v>760</v>
      </c>
      <c r="D7" s="492">
        <v>1000</v>
      </c>
      <c r="E7" s="492">
        <v>1108</v>
      </c>
      <c r="F7" s="492">
        <v>1700</v>
      </c>
      <c r="G7" s="492">
        <v>1613</v>
      </c>
      <c r="H7" s="492">
        <v>1709</v>
      </c>
      <c r="I7" s="492">
        <v>1700</v>
      </c>
    </row>
    <row r="8" spans="1:9" ht="20.25">
      <c r="A8" s="490" t="s">
        <v>365</v>
      </c>
      <c r="B8" s="493">
        <v>800</v>
      </c>
      <c r="C8" s="492">
        <v>1000</v>
      </c>
      <c r="D8" s="492">
        <v>800</v>
      </c>
      <c r="E8" s="492">
        <v>785</v>
      </c>
      <c r="F8" s="492">
        <v>319</v>
      </c>
      <c r="G8" s="492">
        <v>402</v>
      </c>
      <c r="H8" s="492">
        <v>400</v>
      </c>
      <c r="I8" s="492"/>
    </row>
    <row r="9" spans="1:9" ht="20.25">
      <c r="A9" s="490" t="s">
        <v>418</v>
      </c>
      <c r="B9" s="491"/>
      <c r="C9" s="492">
        <v>0</v>
      </c>
      <c r="D9" s="492">
        <v>0</v>
      </c>
      <c r="E9" s="492">
        <v>15</v>
      </c>
      <c r="F9" s="492">
        <v>0</v>
      </c>
      <c r="G9" s="492">
        <v>0</v>
      </c>
      <c r="H9" s="492">
        <v>24</v>
      </c>
      <c r="I9" s="492"/>
    </row>
    <row r="10" spans="1:9" ht="20.25">
      <c r="A10" s="490" t="s">
        <v>374</v>
      </c>
      <c r="B10" s="491"/>
      <c r="C10" s="492"/>
      <c r="D10" s="492"/>
      <c r="E10" s="492"/>
      <c r="F10" s="492">
        <v>0</v>
      </c>
      <c r="G10" s="492">
        <v>0</v>
      </c>
      <c r="H10" s="492"/>
      <c r="I10" s="492"/>
    </row>
    <row r="11" spans="1:9" ht="20.25">
      <c r="A11" s="490" t="s">
        <v>375</v>
      </c>
      <c r="B11" s="491"/>
      <c r="C11" s="492"/>
      <c r="D11" s="492"/>
      <c r="E11" s="492"/>
      <c r="F11" s="492">
        <v>0</v>
      </c>
      <c r="G11" s="492">
        <v>0</v>
      </c>
      <c r="H11" s="492"/>
      <c r="I11" s="492"/>
    </row>
    <row r="12" spans="1:9" ht="20.25">
      <c r="A12" s="490" t="s">
        <v>380</v>
      </c>
      <c r="B12" s="491"/>
      <c r="C12" s="492"/>
      <c r="D12" s="492"/>
      <c r="E12" s="492"/>
      <c r="F12" s="492">
        <v>0</v>
      </c>
      <c r="G12" s="492">
        <v>0</v>
      </c>
      <c r="H12" s="492"/>
      <c r="I12" s="492"/>
    </row>
    <row r="13" spans="1:9" ht="20.25">
      <c r="A13" s="490" t="s">
        <v>385</v>
      </c>
      <c r="B13" s="491"/>
      <c r="C13" s="492"/>
      <c r="D13" s="492"/>
      <c r="E13" s="492"/>
      <c r="F13" s="492">
        <v>700</v>
      </c>
      <c r="G13" s="492"/>
      <c r="H13" s="492"/>
      <c r="I13" s="492"/>
    </row>
    <row r="14" spans="1:9" ht="21" thickBot="1">
      <c r="A14" s="494" t="s">
        <v>419</v>
      </c>
      <c r="B14" s="495">
        <v>400</v>
      </c>
      <c r="C14" s="496">
        <v>440</v>
      </c>
      <c r="D14" s="496">
        <v>1000</v>
      </c>
      <c r="E14" s="496">
        <v>1400</v>
      </c>
      <c r="F14" s="496">
        <v>781</v>
      </c>
      <c r="G14" s="496">
        <v>1585</v>
      </c>
      <c r="H14" s="496">
        <v>1467</v>
      </c>
      <c r="I14" s="496">
        <v>1900</v>
      </c>
    </row>
    <row r="15" spans="1:9" ht="21" thickBot="1">
      <c r="A15" s="497"/>
      <c r="B15" s="498">
        <f t="shared" ref="B15:H15" si="0">SUM(B5:B14)</f>
        <v>2200</v>
      </c>
      <c r="C15" s="498">
        <f t="shared" si="0"/>
        <v>2200</v>
      </c>
      <c r="D15" s="498">
        <f t="shared" si="0"/>
        <v>2800</v>
      </c>
      <c r="E15" s="498">
        <f t="shared" si="0"/>
        <v>3308</v>
      </c>
      <c r="F15" s="498">
        <f t="shared" si="0"/>
        <v>3500</v>
      </c>
      <c r="G15" s="498">
        <f t="shared" si="0"/>
        <v>3600</v>
      </c>
      <c r="H15" s="498">
        <f t="shared" si="0"/>
        <v>3600</v>
      </c>
      <c r="I15" s="498">
        <f>SUM(I5:I14)</f>
        <v>3600</v>
      </c>
    </row>
    <row r="16" spans="1:9" ht="21" thickBot="1">
      <c r="A16" s="497"/>
      <c r="B16" s="499"/>
      <c r="C16" s="499"/>
      <c r="D16" s="499"/>
      <c r="E16" s="499"/>
      <c r="F16" s="499"/>
      <c r="G16" s="499"/>
      <c r="H16" s="499"/>
      <c r="I16" s="499"/>
    </row>
    <row r="17" spans="1:9" ht="21" thickBot="1">
      <c r="A17" s="476" t="s">
        <v>447</v>
      </c>
      <c r="B17" s="498">
        <v>2396</v>
      </c>
      <c r="C17" s="498">
        <v>2396</v>
      </c>
      <c r="D17" s="498">
        <v>2396</v>
      </c>
      <c r="E17" s="498">
        <v>2396</v>
      </c>
      <c r="F17" s="498">
        <v>2396</v>
      </c>
      <c r="G17" s="498">
        <v>2396</v>
      </c>
      <c r="H17" s="498">
        <v>2396</v>
      </c>
      <c r="I17" s="498">
        <v>2396</v>
      </c>
    </row>
    <row r="18" spans="1:9" ht="20.25">
      <c r="A18" s="497"/>
      <c r="B18" s="500"/>
      <c r="C18" s="500"/>
      <c r="D18" s="500"/>
      <c r="E18" s="500"/>
      <c r="F18" s="500"/>
      <c r="G18" s="501"/>
      <c r="H18" s="501"/>
      <c r="I18" s="501"/>
    </row>
    <row r="19" spans="1:9" ht="20.25">
      <c r="A19" s="476" t="s">
        <v>420</v>
      </c>
      <c r="B19" s="477">
        <v>-196</v>
      </c>
      <c r="C19" s="477">
        <v>-196</v>
      </c>
      <c r="D19" s="477">
        <f t="shared" ref="D19:I19" si="1">D15-D17</f>
        <v>404</v>
      </c>
      <c r="E19" s="477">
        <f t="shared" si="1"/>
        <v>912</v>
      </c>
      <c r="F19" s="477">
        <f t="shared" si="1"/>
        <v>1104</v>
      </c>
      <c r="G19" s="477">
        <f t="shared" si="1"/>
        <v>1204</v>
      </c>
      <c r="H19" s="477">
        <f t="shared" si="1"/>
        <v>1204</v>
      </c>
      <c r="I19" s="477">
        <f t="shared" si="1"/>
        <v>1204</v>
      </c>
    </row>
    <row r="20" spans="1:9" ht="20.25">
      <c r="A20" s="497"/>
      <c r="B20" s="497"/>
      <c r="C20" s="487"/>
      <c r="D20" s="487"/>
      <c r="E20" s="487"/>
      <c r="F20" s="487"/>
      <c r="G20" s="487"/>
      <c r="H20" s="487"/>
      <c r="I20" s="487"/>
    </row>
    <row r="21" spans="1:9">
      <c r="A21" s="473"/>
      <c r="B21" s="473"/>
    </row>
    <row r="22" spans="1:9">
      <c r="A22" s="473"/>
      <c r="B22" s="473"/>
    </row>
    <row r="23" spans="1:9">
      <c r="A23" s="473"/>
      <c r="B23" s="473"/>
    </row>
    <row r="24" spans="1:9">
      <c r="A24" s="473"/>
      <c r="B24" s="473"/>
    </row>
    <row r="25" spans="1:9">
      <c r="A25" s="473"/>
      <c r="B25" s="473"/>
    </row>
    <row r="26" spans="1:9">
      <c r="A26" s="473"/>
      <c r="B26" s="473"/>
    </row>
    <row r="27" spans="1:9">
      <c r="A27" s="473"/>
      <c r="B27" s="473"/>
    </row>
    <row r="28" spans="1:9">
      <c r="A28" s="473"/>
      <c r="B28" s="473"/>
    </row>
    <row r="29" spans="1:9">
      <c r="A29" s="473"/>
      <c r="B29" s="473"/>
    </row>
    <row r="30" spans="1:9">
      <c r="A30" s="473"/>
      <c r="B30" s="473"/>
    </row>
    <row r="31" spans="1:9">
      <c r="A31" s="473"/>
      <c r="B31" s="473"/>
    </row>
    <row r="32" spans="1:9">
      <c r="A32" s="473"/>
      <c r="B32" s="473"/>
    </row>
    <row r="33" spans="1:2">
      <c r="A33" s="473"/>
      <c r="B33" s="473"/>
    </row>
    <row r="34" spans="1:2">
      <c r="A34" s="473"/>
      <c r="B34" s="473"/>
    </row>
    <row r="35" spans="1:2">
      <c r="A35" s="473"/>
      <c r="B35" s="473"/>
    </row>
    <row r="36" spans="1:2">
      <c r="A36" s="473"/>
      <c r="B36" s="473"/>
    </row>
    <row r="37" spans="1:2">
      <c r="A37" s="473"/>
      <c r="B37" s="473"/>
    </row>
  </sheetData>
  <mergeCells count="1">
    <mergeCell ref="A2:I2"/>
  </mergeCells>
  <phoneticPr fontId="25" type="noConversion"/>
  <printOptions horizontalCentered="1" verticalCentered="1" gridLinesSet="0"/>
  <pageMargins left="0.98425196850393704" right="0.19685039370078741" top="0.19685039370078741" bottom="0.98425196850393704" header="0.51181102362204722" footer="0.51181102362204722"/>
  <pageSetup scale="57" fitToHeight="2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55" zoomScaleNormal="70" zoomScaleSheetLayoutView="55" workbookViewId="0">
      <selection activeCell="A21" sqref="A21:L21"/>
    </sheetView>
  </sheetViews>
  <sheetFormatPr baseColWidth="10" defaultRowHeight="12.75"/>
  <cols>
    <col min="1" max="1" width="37.5703125" style="6" customWidth="1"/>
    <col min="2" max="2" width="18.5703125" style="6" bestFit="1" customWidth="1"/>
    <col min="3" max="4" width="11.5703125" style="6" hidden="1" customWidth="1"/>
    <col min="5" max="5" width="18.7109375" style="6" bestFit="1" customWidth="1"/>
    <col min="6" max="7" width="19.85546875" style="6" bestFit="1" customWidth="1"/>
    <col min="8" max="8" width="18.7109375" style="6" bestFit="1" customWidth="1"/>
    <col min="9" max="9" width="19.85546875" style="6" bestFit="1" customWidth="1"/>
    <col min="10" max="10" width="19.85546875" style="6" customWidth="1"/>
    <col min="11" max="12" width="18.85546875" style="6" bestFit="1" customWidth="1"/>
    <col min="13" max="15" width="11.42578125" style="6" customWidth="1"/>
    <col min="16" max="16" width="12.85546875" style="6" customWidth="1"/>
    <col min="17" max="16384" width="11.42578125" style="6"/>
  </cols>
  <sheetData>
    <row r="1" spans="1:12" ht="18">
      <c r="A1" s="502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12" ht="23.25">
      <c r="A2" s="615" t="s">
        <v>455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 ht="18.75" thickBot="1">
      <c r="A3" s="503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</row>
    <row r="4" spans="1:12" ht="18">
      <c r="A4" s="613" t="s">
        <v>283</v>
      </c>
      <c r="B4" s="614"/>
      <c r="C4" s="614"/>
      <c r="D4" s="614"/>
      <c r="E4" s="504">
        <v>2010</v>
      </c>
      <c r="F4" s="504">
        <v>2011</v>
      </c>
      <c r="G4" s="504">
        <v>2012</v>
      </c>
      <c r="H4" s="504">
        <v>2013</v>
      </c>
      <c r="I4" s="504">
        <v>2014</v>
      </c>
      <c r="J4" s="504">
        <v>2015</v>
      </c>
      <c r="K4" s="504">
        <v>2016</v>
      </c>
      <c r="L4" s="504">
        <v>2017</v>
      </c>
    </row>
    <row r="5" spans="1:12" ht="18">
      <c r="A5" s="505" t="s">
        <v>323</v>
      </c>
      <c r="B5" s="506" t="s">
        <v>324</v>
      </c>
      <c r="C5" s="483"/>
      <c r="D5" s="483"/>
      <c r="E5" s="507"/>
      <c r="F5" s="507"/>
      <c r="G5" s="507"/>
      <c r="H5" s="507"/>
      <c r="I5" s="507"/>
      <c r="J5" s="507"/>
      <c r="K5" s="507"/>
      <c r="L5" s="507"/>
    </row>
    <row r="6" spans="1:12" ht="18">
      <c r="A6" s="505"/>
      <c r="B6" s="508"/>
      <c r="C6" s="483"/>
      <c r="D6" s="483"/>
      <c r="E6" s="507"/>
      <c r="F6" s="507"/>
      <c r="G6" s="507"/>
      <c r="H6" s="507"/>
      <c r="I6" s="507"/>
      <c r="J6" s="507"/>
      <c r="K6" s="507"/>
      <c r="L6" s="507"/>
    </row>
    <row r="7" spans="1:12" ht="18">
      <c r="A7" s="509" t="s">
        <v>68</v>
      </c>
      <c r="B7" s="510">
        <v>22.95</v>
      </c>
      <c r="C7" s="483"/>
      <c r="D7" s="483"/>
      <c r="E7" s="507"/>
      <c r="F7" s="507"/>
      <c r="G7" s="507"/>
      <c r="H7" s="507"/>
      <c r="I7" s="507"/>
      <c r="J7" s="507"/>
      <c r="K7" s="507"/>
      <c r="L7" s="507"/>
    </row>
    <row r="8" spans="1:12" ht="18">
      <c r="A8" s="509" t="s">
        <v>74</v>
      </c>
      <c r="B8" s="510">
        <v>51.3</v>
      </c>
      <c r="C8" s="483"/>
      <c r="D8" s="483"/>
      <c r="E8" s="507"/>
      <c r="F8" s="507"/>
      <c r="G8" s="507"/>
      <c r="H8" s="507"/>
      <c r="I8" s="507"/>
      <c r="J8" s="507"/>
      <c r="K8" s="507"/>
      <c r="L8" s="507"/>
    </row>
    <row r="9" spans="1:12" ht="18">
      <c r="A9" s="509" t="s">
        <v>83</v>
      </c>
      <c r="B9" s="510">
        <v>103.95</v>
      </c>
      <c r="C9" s="483"/>
      <c r="D9" s="483"/>
      <c r="E9" s="507">
        <v>1000</v>
      </c>
      <c r="F9" s="507">
        <v>760</v>
      </c>
      <c r="G9" s="507">
        <v>1000</v>
      </c>
      <c r="H9" s="507">
        <v>1108</v>
      </c>
      <c r="I9" s="507">
        <v>1700</v>
      </c>
      <c r="J9" s="507">
        <v>1700</v>
      </c>
      <c r="K9" s="507"/>
      <c r="L9" s="507"/>
    </row>
    <row r="10" spans="1:12" ht="18">
      <c r="A10" s="509" t="s">
        <v>73</v>
      </c>
      <c r="B10" s="510">
        <v>167.9</v>
      </c>
      <c r="C10" s="483"/>
      <c r="D10" s="483"/>
      <c r="E10" s="507">
        <v>800</v>
      </c>
      <c r="F10" s="507">
        <v>1000</v>
      </c>
      <c r="G10" s="507">
        <v>800</v>
      </c>
      <c r="H10" s="507">
        <v>785</v>
      </c>
      <c r="I10" s="507">
        <v>319</v>
      </c>
      <c r="J10" s="507">
        <v>319</v>
      </c>
      <c r="K10" s="507"/>
      <c r="L10" s="507"/>
    </row>
    <row r="11" spans="1:12" ht="18">
      <c r="A11" s="509" t="s">
        <v>325</v>
      </c>
      <c r="B11" s="510">
        <v>222</v>
      </c>
      <c r="C11" s="483"/>
      <c r="D11" s="483"/>
      <c r="E11" s="507"/>
      <c r="F11" s="507">
        <v>0</v>
      </c>
      <c r="G11" s="507">
        <v>0</v>
      </c>
      <c r="H11" s="507">
        <v>15</v>
      </c>
      <c r="I11" s="507">
        <v>0</v>
      </c>
      <c r="J11" s="507">
        <v>0</v>
      </c>
      <c r="K11" s="507"/>
      <c r="L11" s="507"/>
    </row>
    <row r="12" spans="1:12" ht="18">
      <c r="A12" s="509" t="s">
        <v>82</v>
      </c>
      <c r="B12" s="510">
        <v>21.25</v>
      </c>
      <c r="C12" s="483"/>
      <c r="D12" s="483"/>
      <c r="E12" s="507"/>
      <c r="F12" s="507"/>
      <c r="G12" s="507"/>
      <c r="H12" s="507"/>
      <c r="I12" s="507">
        <v>0</v>
      </c>
      <c r="J12" s="507">
        <v>0</v>
      </c>
      <c r="K12" s="507"/>
      <c r="L12" s="507"/>
    </row>
    <row r="13" spans="1:12" ht="18">
      <c r="A13" s="509" t="s">
        <v>75</v>
      </c>
      <c r="B13" s="510">
        <v>47.5</v>
      </c>
      <c r="C13" s="483"/>
      <c r="D13" s="483"/>
      <c r="E13" s="507"/>
      <c r="F13" s="507"/>
      <c r="G13" s="507"/>
      <c r="H13" s="507"/>
      <c r="I13" s="507">
        <v>0</v>
      </c>
      <c r="J13" s="507">
        <v>0</v>
      </c>
      <c r="K13" s="507"/>
      <c r="L13" s="507"/>
    </row>
    <row r="14" spans="1:12" ht="18">
      <c r="A14" s="509" t="s">
        <v>70</v>
      </c>
      <c r="B14" s="510">
        <v>73.5</v>
      </c>
      <c r="C14" s="483"/>
      <c r="D14" s="483"/>
      <c r="E14" s="507"/>
      <c r="F14" s="507"/>
      <c r="G14" s="507"/>
      <c r="H14" s="507"/>
      <c r="I14" s="507">
        <v>0</v>
      </c>
      <c r="J14" s="507">
        <v>0</v>
      </c>
      <c r="K14" s="507"/>
      <c r="L14" s="507"/>
    </row>
    <row r="15" spans="1:12" ht="18">
      <c r="A15" s="509" t="s">
        <v>71</v>
      </c>
      <c r="B15" s="510">
        <v>120.75</v>
      </c>
      <c r="C15" s="483"/>
      <c r="D15" s="483"/>
      <c r="E15" s="507"/>
      <c r="F15" s="507"/>
      <c r="G15" s="507"/>
      <c r="H15" s="507"/>
      <c r="I15" s="507">
        <v>700</v>
      </c>
      <c r="J15" s="507">
        <v>700</v>
      </c>
      <c r="K15" s="507"/>
      <c r="L15" s="507"/>
    </row>
    <row r="16" spans="1:12" ht="18">
      <c r="A16" s="509" t="s">
        <v>72</v>
      </c>
      <c r="B16" s="510">
        <v>121.6</v>
      </c>
      <c r="C16" s="483"/>
      <c r="D16" s="483"/>
      <c r="E16" s="507">
        <v>400</v>
      </c>
      <c r="F16" s="507">
        <v>440</v>
      </c>
      <c r="G16" s="507">
        <v>1000</v>
      </c>
      <c r="H16" s="507">
        <v>1400</v>
      </c>
      <c r="I16" s="507">
        <v>781</v>
      </c>
      <c r="J16" s="507">
        <v>781</v>
      </c>
      <c r="K16" s="507"/>
      <c r="L16" s="507"/>
    </row>
    <row r="17" spans="1:12" ht="18.75" thickBot="1">
      <c r="A17" s="511"/>
      <c r="B17" s="512"/>
      <c r="C17" s="483"/>
      <c r="D17" s="483"/>
      <c r="E17" s="507"/>
      <c r="F17" s="507"/>
      <c r="G17" s="507"/>
      <c r="H17" s="507"/>
      <c r="I17" s="507"/>
      <c r="J17" s="507"/>
      <c r="K17" s="507"/>
      <c r="L17" s="507"/>
    </row>
    <row r="18" spans="1:12" ht="18.75" thickBot="1">
      <c r="A18" s="513" t="s">
        <v>290</v>
      </c>
      <c r="B18" s="514"/>
      <c r="C18" s="514"/>
      <c r="D18" s="514"/>
      <c r="E18" s="515">
        <f t="shared" ref="E18:J18" si="0">(E9*$B$9)+(E10*$B$10)+(E11*$B$11)+(E15*$B$15)+(E16*$B$16)</f>
        <v>286910</v>
      </c>
      <c r="F18" s="515">
        <f t="shared" si="0"/>
        <v>300406</v>
      </c>
      <c r="G18" s="515">
        <f t="shared" si="0"/>
        <v>359870</v>
      </c>
      <c r="H18" s="515">
        <f t="shared" si="0"/>
        <v>420548.1</v>
      </c>
      <c r="I18" s="515">
        <f t="shared" si="0"/>
        <v>409769.69999999995</v>
      </c>
      <c r="J18" s="515">
        <f t="shared" si="0"/>
        <v>409769.69999999995</v>
      </c>
      <c r="K18" s="515"/>
      <c r="L18" s="515"/>
    </row>
    <row r="19" spans="1:12" ht="18">
      <c r="A19" s="506"/>
      <c r="B19" s="483"/>
      <c r="C19" s="483"/>
      <c r="D19" s="483"/>
      <c r="E19" s="606"/>
      <c r="F19" s="606"/>
      <c r="G19" s="606"/>
      <c r="H19" s="606"/>
      <c r="I19" s="606"/>
      <c r="J19" s="606"/>
      <c r="K19" s="606"/>
      <c r="L19" s="606"/>
    </row>
    <row r="20" spans="1:12" ht="18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</row>
    <row r="21" spans="1:12" ht="23.25">
      <c r="A21" s="615" t="s">
        <v>456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</row>
    <row r="22" spans="1:12" ht="18.75" thickBot="1">
      <c r="A22" s="503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</row>
    <row r="23" spans="1:12" ht="18">
      <c r="A23" s="613" t="s">
        <v>283</v>
      </c>
      <c r="B23" s="614"/>
      <c r="C23" s="614"/>
      <c r="D23" s="614"/>
      <c r="E23" s="504">
        <v>2010</v>
      </c>
      <c r="F23" s="504">
        <v>2011</v>
      </c>
      <c r="G23" s="504">
        <v>2012</v>
      </c>
      <c r="H23" s="504">
        <v>2013</v>
      </c>
      <c r="I23" s="504">
        <v>2014</v>
      </c>
      <c r="J23" s="504">
        <v>2015</v>
      </c>
      <c r="K23" s="504">
        <v>2016</v>
      </c>
      <c r="L23" s="504">
        <v>2017</v>
      </c>
    </row>
    <row r="24" spans="1:12" ht="18">
      <c r="A24" s="505" t="s">
        <v>323</v>
      </c>
      <c r="B24" s="506" t="s">
        <v>324</v>
      </c>
      <c r="C24" s="483"/>
      <c r="D24" s="483"/>
      <c r="E24" s="507"/>
      <c r="F24" s="507"/>
      <c r="G24" s="507"/>
      <c r="H24" s="507"/>
      <c r="I24" s="507"/>
      <c r="J24" s="507"/>
      <c r="K24" s="507"/>
      <c r="L24" s="507"/>
    </row>
    <row r="25" spans="1:12" ht="18">
      <c r="A25" s="505"/>
      <c r="B25" s="508"/>
      <c r="C25" s="483"/>
      <c r="D25" s="483"/>
      <c r="E25" s="507"/>
      <c r="F25" s="507"/>
      <c r="G25" s="507"/>
      <c r="H25" s="507"/>
      <c r="I25" s="507"/>
      <c r="J25" s="507"/>
      <c r="K25" s="507"/>
      <c r="L25" s="507"/>
    </row>
    <row r="26" spans="1:12" ht="18">
      <c r="A26" s="509" t="s">
        <v>68</v>
      </c>
      <c r="B26" s="510">
        <v>22.95</v>
      </c>
      <c r="C26" s="483"/>
      <c r="D26" s="483"/>
      <c r="E26" s="507"/>
      <c r="F26" s="507"/>
      <c r="G26" s="507"/>
      <c r="H26" s="507"/>
      <c r="I26" s="507"/>
      <c r="J26" s="507"/>
      <c r="K26" s="507"/>
      <c r="L26" s="507"/>
    </row>
    <row r="27" spans="1:12" ht="18">
      <c r="A27" s="509" t="s">
        <v>74</v>
      </c>
      <c r="B27" s="510">
        <v>51.3</v>
      </c>
      <c r="C27" s="483"/>
      <c r="D27" s="483"/>
      <c r="E27" s="507"/>
      <c r="F27" s="507"/>
      <c r="G27" s="507"/>
      <c r="H27" s="507"/>
      <c r="I27" s="507"/>
      <c r="J27" s="507"/>
      <c r="K27" s="507"/>
      <c r="L27" s="507"/>
    </row>
    <row r="28" spans="1:12" ht="18">
      <c r="A28" s="509" t="s">
        <v>83</v>
      </c>
      <c r="B28" s="510">
        <v>103.95</v>
      </c>
      <c r="C28" s="483"/>
      <c r="D28" s="483"/>
      <c r="E28" s="507"/>
      <c r="F28" s="507"/>
      <c r="G28" s="507">
        <v>404</v>
      </c>
      <c r="H28" s="507">
        <v>912</v>
      </c>
      <c r="I28" s="507">
        <v>1103</v>
      </c>
      <c r="J28" s="507">
        <v>1203</v>
      </c>
      <c r="K28" s="507">
        <v>1203</v>
      </c>
      <c r="L28" s="507">
        <v>1203</v>
      </c>
    </row>
    <row r="29" spans="1:12" ht="18">
      <c r="A29" s="509" t="s">
        <v>73</v>
      </c>
      <c r="B29" s="510">
        <v>167.9</v>
      </c>
      <c r="C29" s="483"/>
      <c r="D29" s="483"/>
      <c r="E29" s="507"/>
      <c r="F29" s="507"/>
      <c r="G29" s="507"/>
      <c r="H29" s="507"/>
      <c r="I29" s="507"/>
      <c r="J29" s="507"/>
      <c r="K29" s="507"/>
      <c r="L29" s="507"/>
    </row>
    <row r="30" spans="1:12" ht="18">
      <c r="A30" s="509" t="s">
        <v>325</v>
      </c>
      <c r="B30" s="510">
        <v>222</v>
      </c>
      <c r="C30" s="483"/>
      <c r="D30" s="483"/>
      <c r="E30" s="507"/>
      <c r="F30" s="507"/>
      <c r="G30" s="507"/>
      <c r="H30" s="507"/>
      <c r="I30" s="507"/>
      <c r="J30" s="507"/>
      <c r="K30" s="507"/>
      <c r="L30" s="507"/>
    </row>
    <row r="31" spans="1:12" ht="18">
      <c r="A31" s="509" t="s">
        <v>82</v>
      </c>
      <c r="B31" s="510">
        <v>21.25</v>
      </c>
      <c r="C31" s="483"/>
      <c r="D31" s="483"/>
      <c r="E31" s="507"/>
      <c r="F31" s="507"/>
      <c r="G31" s="507"/>
      <c r="H31" s="507"/>
      <c r="I31" s="507"/>
      <c r="J31" s="507"/>
      <c r="K31" s="507"/>
      <c r="L31" s="507"/>
    </row>
    <row r="32" spans="1:12" ht="18">
      <c r="A32" s="509" t="s">
        <v>75</v>
      </c>
      <c r="B32" s="510">
        <v>47.5</v>
      </c>
      <c r="C32" s="483"/>
      <c r="D32" s="483"/>
      <c r="E32" s="507"/>
      <c r="F32" s="507"/>
      <c r="G32" s="507"/>
      <c r="H32" s="507"/>
      <c r="I32" s="507"/>
      <c r="J32" s="507"/>
      <c r="K32" s="507"/>
      <c r="L32" s="507"/>
    </row>
    <row r="33" spans="1:12" ht="18">
      <c r="A33" s="509" t="s">
        <v>70</v>
      </c>
      <c r="B33" s="510">
        <v>73.5</v>
      </c>
      <c r="C33" s="483"/>
      <c r="D33" s="483"/>
      <c r="E33" s="507"/>
      <c r="F33" s="507"/>
      <c r="G33" s="507"/>
      <c r="H33" s="507"/>
      <c r="I33" s="507"/>
      <c r="J33" s="507"/>
      <c r="K33" s="507"/>
      <c r="L33" s="507"/>
    </row>
    <row r="34" spans="1:12" ht="18">
      <c r="A34" s="509" t="s">
        <v>71</v>
      </c>
      <c r="B34" s="510">
        <v>120.75</v>
      </c>
      <c r="C34" s="483"/>
      <c r="D34" s="483"/>
      <c r="E34" s="507"/>
      <c r="F34" s="507"/>
      <c r="G34" s="507"/>
      <c r="H34" s="507"/>
      <c r="I34" s="507"/>
      <c r="J34" s="507"/>
      <c r="K34" s="507"/>
      <c r="L34" s="507"/>
    </row>
    <row r="35" spans="1:12" ht="18">
      <c r="A35" s="509" t="s">
        <v>72</v>
      </c>
      <c r="B35" s="510">
        <v>121.6</v>
      </c>
      <c r="C35" s="483"/>
      <c r="D35" s="483"/>
      <c r="E35" s="507"/>
      <c r="F35" s="507"/>
      <c r="G35" s="507"/>
      <c r="H35" s="507"/>
      <c r="I35" s="507"/>
      <c r="J35" s="507"/>
      <c r="K35" s="507"/>
      <c r="L35" s="507"/>
    </row>
    <row r="36" spans="1:12" ht="18.75" thickBot="1">
      <c r="A36" s="511"/>
      <c r="B36" s="512"/>
      <c r="C36" s="483"/>
      <c r="D36" s="483"/>
      <c r="E36" s="507"/>
      <c r="F36" s="507"/>
      <c r="G36" s="507"/>
      <c r="H36" s="507"/>
      <c r="I36" s="507"/>
      <c r="J36" s="507"/>
      <c r="K36" s="507"/>
      <c r="L36" s="507"/>
    </row>
    <row r="37" spans="1:12" ht="18.75" thickBot="1">
      <c r="A37" s="513" t="s">
        <v>290</v>
      </c>
      <c r="B37" s="514"/>
      <c r="C37" s="514"/>
      <c r="D37" s="514"/>
      <c r="E37" s="515">
        <f t="shared" ref="E37:K37" si="1">(E28*$B$9)+(E29*$B$10)+(E30*$B$11)+(E34*$B$15)+(E35*$B$16)</f>
        <v>0</v>
      </c>
      <c r="F37" s="515">
        <f t="shared" si="1"/>
        <v>0</v>
      </c>
      <c r="G37" s="515">
        <f t="shared" si="1"/>
        <v>41995.8</v>
      </c>
      <c r="H37" s="515">
        <f t="shared" si="1"/>
        <v>94802.400000000009</v>
      </c>
      <c r="I37" s="515">
        <f t="shared" si="1"/>
        <v>114656.85</v>
      </c>
      <c r="J37" s="515">
        <f t="shared" si="1"/>
        <v>125051.85</v>
      </c>
      <c r="K37" s="515">
        <f t="shared" si="1"/>
        <v>125051.85</v>
      </c>
      <c r="L37" s="515">
        <f>(L28*$B$9)+(L29*$B$10)+(L30*$B$11)+(L34*$B$15)+(L35*$B$16)</f>
        <v>125051.85</v>
      </c>
    </row>
  </sheetData>
  <mergeCells count="4">
    <mergeCell ref="A4:D4"/>
    <mergeCell ref="A23:D23"/>
    <mergeCell ref="A2:L2"/>
    <mergeCell ref="A21:L21"/>
  </mergeCells>
  <phoneticPr fontId="25" type="noConversion"/>
  <printOptions horizontalCentered="1" verticalCentered="1"/>
  <pageMargins left="0.75" right="0.75" top="1" bottom="1" header="0" footer="0"/>
  <pageSetup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showGridLines="0" view="pageBreakPreview" topLeftCell="B6" zoomScale="70" zoomScaleSheetLayoutView="70" workbookViewId="0">
      <selection activeCell="B10" sqref="B10"/>
    </sheetView>
  </sheetViews>
  <sheetFormatPr baseColWidth="10" defaultRowHeight="12.75"/>
  <cols>
    <col min="1" max="1" width="33" style="6" bestFit="1" customWidth="1"/>
    <col min="2" max="2" width="15.85546875" style="6" customWidth="1"/>
    <col min="3" max="4" width="11.5703125" style="6" hidden="1" customWidth="1"/>
    <col min="5" max="5" width="15" style="6" customWidth="1"/>
    <col min="6" max="6" width="16.85546875" style="6" bestFit="1" customWidth="1"/>
    <col min="7" max="7" width="15.85546875" style="6" bestFit="1" customWidth="1"/>
    <col min="8" max="8" width="16.5703125" style="6" bestFit="1" customWidth="1"/>
    <col min="9" max="9" width="17.28515625" style="6" customWidth="1"/>
    <col min="10" max="10" width="16.5703125" style="6" customWidth="1"/>
    <col min="11" max="11" width="16.42578125" style="6" customWidth="1"/>
    <col min="12" max="12" width="16" style="6" customWidth="1"/>
    <col min="13" max="13" width="11.42578125" style="6" customWidth="1"/>
    <col min="14" max="14" width="14" style="6" customWidth="1"/>
    <col min="15" max="15" width="11.5703125" style="6" bestFit="1" customWidth="1"/>
    <col min="16" max="16384" width="11.42578125" style="6"/>
  </cols>
  <sheetData>
    <row r="1" spans="1:12">
      <c r="A1" s="53"/>
      <c r="G1" s="54"/>
    </row>
    <row r="2" spans="1:12" ht="13.5" thickBot="1">
      <c r="G2" s="46"/>
    </row>
    <row r="3" spans="1:12" ht="24" thickBot="1">
      <c r="A3" s="616" t="s">
        <v>462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8"/>
    </row>
    <row r="4" spans="1:12" ht="13.5" thickBot="1">
      <c r="A4" s="57"/>
    </row>
    <row r="5" spans="1:12" ht="13.5" thickBot="1">
      <c r="A5" s="437"/>
      <c r="B5" s="450">
        <v>2009</v>
      </c>
      <c r="C5" s="458"/>
      <c r="D5" s="458"/>
      <c r="E5" s="458">
        <v>2010</v>
      </c>
      <c r="F5" s="449">
        <v>2011</v>
      </c>
      <c r="G5" s="449">
        <v>2012</v>
      </c>
      <c r="H5" s="449">
        <v>2013</v>
      </c>
      <c r="I5" s="449">
        <v>2014</v>
      </c>
      <c r="J5" s="449">
        <v>2015</v>
      </c>
      <c r="K5" s="449">
        <v>2016</v>
      </c>
      <c r="L5" s="449">
        <v>2017</v>
      </c>
    </row>
    <row r="6" spans="1:12">
      <c r="A6" s="70"/>
      <c r="B6" s="70"/>
      <c r="C6" s="70"/>
      <c r="D6" s="70"/>
      <c r="E6" s="441"/>
      <c r="F6" s="81"/>
      <c r="G6" s="81"/>
      <c r="H6" s="81"/>
      <c r="I6" s="81"/>
      <c r="J6" s="81"/>
      <c r="K6" s="81"/>
      <c r="L6" s="442"/>
    </row>
    <row r="7" spans="1:12">
      <c r="A7" s="70" t="s">
        <v>319</v>
      </c>
      <c r="B7" s="70"/>
      <c r="C7" s="70"/>
      <c r="D7" s="70"/>
      <c r="E7" s="443"/>
      <c r="F7" s="444"/>
      <c r="G7" s="444">
        <f>'ANEXO MANT'!G23</f>
        <v>232704</v>
      </c>
      <c r="H7" s="444">
        <f>'ANEXO MANT'!H23</f>
        <v>525312</v>
      </c>
      <c r="I7" s="444">
        <f>'ANEXO MANT'!I23</f>
        <v>693504</v>
      </c>
      <c r="J7" s="444">
        <f>'ANEXO MANT'!J23</f>
        <v>693504</v>
      </c>
      <c r="K7" s="444">
        <f>'ANEXO MANT'!K23</f>
        <v>693504</v>
      </c>
      <c r="L7" s="445">
        <f>'ANEXO MANT'!L23</f>
        <v>693504</v>
      </c>
    </row>
    <row r="8" spans="1:12">
      <c r="A8" s="70" t="s">
        <v>320</v>
      </c>
      <c r="B8" s="70"/>
      <c r="C8" s="70"/>
      <c r="D8" s="70"/>
      <c r="E8" s="443"/>
      <c r="F8" s="444"/>
      <c r="G8" s="444">
        <f>-'ANEXO MANT'!G42</f>
        <v>-41995.8</v>
      </c>
      <c r="H8" s="444">
        <f>-'ANEXO MANT'!H42</f>
        <v>-94802.400000000009</v>
      </c>
      <c r="I8" s="444">
        <f>-'ANEXO MANT'!I42</f>
        <v>-125155.8</v>
      </c>
      <c r="J8" s="444">
        <f>-'ANEXO MANT'!J42</f>
        <v>-125155.8</v>
      </c>
      <c r="K8" s="444">
        <f>-'ANEXO MANT'!K42</f>
        <v>-125155.8</v>
      </c>
      <c r="L8" s="445">
        <f>-'ANEXO MANT'!L42</f>
        <v>-125155.8</v>
      </c>
    </row>
    <row r="9" spans="1:12">
      <c r="A9" s="70"/>
      <c r="B9" s="70"/>
      <c r="C9" s="70"/>
      <c r="D9" s="70"/>
      <c r="E9" s="443"/>
      <c r="F9" s="444"/>
      <c r="G9" s="444"/>
      <c r="H9" s="444"/>
      <c r="I9" s="444"/>
      <c r="J9" s="444"/>
      <c r="K9" s="444"/>
      <c r="L9" s="445"/>
    </row>
    <row r="10" spans="1:12" ht="15">
      <c r="A10" s="479" t="s">
        <v>321</v>
      </c>
      <c r="B10" s="479"/>
      <c r="C10" s="479"/>
      <c r="D10" s="479"/>
      <c r="E10" s="480">
        <f>E7-E8</f>
        <v>0</v>
      </c>
      <c r="F10" s="481">
        <f t="shared" ref="F10:L10" si="0">F7+F8</f>
        <v>0</v>
      </c>
      <c r="G10" s="481">
        <f t="shared" si="0"/>
        <v>190708.2</v>
      </c>
      <c r="H10" s="481">
        <f t="shared" si="0"/>
        <v>430509.6</v>
      </c>
      <c r="I10" s="481">
        <f t="shared" si="0"/>
        <v>568348.19999999995</v>
      </c>
      <c r="J10" s="481">
        <f t="shared" si="0"/>
        <v>568348.19999999995</v>
      </c>
      <c r="K10" s="481">
        <f t="shared" si="0"/>
        <v>568348.19999999995</v>
      </c>
      <c r="L10" s="482">
        <f t="shared" si="0"/>
        <v>568348.19999999995</v>
      </c>
    </row>
    <row r="11" spans="1:12">
      <c r="A11" s="70"/>
      <c r="B11" s="70"/>
      <c r="C11" s="70"/>
      <c r="D11" s="70"/>
      <c r="E11" s="443"/>
      <c r="F11" s="444"/>
      <c r="G11" s="444"/>
      <c r="H11" s="444"/>
      <c r="I11" s="444"/>
      <c r="J11" s="444"/>
      <c r="K11" s="444"/>
      <c r="L11" s="445"/>
    </row>
    <row r="12" spans="1:12">
      <c r="A12" s="70" t="s">
        <v>443</v>
      </c>
      <c r="B12" s="70"/>
      <c r="C12" s="70"/>
      <c r="D12" s="70"/>
      <c r="E12" s="443">
        <f>-'ANEXO MANT'!E52</f>
        <v>-45706.411908910639</v>
      </c>
      <c r="F12" s="444">
        <f>-'ANEXO MANT'!F52</f>
        <v>-91372.128928358274</v>
      </c>
      <c r="G12" s="444">
        <f>-'ANEXO MANT'!G52</f>
        <v>-156124.20844350985</v>
      </c>
      <c r="H12" s="444">
        <f>-'ANEXO MANT'!H52</f>
        <v>-234302.63377684326</v>
      </c>
      <c r="I12" s="444">
        <f>-'ANEXO MANT'!I52</f>
        <v>-241959.73207987344</v>
      </c>
      <c r="J12" s="444">
        <f>-'ANEXO MANT'!J52</f>
        <v>-249600.83232229771</v>
      </c>
      <c r="K12" s="444">
        <f>-'ANEXO MANT'!K52</f>
        <v>-270279.29014047957</v>
      </c>
      <c r="L12" s="445">
        <f>-'ANEXO MANT'!L52</f>
        <v>-106535.75757575757</v>
      </c>
    </row>
    <row r="13" spans="1:12">
      <c r="A13" s="70" t="s">
        <v>10</v>
      </c>
      <c r="B13" s="70"/>
      <c r="C13" s="70"/>
      <c r="D13" s="70"/>
      <c r="E13" s="443">
        <f>-'ANEXO MANT'!E75</f>
        <v>-28694.102356164381</v>
      </c>
      <c r="F13" s="444">
        <f>-'ANEXO MANT'!F75</f>
        <v>-28694.102356164381</v>
      </c>
      <c r="G13" s="444">
        <f>-'ANEXO MANT'!G75</f>
        <v>-28694.102356164381</v>
      </c>
      <c r="H13" s="444">
        <f>-'ANEXO MANT'!H75</f>
        <v>-28694.102356164381</v>
      </c>
      <c r="I13" s="444">
        <f>-'ANEXO MANT'!I75</f>
        <v>-28694.102356164381</v>
      </c>
      <c r="J13" s="444">
        <f>-'ANEXO MANT'!J75</f>
        <v>-28694.102356164381</v>
      </c>
      <c r="K13" s="444">
        <f>-'ANEXO MANT'!K75</f>
        <v>-28694.102356164381</v>
      </c>
      <c r="L13" s="445">
        <f>-'ANEXO MANT'!L75</f>
        <v>-28694.102356164381</v>
      </c>
    </row>
    <row r="14" spans="1:12">
      <c r="A14" s="70" t="s">
        <v>306</v>
      </c>
      <c r="B14" s="70"/>
      <c r="C14" s="70"/>
      <c r="D14" s="70"/>
      <c r="E14" s="443">
        <f>-'ANEXO MANT'!E99</f>
        <v>-10894.317934331457</v>
      </c>
      <c r="F14" s="444">
        <f>-'ANEXO MANT'!F99</f>
        <v>-21778.936068446787</v>
      </c>
      <c r="G14" s="444">
        <f>-'ANEXO MANT'!G99</f>
        <v>-37212.869988988168</v>
      </c>
      <c r="H14" s="444">
        <f>-'ANEXO MANT'!H99</f>
        <v>-55847.030615818818</v>
      </c>
      <c r="I14" s="444">
        <f>-'ANEXO MANT'!I99</f>
        <v>-57672.132606626772</v>
      </c>
      <c r="J14" s="444">
        <f>-'ANEXO MANT'!J99</f>
        <v>-59493.421391556272</v>
      </c>
      <c r="K14" s="444">
        <f>-'ANEXO MANT'!K99</f>
        <v>-64422.219878558404</v>
      </c>
      <c r="L14" s="445">
        <f>-'ANEXO MANT'!L99</f>
        <v>-64677.310275569391</v>
      </c>
    </row>
    <row r="15" spans="1:12">
      <c r="A15" s="70" t="s">
        <v>186</v>
      </c>
      <c r="B15" s="70"/>
      <c r="C15" s="70"/>
      <c r="D15" s="70"/>
      <c r="E15" s="443">
        <f>-'ANEXO MANT'!E127</f>
        <v>-6907.2808859556462</v>
      </c>
      <c r="F15" s="444">
        <f>-'ANEXO MANT'!F127</f>
        <v>-13808.411846323081</v>
      </c>
      <c r="G15" s="444">
        <f>-'ANEXO MANT'!G127</f>
        <v>-23593.927323937965</v>
      </c>
      <c r="H15" s="444">
        <f>-'ANEXO MANT'!H127</f>
        <v>-35408.469757835948</v>
      </c>
      <c r="I15" s="444">
        <f>-'ANEXO MANT'!I127</f>
        <v>-36565.631883268339</v>
      </c>
      <c r="J15" s="444">
        <f>-'ANEXO MANT'!J127</f>
        <v>-37720.376337008296</v>
      </c>
      <c r="K15" s="444">
        <f>-'ANEXO MANT'!K127</f>
        <v>-40845.362755176953</v>
      </c>
      <c r="L15" s="445">
        <f>-'ANEXO MANT'!L127</f>
        <v>-41007.096700714937</v>
      </c>
    </row>
    <row r="16" spans="1:12">
      <c r="A16" s="70" t="s">
        <v>423</v>
      </c>
      <c r="B16" s="70"/>
      <c r="C16" s="70"/>
      <c r="D16" s="70"/>
      <c r="E16" s="443">
        <f>-I.I!$F$24/10</f>
        <v>-12641.578903333333</v>
      </c>
      <c r="F16" s="444">
        <f>-I.I!$F$24/10</f>
        <v>-12641.578903333333</v>
      </c>
      <c r="G16" s="444">
        <f>-I.I!$F$24/10</f>
        <v>-12641.578903333333</v>
      </c>
      <c r="H16" s="444">
        <f>-I.I!$F$24/10</f>
        <v>-12641.578903333333</v>
      </c>
      <c r="I16" s="444">
        <f>-I.I!$F$24/10</f>
        <v>-12641.578903333333</v>
      </c>
      <c r="J16" s="444">
        <f>-I.I!$F$24/10</f>
        <v>-12641.578903333333</v>
      </c>
      <c r="K16" s="444">
        <f>-I.I!$F$24/10</f>
        <v>-12641.578903333333</v>
      </c>
      <c r="L16" s="445">
        <f>-I.I!$F$24/10</f>
        <v>-12641.578903333333</v>
      </c>
    </row>
    <row r="17" spans="1:12">
      <c r="A17" s="70"/>
      <c r="B17" s="70"/>
      <c r="C17" s="70"/>
      <c r="D17" s="70"/>
      <c r="E17" s="443"/>
      <c r="F17" s="444"/>
      <c r="G17" s="444"/>
      <c r="H17" s="444"/>
      <c r="I17" s="444"/>
      <c r="J17" s="444"/>
      <c r="K17" s="444"/>
      <c r="L17" s="445"/>
    </row>
    <row r="18" spans="1:12">
      <c r="A18" s="70" t="s">
        <v>422</v>
      </c>
      <c r="B18" s="70"/>
      <c r="C18" s="70"/>
      <c r="D18" s="70"/>
      <c r="E18" s="443">
        <f>SUM(E12:E17)</f>
        <v>-104843.69198869546</v>
      </c>
      <c r="F18" s="444">
        <f t="shared" ref="F18:K18" si="1">SUM(F12:F17)</f>
        <v>-168295.15810262586</v>
      </c>
      <c r="G18" s="444">
        <f t="shared" si="1"/>
        <v>-258266.68701593371</v>
      </c>
      <c r="H18" s="444">
        <f t="shared" si="1"/>
        <v>-366893.81540999573</v>
      </c>
      <c r="I18" s="444">
        <f t="shared" si="1"/>
        <v>-377533.17782926629</v>
      </c>
      <c r="J18" s="444">
        <f t="shared" si="1"/>
        <v>-388150.31131036003</v>
      </c>
      <c r="K18" s="444">
        <f t="shared" si="1"/>
        <v>-416882.55403371266</v>
      </c>
      <c r="L18" s="445">
        <f>SUM(L12:L17)</f>
        <v>-253555.84581153959</v>
      </c>
    </row>
    <row r="19" spans="1:12">
      <c r="A19" s="70"/>
      <c r="B19" s="70"/>
      <c r="C19" s="70"/>
      <c r="D19" s="70"/>
      <c r="E19" s="443"/>
      <c r="F19" s="444"/>
      <c r="G19" s="444"/>
      <c r="H19" s="444"/>
      <c r="I19" s="444"/>
      <c r="J19" s="444"/>
      <c r="K19" s="444"/>
      <c r="L19" s="445"/>
    </row>
    <row r="20" spans="1:12" ht="15">
      <c r="A20" s="479" t="s">
        <v>448</v>
      </c>
      <c r="B20" s="479"/>
      <c r="C20" s="479"/>
      <c r="D20" s="479"/>
      <c r="E20" s="480">
        <f t="shared" ref="E20:L20" si="2">E10+E18</f>
        <v>-104843.69198869546</v>
      </c>
      <c r="F20" s="481">
        <f t="shared" si="2"/>
        <v>-168295.15810262586</v>
      </c>
      <c r="G20" s="481">
        <f t="shared" si="2"/>
        <v>-67558.487015933701</v>
      </c>
      <c r="H20" s="481">
        <f t="shared" si="2"/>
        <v>63615.784590004245</v>
      </c>
      <c r="I20" s="481">
        <f t="shared" si="2"/>
        <v>190815.02217073366</v>
      </c>
      <c r="J20" s="481">
        <f t="shared" si="2"/>
        <v>180197.88868963992</v>
      </c>
      <c r="K20" s="481">
        <f t="shared" si="2"/>
        <v>151465.64596628729</v>
      </c>
      <c r="L20" s="482">
        <f t="shared" si="2"/>
        <v>314792.35418846039</v>
      </c>
    </row>
    <row r="21" spans="1:12">
      <c r="A21" s="70"/>
      <c r="B21" s="70"/>
      <c r="C21" s="70"/>
      <c r="D21" s="70"/>
      <c r="E21" s="443"/>
      <c r="F21" s="444"/>
      <c r="G21" s="444"/>
      <c r="H21" s="444"/>
      <c r="I21" s="444"/>
      <c r="J21" s="444"/>
      <c r="K21" s="444"/>
      <c r="L21" s="445"/>
    </row>
    <row r="22" spans="1:12">
      <c r="A22" s="70" t="s">
        <v>431</v>
      </c>
      <c r="B22" s="70"/>
      <c r="C22" s="70"/>
      <c r="D22" s="70"/>
      <c r="E22" s="55"/>
      <c r="F22" s="56"/>
      <c r="G22" s="56"/>
      <c r="H22" s="478">
        <f>H20*-0.15</f>
        <v>-9542.3676885006371</v>
      </c>
      <c r="I22" s="478">
        <f>I20*-0.15</f>
        <v>-28622.253325610047</v>
      </c>
      <c r="J22" s="478">
        <f>J20*-0.15</f>
        <v>-27029.683303445989</v>
      </c>
      <c r="K22" s="478">
        <f>K20*-0.15</f>
        <v>-22719.846894943094</v>
      </c>
      <c r="L22" s="478">
        <f>L20*-0.15</f>
        <v>-47218.85312826906</v>
      </c>
    </row>
    <row r="23" spans="1:12">
      <c r="A23" s="70"/>
      <c r="B23" s="70"/>
      <c r="C23" s="70"/>
      <c r="D23" s="70"/>
      <c r="E23" s="55"/>
      <c r="F23" s="56"/>
      <c r="G23" s="56"/>
      <c r="H23" s="478"/>
      <c r="I23" s="478"/>
      <c r="J23" s="478"/>
      <c r="K23" s="478"/>
      <c r="L23" s="478"/>
    </row>
    <row r="24" spans="1:12" ht="15">
      <c r="A24" s="479" t="s">
        <v>449</v>
      </c>
      <c r="B24" s="70"/>
      <c r="C24" s="70"/>
      <c r="D24" s="70"/>
      <c r="E24" s="443">
        <f>E20+E22</f>
        <v>-104843.69198869546</v>
      </c>
      <c r="F24" s="444">
        <f t="shared" ref="F24:L24" si="3">F20+F22</f>
        <v>-168295.15810262586</v>
      </c>
      <c r="G24" s="444">
        <f t="shared" si="3"/>
        <v>-67558.487015933701</v>
      </c>
      <c r="H24" s="444">
        <f t="shared" si="3"/>
        <v>54073.41690150361</v>
      </c>
      <c r="I24" s="444">
        <f t="shared" si="3"/>
        <v>162192.76884512362</v>
      </c>
      <c r="J24" s="444">
        <f t="shared" si="3"/>
        <v>153168.20538619393</v>
      </c>
      <c r="K24" s="444">
        <f t="shared" si="3"/>
        <v>128745.7990713442</v>
      </c>
      <c r="L24" s="444">
        <f t="shared" si="3"/>
        <v>267573.50106019131</v>
      </c>
    </row>
    <row r="25" spans="1:12">
      <c r="A25" s="70"/>
      <c r="B25" s="70"/>
      <c r="C25" s="70"/>
      <c r="D25" s="70"/>
      <c r="E25" s="55"/>
      <c r="F25" s="56"/>
      <c r="G25" s="56"/>
      <c r="H25" s="56"/>
      <c r="I25" s="56"/>
      <c r="J25" s="56"/>
      <c r="K25" s="56"/>
      <c r="L25" s="446"/>
    </row>
    <row r="26" spans="1:12">
      <c r="A26" s="70" t="s">
        <v>432</v>
      </c>
      <c r="B26" s="70"/>
      <c r="C26" s="70"/>
      <c r="D26" s="70"/>
      <c r="E26" s="55"/>
      <c r="F26" s="56"/>
      <c r="G26" s="56"/>
      <c r="H26" s="478">
        <f>H24*-0.25</f>
        <v>-13518.354225375902</v>
      </c>
      <c r="I26" s="478">
        <f>I24*-0.25</f>
        <v>-40548.192211280904</v>
      </c>
      <c r="J26" s="478">
        <f>J24*-0.25</f>
        <v>-38292.051346548484</v>
      </c>
      <c r="K26" s="478">
        <f>K24*-0.25</f>
        <v>-32186.449767836049</v>
      </c>
      <c r="L26" s="478">
        <f>L24*-0.25</f>
        <v>-66893.375265047827</v>
      </c>
    </row>
    <row r="27" spans="1:12" ht="13.5" thickBot="1">
      <c r="A27" s="70"/>
      <c r="B27" s="70"/>
      <c r="C27" s="70"/>
      <c r="D27" s="70"/>
      <c r="E27" s="447"/>
      <c r="F27" s="82"/>
      <c r="G27" s="82"/>
      <c r="H27" s="82"/>
      <c r="I27" s="82"/>
      <c r="J27" s="82"/>
      <c r="K27" s="82"/>
      <c r="L27" s="448"/>
    </row>
    <row r="28" spans="1:12" ht="13.5" thickBot="1">
      <c r="A28" s="438" t="s">
        <v>433</v>
      </c>
      <c r="B28" s="457"/>
      <c r="C28" s="456"/>
      <c r="D28" s="456"/>
      <c r="E28" s="439">
        <f>E20-E22-E26</f>
        <v>-104843.69198869546</v>
      </c>
      <c r="F28" s="440">
        <f t="shared" ref="F28:K28" si="4">F20-F22-F26</f>
        <v>-168295.15810262586</v>
      </c>
      <c r="G28" s="440">
        <f t="shared" si="4"/>
        <v>-67558.487015933701</v>
      </c>
      <c r="H28" s="440">
        <f t="shared" si="4"/>
        <v>86676.506503880795</v>
      </c>
      <c r="I28" s="440">
        <f t="shared" si="4"/>
        <v>259985.4677076246</v>
      </c>
      <c r="J28" s="440">
        <f t="shared" si="4"/>
        <v>245519.62333963439</v>
      </c>
      <c r="K28" s="440">
        <f t="shared" si="4"/>
        <v>206371.94262906644</v>
      </c>
      <c r="L28" s="440">
        <f>L20-L22-L26</f>
        <v>428904.5825817773</v>
      </c>
    </row>
    <row r="29" spans="1:12">
      <c r="A29" s="57"/>
    </row>
    <row r="30" spans="1:12">
      <c r="A30" s="57"/>
    </row>
    <row r="31" spans="1:12" ht="13.5" thickBot="1">
      <c r="A31" s="57"/>
    </row>
    <row r="32" spans="1:12" ht="24" thickBot="1">
      <c r="A32" s="616" t="s">
        <v>461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8"/>
    </row>
    <row r="33" spans="1:15" ht="13.5" thickBot="1">
      <c r="A33" s="57"/>
    </row>
    <row r="34" spans="1:15" ht="13.5" thickBot="1">
      <c r="A34" s="437"/>
      <c r="B34" s="458" t="s">
        <v>444</v>
      </c>
      <c r="C34" s="459"/>
      <c r="D34" s="459"/>
      <c r="E34" s="449">
        <v>2010</v>
      </c>
      <c r="F34" s="449">
        <v>2011</v>
      </c>
      <c r="G34" s="449">
        <v>2012</v>
      </c>
      <c r="H34" s="449">
        <v>2013</v>
      </c>
      <c r="I34" s="449">
        <v>2014</v>
      </c>
      <c r="J34" s="449">
        <v>2015</v>
      </c>
      <c r="K34" s="449">
        <v>2016</v>
      </c>
      <c r="L34" s="449">
        <v>2017</v>
      </c>
    </row>
    <row r="35" spans="1:15" ht="15">
      <c r="A35" s="479" t="s">
        <v>453</v>
      </c>
      <c r="B35" s="454"/>
      <c r="C35" s="455"/>
      <c r="D35" s="455"/>
      <c r="E35" s="455"/>
      <c r="F35" s="455"/>
      <c r="G35" s="455"/>
      <c r="H35" s="455"/>
      <c r="I35" s="455"/>
      <c r="J35" s="455"/>
      <c r="K35" s="81"/>
      <c r="L35" s="442"/>
    </row>
    <row r="36" spans="1:15">
      <c r="A36" s="70" t="s">
        <v>319</v>
      </c>
      <c r="B36" s="443"/>
      <c r="C36" s="444"/>
      <c r="D36" s="444"/>
      <c r="E36" s="444"/>
      <c r="F36" s="444"/>
      <c r="G36" s="444">
        <f t="shared" ref="G36:L36" si="5">G7</f>
        <v>232704</v>
      </c>
      <c r="H36" s="444">
        <f t="shared" si="5"/>
        <v>525312</v>
      </c>
      <c r="I36" s="444">
        <f t="shared" si="5"/>
        <v>693504</v>
      </c>
      <c r="J36" s="444">
        <f t="shared" si="5"/>
        <v>693504</v>
      </c>
      <c r="K36" s="444">
        <f t="shared" si="5"/>
        <v>693504</v>
      </c>
      <c r="L36" s="445">
        <f t="shared" si="5"/>
        <v>693504</v>
      </c>
    </row>
    <row r="37" spans="1:15">
      <c r="A37" s="70" t="s">
        <v>460</v>
      </c>
      <c r="B37" s="443"/>
      <c r="C37" s="444"/>
      <c r="D37" s="444"/>
      <c r="E37" s="444">
        <v>107729.23</v>
      </c>
      <c r="F37" s="444">
        <v>171180.7</v>
      </c>
      <c r="G37" s="444">
        <v>12921.11</v>
      </c>
      <c r="H37" s="444"/>
      <c r="I37" s="444"/>
      <c r="J37" s="444"/>
      <c r="K37" s="444"/>
      <c r="L37" s="445"/>
    </row>
    <row r="38" spans="1:15">
      <c r="A38" s="70"/>
      <c r="B38" s="443"/>
      <c r="C38" s="444"/>
      <c r="D38" s="444"/>
      <c r="E38" s="444"/>
      <c r="F38" s="444"/>
      <c r="G38" s="444"/>
      <c r="H38" s="444"/>
      <c r="I38" s="444"/>
      <c r="J38" s="444"/>
      <c r="K38" s="444"/>
      <c r="L38" s="445"/>
    </row>
    <row r="39" spans="1:15" ht="15">
      <c r="A39" s="479" t="s">
        <v>454</v>
      </c>
      <c r="B39" s="443"/>
      <c r="C39" s="444"/>
      <c r="D39" s="444"/>
      <c r="E39" s="444">
        <f t="shared" ref="E39:K39" si="6">E11</f>
        <v>0</v>
      </c>
      <c r="F39" s="444">
        <f t="shared" si="6"/>
        <v>0</v>
      </c>
      <c r="G39" s="444">
        <f t="shared" si="6"/>
        <v>0</v>
      </c>
      <c r="H39" s="444">
        <f t="shared" si="6"/>
        <v>0</v>
      </c>
      <c r="I39" s="444">
        <f t="shared" si="6"/>
        <v>0</v>
      </c>
      <c r="J39" s="444">
        <f t="shared" si="6"/>
        <v>0</v>
      </c>
      <c r="K39" s="444">
        <f t="shared" si="6"/>
        <v>0</v>
      </c>
      <c r="L39" s="445">
        <f>L11</f>
        <v>0</v>
      </c>
    </row>
    <row r="40" spans="1:15">
      <c r="A40" s="70" t="s">
        <v>444</v>
      </c>
      <c r="B40" s="443">
        <f>-I.I!F24</f>
        <v>-126415.78903333333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5"/>
    </row>
    <row r="41" spans="1:15">
      <c r="A41" s="70" t="s">
        <v>459</v>
      </c>
      <c r="B41" s="443"/>
      <c r="C41" s="444"/>
      <c r="D41" s="444"/>
      <c r="E41" s="444"/>
      <c r="F41" s="444"/>
      <c r="G41" s="444"/>
      <c r="H41" s="444">
        <v>-64202.828800000003</v>
      </c>
      <c r="I41" s="444">
        <v>-64202.828800000003</v>
      </c>
      <c r="J41" s="444">
        <v>-64202.828800000003</v>
      </c>
      <c r="K41" s="444">
        <v>-64202.828800000003</v>
      </c>
      <c r="L41" s="444">
        <v>-64202.828800000003</v>
      </c>
    </row>
    <row r="42" spans="1:15">
      <c r="A42" s="70" t="s">
        <v>434</v>
      </c>
      <c r="B42" s="443"/>
      <c r="C42" s="444"/>
      <c r="D42" s="444"/>
      <c r="E42" s="444">
        <f t="shared" ref="E42:L45" si="7">E12</f>
        <v>-45706.411908910639</v>
      </c>
      <c r="F42" s="444">
        <f t="shared" si="7"/>
        <v>-91372.128928358274</v>
      </c>
      <c r="G42" s="444">
        <f t="shared" si="7"/>
        <v>-156124.20844350985</v>
      </c>
      <c r="H42" s="444">
        <f t="shared" si="7"/>
        <v>-234302.63377684326</v>
      </c>
      <c r="I42" s="444">
        <f t="shared" si="7"/>
        <v>-241959.73207987344</v>
      </c>
      <c r="J42" s="444">
        <f t="shared" si="7"/>
        <v>-249600.83232229771</v>
      </c>
      <c r="K42" s="444">
        <f t="shared" si="7"/>
        <v>-270279.29014047957</v>
      </c>
      <c r="L42" s="445">
        <f t="shared" si="7"/>
        <v>-106535.75757575757</v>
      </c>
    </row>
    <row r="43" spans="1:15">
      <c r="A43" s="70" t="s">
        <v>10</v>
      </c>
      <c r="B43" s="443"/>
      <c r="C43" s="444"/>
      <c r="D43" s="444"/>
      <c r="E43" s="444">
        <f t="shared" si="7"/>
        <v>-28694.102356164381</v>
      </c>
      <c r="F43" s="444">
        <f t="shared" si="7"/>
        <v>-28694.102356164381</v>
      </c>
      <c r="G43" s="444">
        <f t="shared" si="7"/>
        <v>-28694.102356164381</v>
      </c>
      <c r="H43" s="444">
        <f t="shared" si="7"/>
        <v>-28694.102356164381</v>
      </c>
      <c r="I43" s="444">
        <f t="shared" si="7"/>
        <v>-28694.102356164381</v>
      </c>
      <c r="J43" s="444">
        <f t="shared" si="7"/>
        <v>-28694.102356164381</v>
      </c>
      <c r="K43" s="444">
        <f t="shared" si="7"/>
        <v>-28694.102356164381</v>
      </c>
      <c r="L43" s="445">
        <f t="shared" si="7"/>
        <v>-28694.102356164381</v>
      </c>
    </row>
    <row r="44" spans="1:15">
      <c r="A44" s="70" t="s">
        <v>306</v>
      </c>
      <c r="B44" s="443"/>
      <c r="C44" s="444"/>
      <c r="D44" s="444"/>
      <c r="E44" s="444">
        <f t="shared" si="7"/>
        <v>-10894.317934331457</v>
      </c>
      <c r="F44" s="444">
        <f t="shared" si="7"/>
        <v>-21778.936068446787</v>
      </c>
      <c r="G44" s="444">
        <f t="shared" si="7"/>
        <v>-37212.869988988168</v>
      </c>
      <c r="H44" s="444">
        <f t="shared" si="7"/>
        <v>-55847.030615818818</v>
      </c>
      <c r="I44" s="444">
        <f t="shared" si="7"/>
        <v>-57672.132606626772</v>
      </c>
      <c r="J44" s="444">
        <f t="shared" si="7"/>
        <v>-59493.421391556272</v>
      </c>
      <c r="K44" s="444">
        <f t="shared" si="7"/>
        <v>-64422.219878558404</v>
      </c>
      <c r="L44" s="445">
        <f t="shared" si="7"/>
        <v>-64677.310275569391</v>
      </c>
    </row>
    <row r="45" spans="1:15">
      <c r="A45" s="70" t="s">
        <v>186</v>
      </c>
      <c r="B45" s="443"/>
      <c r="C45" s="444"/>
      <c r="D45" s="444"/>
      <c r="E45" s="444">
        <f t="shared" si="7"/>
        <v>-6907.2808859556462</v>
      </c>
      <c r="F45" s="444">
        <f t="shared" si="7"/>
        <v>-13808.411846323081</v>
      </c>
      <c r="G45" s="444">
        <f t="shared" si="7"/>
        <v>-23593.927323937965</v>
      </c>
      <c r="H45" s="444">
        <f t="shared" si="7"/>
        <v>-35408.469757835948</v>
      </c>
      <c r="I45" s="444">
        <f t="shared" si="7"/>
        <v>-36565.631883268339</v>
      </c>
      <c r="J45" s="444">
        <f t="shared" si="7"/>
        <v>-37720.376337008296</v>
      </c>
      <c r="K45" s="444">
        <f t="shared" si="7"/>
        <v>-40845.362755176953</v>
      </c>
      <c r="L45" s="445">
        <f t="shared" si="7"/>
        <v>-41007.096700714937</v>
      </c>
      <c r="M45" s="6">
        <f>291831.04/5</f>
        <v>58366.207999999999</v>
      </c>
    </row>
    <row r="46" spans="1:15">
      <c r="A46" s="70" t="s">
        <v>431</v>
      </c>
      <c r="B46" s="443"/>
      <c r="C46" s="444"/>
      <c r="D46" s="444"/>
      <c r="E46" s="444">
        <f t="shared" ref="E46:L46" si="8">E22</f>
        <v>0</v>
      </c>
      <c r="F46" s="444">
        <f t="shared" si="8"/>
        <v>0</v>
      </c>
      <c r="G46" s="444">
        <f t="shared" si="8"/>
        <v>0</v>
      </c>
      <c r="H46" s="444">
        <f t="shared" si="8"/>
        <v>-9542.3676885006371</v>
      </c>
      <c r="I46" s="444">
        <f t="shared" si="8"/>
        <v>-28622.253325610047</v>
      </c>
      <c r="J46" s="444">
        <f t="shared" si="8"/>
        <v>-27029.683303445989</v>
      </c>
      <c r="K46" s="444">
        <f t="shared" si="8"/>
        <v>-22719.846894943094</v>
      </c>
      <c r="L46" s="445">
        <f t="shared" si="8"/>
        <v>-47218.85312826906</v>
      </c>
      <c r="M46" s="605">
        <f>M45*1.1</f>
        <v>64202.828800000003</v>
      </c>
      <c r="N46" s="601"/>
    </row>
    <row r="47" spans="1:15">
      <c r="A47" s="70" t="s">
        <v>432</v>
      </c>
      <c r="B47" s="443"/>
      <c r="C47" s="444"/>
      <c r="D47" s="444"/>
      <c r="E47" s="444">
        <f t="shared" ref="E47:K47" si="9">E26</f>
        <v>0</v>
      </c>
      <c r="F47" s="444">
        <f t="shared" si="9"/>
        <v>0</v>
      </c>
      <c r="G47" s="444">
        <f t="shared" si="9"/>
        <v>0</v>
      </c>
      <c r="H47" s="444">
        <f t="shared" si="9"/>
        <v>-13518.354225375902</v>
      </c>
      <c r="I47" s="444">
        <f t="shared" si="9"/>
        <v>-40548.192211280904</v>
      </c>
      <c r="J47" s="444">
        <f t="shared" si="9"/>
        <v>-38292.051346548484</v>
      </c>
      <c r="K47" s="444">
        <f t="shared" si="9"/>
        <v>-32186.449767836049</v>
      </c>
      <c r="L47" s="445">
        <f>L26</f>
        <v>-66893.375265047827</v>
      </c>
      <c r="O47" s="601"/>
    </row>
    <row r="48" spans="1:15">
      <c r="A48" s="70" t="s">
        <v>452</v>
      </c>
      <c r="B48" s="443"/>
      <c r="C48" s="444"/>
      <c r="D48" s="444"/>
      <c r="E48" s="444">
        <f>'ANEXO MANT'!E23</f>
        <v>-15527.119999999999</v>
      </c>
      <c r="F48" s="444">
        <f>'ANEXO MANT'!F23</f>
        <v>-15527.119999999999</v>
      </c>
      <c r="G48" s="444"/>
      <c r="H48" s="444"/>
      <c r="I48" s="444"/>
      <c r="J48" s="444"/>
      <c r="K48" s="444"/>
      <c r="L48" s="445"/>
      <c r="M48" s="601"/>
    </row>
    <row r="49" spans="1:17" ht="13.5" thickBot="1">
      <c r="A49" s="70"/>
      <c r="B49" s="443"/>
      <c r="C49" s="444"/>
      <c r="D49" s="444"/>
      <c r="E49" s="444">
        <f t="shared" ref="E49:L49" si="10">E27</f>
        <v>0</v>
      </c>
      <c r="F49" s="444">
        <f t="shared" si="10"/>
        <v>0</v>
      </c>
      <c r="G49" s="444">
        <f t="shared" si="10"/>
        <v>0</v>
      </c>
      <c r="H49" s="444">
        <f t="shared" si="10"/>
        <v>0</v>
      </c>
      <c r="I49" s="444">
        <f t="shared" si="10"/>
        <v>0</v>
      </c>
      <c r="J49" s="444">
        <f t="shared" si="10"/>
        <v>0</v>
      </c>
      <c r="K49" s="444">
        <f t="shared" si="10"/>
        <v>0</v>
      </c>
      <c r="L49" s="445">
        <f t="shared" si="10"/>
        <v>0</v>
      </c>
    </row>
    <row r="50" spans="1:17" ht="13.5" thickBot="1">
      <c r="A50" s="460" t="s">
        <v>445</v>
      </c>
      <c r="B50" s="451">
        <f>SUM(B36:B49)</f>
        <v>-126415.78903333333</v>
      </c>
      <c r="C50" s="452"/>
      <c r="D50" s="452"/>
      <c r="E50" s="452">
        <f>SUM(E36:E49)</f>
        <v>-3.0853621246933471E-3</v>
      </c>
      <c r="F50" s="452">
        <f t="shared" ref="F50:K50" si="11">SUM(F36:F49)</f>
        <v>8.0070749027072452E-4</v>
      </c>
      <c r="G50" s="452">
        <f t="shared" si="11"/>
        <v>1.8873996195907239E-3</v>
      </c>
      <c r="H50" s="452">
        <f t="shared" si="11"/>
        <v>83796.212779461057</v>
      </c>
      <c r="I50" s="452">
        <f t="shared" si="11"/>
        <v>195239.12673717609</v>
      </c>
      <c r="J50" s="452">
        <f t="shared" si="11"/>
        <v>188470.70414297885</v>
      </c>
      <c r="K50" s="452">
        <f t="shared" si="11"/>
        <v>170153.89940684152</v>
      </c>
      <c r="L50" s="453">
        <f>SUM(L36:L49)</f>
        <v>274274.67589847679</v>
      </c>
      <c r="N50" s="601"/>
    </row>
    <row r="51" spans="1:17">
      <c r="A51" s="57"/>
      <c r="N51" s="601"/>
    </row>
    <row r="52" spans="1:17">
      <c r="E52" s="58"/>
      <c r="F52" s="58"/>
      <c r="G52" s="59"/>
      <c r="H52" s="59"/>
      <c r="Q52" s="58"/>
    </row>
    <row r="53" spans="1:17">
      <c r="E53" s="58"/>
      <c r="F53" s="58"/>
      <c r="G53" s="59"/>
      <c r="H53" s="59"/>
      <c r="Q53" s="58"/>
    </row>
    <row r="54" spans="1:17">
      <c r="E54" s="60" t="s">
        <v>276</v>
      </c>
      <c r="F54" s="61"/>
      <c r="G54" s="62" t="s">
        <v>277</v>
      </c>
      <c r="H54" s="87">
        <f>NPV(H57,B50,E50:L50)</f>
        <v>220584.72709347401</v>
      </c>
      <c r="Q54" s="58"/>
    </row>
    <row r="55" spans="1:17">
      <c r="E55" s="63" t="s">
        <v>278</v>
      </c>
      <c r="F55" s="64"/>
      <c r="G55" s="65" t="s">
        <v>279</v>
      </c>
      <c r="H55" s="88">
        <f>IRR(B50:L50)</f>
        <v>0.3831666442920485</v>
      </c>
      <c r="Q55" s="58"/>
    </row>
    <row r="56" spans="1:17">
      <c r="E56" s="66" t="s">
        <v>280</v>
      </c>
      <c r="F56" s="67"/>
      <c r="G56" s="68" t="s">
        <v>281</v>
      </c>
      <c r="H56" s="86">
        <v>6</v>
      </c>
    </row>
    <row r="57" spans="1:17">
      <c r="C57" s="69"/>
      <c r="D57" s="69"/>
      <c r="E57" s="66" t="s">
        <v>458</v>
      </c>
      <c r="F57" s="69"/>
      <c r="G57" s="68"/>
      <c r="H57" s="607">
        <v>0.15</v>
      </c>
    </row>
  </sheetData>
  <mergeCells count="2">
    <mergeCell ref="A32:L32"/>
    <mergeCell ref="A3:L3"/>
  </mergeCells>
  <phoneticPr fontId="25" type="noConversion"/>
  <printOptions horizontalCentered="1" verticalCentered="1"/>
  <pageMargins left="0.75" right="0.75" top="0.62" bottom="0.62" header="0" footer="0"/>
  <pageSetup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topLeftCell="A7" zoomScale="85" zoomScaleSheetLayoutView="85" workbookViewId="0">
      <selection activeCell="C16" sqref="C16"/>
    </sheetView>
  </sheetViews>
  <sheetFormatPr baseColWidth="10" defaultRowHeight="15"/>
  <cols>
    <col min="1" max="1" width="4.5703125" customWidth="1"/>
    <col min="2" max="2" width="3.140625" customWidth="1"/>
    <col min="3" max="3" width="17.5703125" customWidth="1"/>
    <col min="5" max="5" width="13.140625" bestFit="1" customWidth="1"/>
    <col min="6" max="6" width="17.5703125" style="3" bestFit="1" customWidth="1"/>
    <col min="8" max="8" width="13.42578125" bestFit="1" customWidth="1"/>
    <col min="9" max="9" width="11.7109375" bestFit="1" customWidth="1"/>
    <col min="11" max="11" width="3.85546875" bestFit="1" customWidth="1"/>
    <col min="12" max="12" width="6.7109375" bestFit="1" customWidth="1"/>
    <col min="13" max="13" width="9" bestFit="1" customWidth="1"/>
    <col min="14" max="14" width="10.85546875" customWidth="1"/>
  </cols>
  <sheetData>
    <row r="1" spans="1:14" ht="23.25">
      <c r="A1" s="619" t="s">
        <v>7</v>
      </c>
      <c r="B1" s="619"/>
      <c r="C1" s="619"/>
      <c r="D1" s="619"/>
      <c r="E1" s="619"/>
      <c r="F1" s="619"/>
      <c r="G1" s="619"/>
      <c r="N1" s="2">
        <f>15*8</f>
        <v>120</v>
      </c>
    </row>
    <row r="2" spans="1:14" ht="18.75">
      <c r="B2" s="517"/>
      <c r="C2" s="517"/>
      <c r="D2" s="517"/>
      <c r="E2" s="517"/>
      <c r="F2" s="518"/>
      <c r="G2" s="517"/>
      <c r="H2" s="4"/>
      <c r="K2" s="1">
        <v>1</v>
      </c>
      <c r="L2" s="2">
        <v>1.5</v>
      </c>
      <c r="M2" s="2">
        <f>637/L2</f>
        <v>424.66666666666669</v>
      </c>
      <c r="N2" s="76">
        <f>N1*M2</f>
        <v>50960</v>
      </c>
    </row>
    <row r="3" spans="1:14" ht="18.75">
      <c r="B3" s="516" t="s">
        <v>0</v>
      </c>
      <c r="C3" s="517"/>
      <c r="D3" s="517"/>
      <c r="E3" s="517"/>
      <c r="F3" s="518"/>
      <c r="G3" s="517"/>
      <c r="K3" s="1">
        <v>2</v>
      </c>
      <c r="L3" s="2">
        <f>L2*K3</f>
        <v>3</v>
      </c>
      <c r="M3" s="2">
        <f>637/L3</f>
        <v>212.33333333333334</v>
      </c>
      <c r="N3" s="2">
        <f>N1*M2</f>
        <v>50960</v>
      </c>
    </row>
    <row r="4" spans="1:14" ht="18.75">
      <c r="B4" s="517"/>
      <c r="C4" s="517" t="s">
        <v>1</v>
      </c>
      <c r="D4" s="517"/>
      <c r="E4" s="517"/>
      <c r="F4" s="518"/>
      <c r="G4" s="517"/>
      <c r="K4" s="1">
        <v>3</v>
      </c>
      <c r="L4" s="2">
        <f>L2*K4</f>
        <v>4.5</v>
      </c>
      <c r="M4" s="2">
        <f>637/L4</f>
        <v>141.55555555555554</v>
      </c>
      <c r="N4" s="2">
        <f>(M4*N1)*3</f>
        <v>50959.999999999993</v>
      </c>
    </row>
    <row r="5" spans="1:14" ht="18.75">
      <c r="B5" s="517"/>
      <c r="C5" s="517" t="s">
        <v>305</v>
      </c>
      <c r="D5" s="517"/>
      <c r="E5" s="517"/>
      <c r="F5" s="518">
        <f>N6</f>
        <v>51000</v>
      </c>
      <c r="G5" s="517"/>
      <c r="K5" s="1">
        <v>4</v>
      </c>
      <c r="L5" s="2">
        <f>L2*K5</f>
        <v>6</v>
      </c>
      <c r="M5" s="2">
        <f>637/L5</f>
        <v>106.16666666666667</v>
      </c>
      <c r="N5" s="2">
        <f>(M5*N1)*4</f>
        <v>50960</v>
      </c>
    </row>
    <row r="6" spans="1:14" ht="18.75">
      <c r="B6" s="517"/>
      <c r="C6" s="517" t="s">
        <v>11</v>
      </c>
      <c r="D6" s="517"/>
      <c r="E6" s="517"/>
      <c r="F6" s="518">
        <f>((637/2)*38.81)</f>
        <v>12360.985000000001</v>
      </c>
      <c r="G6" s="517"/>
      <c r="K6" s="1">
        <v>5</v>
      </c>
      <c r="L6" s="2">
        <f>L2*K6</f>
        <v>7.5</v>
      </c>
      <c r="M6" s="2">
        <v>85</v>
      </c>
      <c r="N6" s="2">
        <f>(M6*N1)*5</f>
        <v>51000</v>
      </c>
    </row>
    <row r="7" spans="1:14" ht="18.75">
      <c r="B7" s="517"/>
      <c r="C7" s="517" t="s">
        <v>15</v>
      </c>
      <c r="D7" s="517"/>
      <c r="E7" s="517"/>
      <c r="F7" s="611">
        <v>10200</v>
      </c>
      <c r="G7" s="517"/>
      <c r="K7" s="1"/>
      <c r="L7" s="2"/>
      <c r="M7" s="2"/>
      <c r="N7" s="2"/>
    </row>
    <row r="8" spans="1:14" ht="18.75">
      <c r="B8" s="517"/>
      <c r="C8" s="517" t="s">
        <v>450</v>
      </c>
      <c r="D8" s="517"/>
      <c r="E8" s="517"/>
      <c r="F8" s="611">
        <f>(637/1.5)*50</f>
        <v>21233.333333333336</v>
      </c>
      <c r="G8" s="517"/>
      <c r="K8" s="1"/>
      <c r="L8" s="2"/>
      <c r="M8" s="2"/>
      <c r="N8" s="2"/>
    </row>
    <row r="9" spans="1:14" ht="18.75">
      <c r="B9" s="517"/>
      <c r="C9" s="517"/>
      <c r="D9" s="517"/>
      <c r="E9" s="517"/>
      <c r="F9" s="518"/>
      <c r="G9" s="517"/>
    </row>
    <row r="10" spans="1:14" ht="18.75">
      <c r="B10" s="516" t="s">
        <v>2</v>
      </c>
      <c r="C10" s="517"/>
      <c r="D10" s="517"/>
      <c r="E10" s="517"/>
      <c r="F10" s="518"/>
      <c r="G10" s="517"/>
    </row>
    <row r="11" spans="1:14" ht="18.75">
      <c r="B11" s="517"/>
      <c r="C11" s="517" t="s">
        <v>6</v>
      </c>
      <c r="D11" s="517"/>
      <c r="E11" s="517"/>
      <c r="F11" s="518">
        <f>335*3.5</f>
        <v>1172.5</v>
      </c>
      <c r="G11" s="517"/>
    </row>
    <row r="12" spans="1:14" ht="18.75">
      <c r="B12" s="517"/>
      <c r="C12" s="517" t="s">
        <v>8</v>
      </c>
      <c r="D12" s="517"/>
      <c r="E12" s="517"/>
      <c r="F12" s="518">
        <v>300</v>
      </c>
      <c r="G12" s="517"/>
    </row>
    <row r="13" spans="1:14" ht="18.75">
      <c r="B13" s="517"/>
      <c r="C13" s="517" t="s">
        <v>3</v>
      </c>
      <c r="D13" s="517"/>
      <c r="E13" s="517"/>
      <c r="F13" s="518"/>
      <c r="G13" s="517"/>
    </row>
    <row r="14" spans="1:14" ht="18.75">
      <c r="B14" s="517"/>
      <c r="C14" s="517" t="s">
        <v>4</v>
      </c>
      <c r="D14" s="517"/>
      <c r="E14" s="517"/>
      <c r="F14" s="518">
        <f>20.11*73.37</f>
        <v>1475.4707000000001</v>
      </c>
      <c r="G14" s="517"/>
      <c r="I14" s="4">
        <f>F24/637</f>
        <v>198.45492783882784</v>
      </c>
    </row>
    <row r="15" spans="1:14" ht="18.75">
      <c r="B15" s="517"/>
      <c r="C15" s="517" t="s">
        <v>464</v>
      </c>
      <c r="D15" s="517"/>
      <c r="E15" s="517"/>
      <c r="F15" s="518">
        <f>50*73.37</f>
        <v>3668.5</v>
      </c>
      <c r="G15" s="517"/>
      <c r="I15" s="4"/>
    </row>
    <row r="16" spans="1:14" ht="18.75">
      <c r="B16" s="517"/>
      <c r="C16" s="517" t="s">
        <v>457</v>
      </c>
      <c r="D16" s="517"/>
      <c r="E16" s="517"/>
      <c r="F16" s="518">
        <v>550</v>
      </c>
      <c r="G16" s="517"/>
      <c r="I16" s="4"/>
    </row>
    <row r="17" spans="2:9" ht="18.75">
      <c r="B17" s="517"/>
      <c r="C17" s="517" t="s">
        <v>5</v>
      </c>
      <c r="D17" s="517"/>
      <c r="E17" s="517"/>
      <c r="F17" s="518">
        <v>55</v>
      </c>
      <c r="G17" s="517"/>
      <c r="H17">
        <f>637/1.5</f>
        <v>424.66666666666669</v>
      </c>
      <c r="I17">
        <f>H17*20</f>
        <v>8493.3333333333339</v>
      </c>
    </row>
    <row r="18" spans="2:9" ht="18.75">
      <c r="B18" s="517"/>
      <c r="C18" s="517" t="s">
        <v>14</v>
      </c>
      <c r="D18" s="517"/>
      <c r="E18" s="517"/>
      <c r="F18" s="518">
        <v>1400</v>
      </c>
      <c r="G18" s="517"/>
    </row>
    <row r="19" spans="2:9" ht="18.75">
      <c r="B19" s="517"/>
      <c r="C19" s="517" t="s">
        <v>10</v>
      </c>
      <c r="D19" s="517"/>
      <c r="E19" s="517"/>
      <c r="F19" s="518">
        <v>5000</v>
      </c>
      <c r="G19" s="517"/>
    </row>
    <row r="20" spans="2:9" ht="18.75">
      <c r="B20" s="517"/>
      <c r="C20" s="517"/>
      <c r="D20" s="517"/>
      <c r="E20" s="517"/>
      <c r="F20" s="518"/>
      <c r="G20" s="517"/>
    </row>
    <row r="21" spans="2:9" ht="18.75">
      <c r="B21" s="516" t="s">
        <v>12</v>
      </c>
      <c r="C21" s="517"/>
      <c r="D21" s="517"/>
      <c r="E21" s="517"/>
      <c r="F21" s="518"/>
      <c r="G21" s="517"/>
    </row>
    <row r="22" spans="2:9" ht="18.75">
      <c r="B22" s="517"/>
      <c r="C22" s="517" t="s">
        <v>13</v>
      </c>
      <c r="D22" s="517"/>
      <c r="E22" s="517"/>
      <c r="F22" s="518">
        <v>18000</v>
      </c>
      <c r="G22" s="517"/>
    </row>
    <row r="23" spans="2:9" ht="18.75">
      <c r="B23" s="517"/>
      <c r="C23" s="517"/>
      <c r="D23" s="517"/>
      <c r="E23" s="517"/>
      <c r="F23" s="518"/>
      <c r="G23" s="517"/>
    </row>
    <row r="24" spans="2:9" ht="21">
      <c r="B24" s="519" t="s">
        <v>9</v>
      </c>
      <c r="C24" s="519"/>
      <c r="D24" s="519"/>
      <c r="E24" s="519"/>
      <c r="F24" s="520">
        <f>SUM(F3:F23)</f>
        <v>126415.78903333333</v>
      </c>
      <c r="G24" s="517"/>
    </row>
    <row r="25" spans="2:9" ht="18.75">
      <c r="B25" s="517"/>
      <c r="C25" s="517"/>
      <c r="D25" s="517"/>
      <c r="E25" s="517"/>
      <c r="F25" s="518"/>
      <c r="G25" s="517"/>
    </row>
    <row r="29" spans="2:9">
      <c r="D29">
        <f>100*100</f>
        <v>10000</v>
      </c>
      <c r="E29" s="3">
        <f>D29*632</f>
        <v>6320000</v>
      </c>
      <c r="F29" s="3">
        <f>E29^0.5</f>
        <v>2513.961017995307</v>
      </c>
      <c r="G29" s="4">
        <f>F29*4</f>
        <v>10055.844071981228</v>
      </c>
      <c r="H29" s="4">
        <f>G29/500</f>
        <v>20.111688143962457</v>
      </c>
    </row>
    <row r="30" spans="2:9">
      <c r="G30" s="4">
        <f>G29/30</f>
        <v>335.19480239937428</v>
      </c>
    </row>
    <row r="42" spans="8:10">
      <c r="H42">
        <f>1000*1000</f>
        <v>1000000</v>
      </c>
    </row>
    <row r="43" spans="8:10">
      <c r="H43">
        <f>H42*2.2</f>
        <v>2200000</v>
      </c>
      <c r="I43">
        <f>315000+12000</f>
        <v>327000</v>
      </c>
    </row>
    <row r="44" spans="8:10">
      <c r="I44">
        <f>I43/H43</f>
        <v>0.14863636363636365</v>
      </c>
      <c r="J44">
        <f>I44*100</f>
        <v>14.863636363636365</v>
      </c>
    </row>
  </sheetData>
  <mergeCells count="1">
    <mergeCell ref="A1:G1"/>
  </mergeCells>
  <phoneticPr fontId="2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showGridLines="0" topLeftCell="A10" zoomScale="55" zoomScaleNormal="55" zoomScaleSheetLayoutView="55" workbookViewId="0">
      <selection activeCell="T148" sqref="T148"/>
    </sheetView>
  </sheetViews>
  <sheetFormatPr baseColWidth="10" defaultRowHeight="12.75"/>
  <cols>
    <col min="1" max="1" width="34.7109375" style="6" customWidth="1"/>
    <col min="2" max="2" width="18.5703125" style="6" bestFit="1" customWidth="1"/>
    <col min="3" max="4" width="11.5703125" style="6" hidden="1" customWidth="1"/>
    <col min="5" max="6" width="18.5703125" style="6" customWidth="1"/>
    <col min="7" max="7" width="19" style="6" customWidth="1"/>
    <col min="8" max="8" width="17.85546875" style="6" customWidth="1"/>
    <col min="9" max="9" width="18.28515625" style="6" customWidth="1"/>
    <col min="10" max="10" width="18.85546875" style="6" bestFit="1" customWidth="1"/>
    <col min="11" max="11" width="24.28515625" style="6" bestFit="1" customWidth="1"/>
    <col min="12" max="12" width="18.140625" style="6" customWidth="1"/>
    <col min="13" max="13" width="23.28515625" style="6" customWidth="1"/>
    <col min="14" max="14" width="16.7109375" style="6" customWidth="1"/>
    <col min="15" max="15" width="16" style="6" customWidth="1"/>
    <col min="16" max="16" width="12.85546875" style="6" customWidth="1"/>
    <col min="17" max="17" width="11.42578125" style="6" customWidth="1"/>
    <col min="18" max="18" width="28.85546875" style="6" bestFit="1" customWidth="1"/>
    <col min="19" max="19" width="12.85546875" style="6" customWidth="1"/>
    <col min="20" max="20" width="17.28515625" style="6" bestFit="1" customWidth="1"/>
    <col min="21" max="16384" width="11.42578125" style="6"/>
  </cols>
  <sheetData>
    <row r="1" spans="1:12" ht="18">
      <c r="A1" s="52" t="s">
        <v>272</v>
      </c>
    </row>
    <row r="2" spans="1:12">
      <c r="A2" s="6" t="s">
        <v>17</v>
      </c>
    </row>
    <row r="3" spans="1:12">
      <c r="A3" s="53" t="s">
        <v>282</v>
      </c>
    </row>
    <row r="4" spans="1:12">
      <c r="A4" s="53"/>
    </row>
    <row r="5" spans="1:12">
      <c r="A5" s="53"/>
    </row>
    <row r="6" spans="1:12" ht="17.25" thickBot="1">
      <c r="A6" s="521" t="s">
        <v>424</v>
      </c>
      <c r="B6" s="474"/>
      <c r="C6" s="474"/>
      <c r="D6" s="474"/>
      <c r="E6" s="474"/>
      <c r="F6" s="522"/>
      <c r="G6" s="474"/>
      <c r="H6" s="474"/>
      <c r="I6" s="474"/>
      <c r="J6" s="474"/>
      <c r="K6" s="474"/>
      <c r="L6" s="474"/>
    </row>
    <row r="7" spans="1:12" ht="16.5">
      <c r="A7" s="629" t="s">
        <v>283</v>
      </c>
      <c r="B7" s="630"/>
      <c r="C7" s="630"/>
      <c r="D7" s="630"/>
      <c r="E7" s="523">
        <v>2010</v>
      </c>
      <c r="F7" s="523">
        <v>2011</v>
      </c>
      <c r="G7" s="523">
        <v>2012</v>
      </c>
      <c r="H7" s="523">
        <v>2013</v>
      </c>
      <c r="I7" s="523">
        <v>2014</v>
      </c>
      <c r="J7" s="523">
        <v>2015</v>
      </c>
      <c r="K7" s="523">
        <v>2016</v>
      </c>
      <c r="L7" s="523">
        <v>2017</v>
      </c>
    </row>
    <row r="8" spans="1:12" ht="16.5">
      <c r="A8" s="524" t="s">
        <v>323</v>
      </c>
      <c r="B8" s="525" t="s">
        <v>425</v>
      </c>
      <c r="C8" s="475"/>
      <c r="D8" s="475"/>
      <c r="E8" s="526"/>
      <c r="F8" s="526"/>
      <c r="G8" s="526"/>
      <c r="H8" s="526"/>
      <c r="I8" s="526"/>
      <c r="J8" s="526"/>
      <c r="K8" s="526"/>
      <c r="L8" s="526"/>
    </row>
    <row r="9" spans="1:12" ht="16.5">
      <c r="A9" s="524"/>
      <c r="B9" s="525"/>
      <c r="C9" s="475"/>
      <c r="D9" s="475"/>
      <c r="E9" s="526"/>
      <c r="F9" s="526"/>
      <c r="G9" s="526"/>
      <c r="H9" s="526"/>
      <c r="I9" s="526"/>
      <c r="J9" s="526"/>
      <c r="K9" s="526"/>
      <c r="L9" s="526"/>
    </row>
    <row r="10" spans="1:12" ht="16.5">
      <c r="A10" s="527" t="s">
        <v>452</v>
      </c>
      <c r="B10" s="528">
        <v>79.22</v>
      </c>
      <c r="C10" s="475"/>
      <c r="D10" s="475"/>
      <c r="E10" s="526"/>
      <c r="F10" s="526"/>
      <c r="G10" s="526"/>
      <c r="H10" s="526"/>
      <c r="I10" s="526"/>
      <c r="J10" s="526"/>
      <c r="K10" s="526"/>
      <c r="L10" s="526"/>
    </row>
    <row r="11" spans="1:12" ht="16.5">
      <c r="A11" s="527" t="s">
        <v>68</v>
      </c>
      <c r="B11" s="528"/>
      <c r="C11" s="475"/>
      <c r="D11" s="475"/>
      <c r="E11" s="526"/>
      <c r="F11" s="526"/>
      <c r="G11" s="526"/>
      <c r="H11" s="526"/>
      <c r="I11" s="526"/>
      <c r="J11" s="526"/>
      <c r="K11" s="526"/>
      <c r="L11" s="526"/>
    </row>
    <row r="12" spans="1:12" ht="16.5">
      <c r="A12" s="527" t="s">
        <v>74</v>
      </c>
      <c r="B12" s="528"/>
      <c r="C12" s="475"/>
      <c r="D12" s="475"/>
      <c r="E12" s="526"/>
      <c r="F12" s="526"/>
      <c r="G12" s="526"/>
      <c r="H12" s="526"/>
      <c r="I12" s="526"/>
      <c r="J12" s="526"/>
      <c r="K12" s="526"/>
      <c r="L12" s="526"/>
    </row>
    <row r="13" spans="1:12" ht="16.5">
      <c r="A13" s="527" t="s">
        <v>83</v>
      </c>
      <c r="B13" s="528">
        <f>900*0.64</f>
        <v>576</v>
      </c>
      <c r="C13" s="475"/>
      <c r="D13" s="475"/>
      <c r="E13" s="526">
        <v>-196</v>
      </c>
      <c r="F13" s="526">
        <v>-196</v>
      </c>
      <c r="G13" s="529">
        <v>404</v>
      </c>
      <c r="H13" s="529">
        <f>J144</f>
        <v>912</v>
      </c>
      <c r="I13" s="529">
        <f>J145</f>
        <v>1204</v>
      </c>
      <c r="J13" s="529">
        <f>J146</f>
        <v>1204</v>
      </c>
      <c r="K13" s="529">
        <f>J147</f>
        <v>1204</v>
      </c>
      <c r="L13" s="526">
        <f>J148</f>
        <v>1204</v>
      </c>
    </row>
    <row r="14" spans="1:12" ht="16.5">
      <c r="A14" s="527" t="s">
        <v>73</v>
      </c>
      <c r="B14" s="528">
        <f>900*0.64</f>
        <v>576</v>
      </c>
      <c r="C14" s="475"/>
      <c r="D14" s="475"/>
      <c r="E14" s="526"/>
      <c r="F14" s="526"/>
      <c r="G14" s="529"/>
      <c r="H14" s="529"/>
      <c r="I14" s="529"/>
      <c r="J14" s="529"/>
      <c r="K14" s="526"/>
      <c r="L14" s="526"/>
    </row>
    <row r="15" spans="1:12" ht="16.5">
      <c r="A15" s="527" t="s">
        <v>325</v>
      </c>
      <c r="B15" s="528"/>
      <c r="C15" s="475"/>
      <c r="D15" s="475"/>
      <c r="E15" s="526"/>
      <c r="F15" s="526"/>
      <c r="G15" s="529"/>
      <c r="H15" s="529"/>
      <c r="I15" s="529"/>
      <c r="J15" s="529"/>
      <c r="K15" s="526"/>
      <c r="L15" s="526"/>
    </row>
    <row r="16" spans="1:12" ht="16.5">
      <c r="A16" s="530"/>
      <c r="B16" s="528"/>
      <c r="C16" s="475"/>
      <c r="D16" s="475"/>
      <c r="E16" s="526"/>
      <c r="F16" s="526"/>
      <c r="G16" s="526"/>
      <c r="H16" s="526"/>
      <c r="I16" s="526"/>
      <c r="J16" s="526"/>
      <c r="K16" s="526"/>
      <c r="L16" s="526"/>
    </row>
    <row r="17" spans="1:12" ht="16.5">
      <c r="A17" s="527" t="s">
        <v>82</v>
      </c>
      <c r="B17" s="528"/>
      <c r="C17" s="475"/>
      <c r="D17" s="475"/>
      <c r="E17" s="526"/>
      <c r="F17" s="526"/>
      <c r="G17" s="526"/>
      <c r="H17" s="526"/>
      <c r="I17" s="526"/>
      <c r="J17" s="526"/>
      <c r="K17" s="526"/>
      <c r="L17" s="526"/>
    </row>
    <row r="18" spans="1:12" ht="16.5">
      <c r="A18" s="527" t="s">
        <v>75</v>
      </c>
      <c r="B18" s="528"/>
      <c r="C18" s="475"/>
      <c r="D18" s="475"/>
      <c r="E18" s="526"/>
      <c r="F18" s="526"/>
      <c r="G18" s="526"/>
      <c r="H18" s="526"/>
      <c r="I18" s="526"/>
      <c r="J18" s="526"/>
      <c r="K18" s="526"/>
      <c r="L18" s="526"/>
    </row>
    <row r="19" spans="1:12" ht="16.5">
      <c r="A19" s="527" t="s">
        <v>70</v>
      </c>
      <c r="B19" s="528"/>
      <c r="C19" s="475"/>
      <c r="D19" s="475"/>
      <c r="E19" s="526"/>
      <c r="F19" s="526"/>
      <c r="G19" s="526"/>
      <c r="H19" s="526"/>
      <c r="I19" s="526"/>
      <c r="J19" s="526"/>
      <c r="K19" s="526"/>
      <c r="L19" s="526"/>
    </row>
    <row r="20" spans="1:12" ht="16.5">
      <c r="A20" s="527" t="s">
        <v>71</v>
      </c>
      <c r="B20" s="528"/>
      <c r="C20" s="475"/>
      <c r="D20" s="475"/>
      <c r="E20" s="526"/>
      <c r="F20" s="526"/>
      <c r="G20" s="526"/>
      <c r="H20" s="526"/>
      <c r="I20" s="526"/>
      <c r="J20" s="526"/>
      <c r="K20" s="526"/>
      <c r="L20" s="526"/>
    </row>
    <row r="21" spans="1:12" ht="16.5">
      <c r="A21" s="527" t="s">
        <v>72</v>
      </c>
      <c r="B21" s="528"/>
      <c r="C21" s="475"/>
      <c r="D21" s="475"/>
      <c r="E21" s="526"/>
      <c r="F21" s="526"/>
      <c r="G21" s="526"/>
      <c r="H21" s="526"/>
      <c r="I21" s="526"/>
      <c r="J21" s="526"/>
      <c r="K21" s="526"/>
      <c r="L21" s="526"/>
    </row>
    <row r="22" spans="1:12" ht="17.25" thickBot="1">
      <c r="A22" s="530"/>
      <c r="B22" s="531"/>
      <c r="C22" s="475"/>
      <c r="D22" s="475"/>
      <c r="E22" s="526"/>
      <c r="F22" s="526"/>
      <c r="G22" s="526"/>
      <c r="H22" s="526"/>
      <c r="I22" s="526"/>
      <c r="J22" s="526"/>
      <c r="K22" s="526"/>
      <c r="L22" s="526"/>
    </row>
    <row r="23" spans="1:12" ht="17.25" thickBot="1">
      <c r="A23" s="532" t="s">
        <v>290</v>
      </c>
      <c r="B23" s="533"/>
      <c r="C23" s="533"/>
      <c r="D23" s="533"/>
      <c r="E23" s="534">
        <f>E13*$B$10</f>
        <v>-15527.119999999999</v>
      </c>
      <c r="F23" s="534">
        <f>F13*$B$10</f>
        <v>-15527.119999999999</v>
      </c>
      <c r="G23" s="534">
        <f>G13*$B$13</f>
        <v>232704</v>
      </c>
      <c r="H23" s="534">
        <f>H13*$B$13</f>
        <v>525312</v>
      </c>
      <c r="I23" s="534">
        <f>I13*$B$13</f>
        <v>693504</v>
      </c>
      <c r="J23" s="534">
        <f>(J13*$B$13)+(J14*B14)</f>
        <v>693504</v>
      </c>
      <c r="K23" s="534">
        <f>(K13*$B$13)+(K14*C14)</f>
        <v>693504</v>
      </c>
      <c r="L23" s="534">
        <f>(L13*$B$13)+(L14*D14)</f>
        <v>693504</v>
      </c>
    </row>
    <row r="24" spans="1:12" ht="16.5">
      <c r="A24" s="535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ht="16.5">
      <c r="A25" s="535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</row>
    <row r="26" spans="1:12" ht="17.25" thickBot="1">
      <c r="A26" s="521" t="s">
        <v>421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</row>
    <row r="27" spans="1:12" ht="16.5">
      <c r="A27" s="629" t="s">
        <v>283</v>
      </c>
      <c r="B27" s="630"/>
      <c r="C27" s="630"/>
      <c r="D27" s="630"/>
      <c r="E27" s="523">
        <v>2010</v>
      </c>
      <c r="F27" s="523">
        <v>2011</v>
      </c>
      <c r="G27" s="523">
        <v>2012</v>
      </c>
      <c r="H27" s="523">
        <v>2013</v>
      </c>
      <c r="I27" s="523">
        <v>2014</v>
      </c>
      <c r="J27" s="523">
        <v>2015</v>
      </c>
      <c r="K27" s="523">
        <v>2016</v>
      </c>
      <c r="L27" s="523">
        <v>2017</v>
      </c>
    </row>
    <row r="28" spans="1:12" ht="16.5">
      <c r="A28" s="524" t="s">
        <v>323</v>
      </c>
      <c r="B28" s="536" t="s">
        <v>324</v>
      </c>
      <c r="C28" s="475"/>
      <c r="D28" s="475"/>
      <c r="E28" s="526"/>
      <c r="F28" s="526"/>
      <c r="G28" s="526"/>
      <c r="H28" s="526"/>
      <c r="I28" s="526"/>
      <c r="J28" s="526"/>
      <c r="K28" s="526"/>
      <c r="L28" s="526"/>
    </row>
    <row r="29" spans="1:12" ht="16.5">
      <c r="A29" s="524"/>
      <c r="B29" s="525"/>
      <c r="C29" s="475"/>
      <c r="D29" s="475"/>
      <c r="E29" s="526"/>
      <c r="F29" s="526"/>
      <c r="G29" s="526"/>
      <c r="H29" s="526"/>
      <c r="I29" s="526"/>
      <c r="J29" s="526"/>
      <c r="K29" s="526"/>
      <c r="L29" s="526"/>
    </row>
    <row r="30" spans="1:12" ht="16.5">
      <c r="A30" s="527" t="s">
        <v>68</v>
      </c>
      <c r="B30" s="528">
        <v>22.95</v>
      </c>
      <c r="C30" s="475"/>
      <c r="D30" s="475"/>
      <c r="E30" s="526">
        <f>CBV!E26</f>
        <v>0</v>
      </c>
      <c r="F30" s="526">
        <f>CBV!F26</f>
        <v>0</v>
      </c>
      <c r="G30" s="526">
        <f>CBV!G26</f>
        <v>0</v>
      </c>
      <c r="H30" s="526">
        <f>CBV!H26</f>
        <v>0</v>
      </c>
      <c r="I30" s="526">
        <f>CBV!I26</f>
        <v>0</v>
      </c>
      <c r="J30" s="526">
        <f>CBV!J26</f>
        <v>0</v>
      </c>
      <c r="K30" s="526">
        <f>CBV!K26</f>
        <v>0</v>
      </c>
      <c r="L30" s="526"/>
    </row>
    <row r="31" spans="1:12" ht="16.5">
      <c r="A31" s="527" t="s">
        <v>74</v>
      </c>
      <c r="B31" s="528">
        <v>51.3</v>
      </c>
      <c r="C31" s="475"/>
      <c r="D31" s="475"/>
      <c r="E31" s="526">
        <f>CBV!E27</f>
        <v>0</v>
      </c>
      <c r="F31" s="526">
        <f>CBV!F27</f>
        <v>0</v>
      </c>
      <c r="G31" s="526">
        <f>CBV!G27</f>
        <v>0</v>
      </c>
      <c r="H31" s="526">
        <f>CBV!H27</f>
        <v>0</v>
      </c>
      <c r="I31" s="526">
        <f>CBV!I27</f>
        <v>0</v>
      </c>
      <c r="J31" s="526">
        <f>CBV!J27</f>
        <v>0</v>
      </c>
      <c r="K31" s="526">
        <f>CBV!K27</f>
        <v>0</v>
      </c>
      <c r="L31" s="526"/>
    </row>
    <row r="32" spans="1:12" ht="16.5">
      <c r="A32" s="527" t="s">
        <v>83</v>
      </c>
      <c r="B32" s="528">
        <v>103.95</v>
      </c>
      <c r="C32" s="475"/>
      <c r="D32" s="475"/>
      <c r="E32" s="526">
        <f>CBV!E28</f>
        <v>0</v>
      </c>
      <c r="F32" s="526">
        <f>CBV!F28</f>
        <v>0</v>
      </c>
      <c r="G32" s="526">
        <f t="shared" ref="G32:L32" si="0">G13</f>
        <v>404</v>
      </c>
      <c r="H32" s="526">
        <f t="shared" si="0"/>
        <v>912</v>
      </c>
      <c r="I32" s="526">
        <f t="shared" si="0"/>
        <v>1204</v>
      </c>
      <c r="J32" s="526">
        <f t="shared" si="0"/>
        <v>1204</v>
      </c>
      <c r="K32" s="526">
        <f t="shared" si="0"/>
        <v>1204</v>
      </c>
      <c r="L32" s="526">
        <f t="shared" si="0"/>
        <v>1204</v>
      </c>
    </row>
    <row r="33" spans="1:12" ht="16.5">
      <c r="A33" s="527" t="s">
        <v>73</v>
      </c>
      <c r="B33" s="528">
        <v>167.9</v>
      </c>
      <c r="C33" s="475"/>
      <c r="D33" s="475"/>
      <c r="E33" s="526">
        <f>CBV!E29</f>
        <v>0</v>
      </c>
      <c r="F33" s="526">
        <f>CBV!F29</f>
        <v>0</v>
      </c>
      <c r="G33" s="526">
        <f>CBV!G29</f>
        <v>0</v>
      </c>
      <c r="H33" s="526">
        <f>CBV!H29</f>
        <v>0</v>
      </c>
      <c r="I33" s="526">
        <f>CBV!I29</f>
        <v>0</v>
      </c>
      <c r="J33" s="526">
        <f>CBV!J29</f>
        <v>0</v>
      </c>
      <c r="K33" s="526">
        <f>CBV!K29</f>
        <v>0</v>
      </c>
      <c r="L33" s="526"/>
    </row>
    <row r="34" spans="1:12" ht="16.5">
      <c r="A34" s="527" t="s">
        <v>325</v>
      </c>
      <c r="B34" s="528">
        <v>222</v>
      </c>
      <c r="C34" s="475"/>
      <c r="D34" s="475"/>
      <c r="E34" s="526">
        <f>CBV!E30</f>
        <v>0</v>
      </c>
      <c r="F34" s="526">
        <f>CBV!F30</f>
        <v>0</v>
      </c>
      <c r="G34" s="526">
        <f>CBV!G30</f>
        <v>0</v>
      </c>
      <c r="H34" s="526">
        <f>CBV!H30</f>
        <v>0</v>
      </c>
      <c r="I34" s="526">
        <f>CBV!I30</f>
        <v>0</v>
      </c>
      <c r="J34" s="526">
        <f>CBV!J30</f>
        <v>0</v>
      </c>
      <c r="K34" s="526">
        <f>CBV!K30</f>
        <v>0</v>
      </c>
      <c r="L34" s="526"/>
    </row>
    <row r="35" spans="1:12" ht="16.5">
      <c r="A35" s="530"/>
      <c r="B35" s="528"/>
      <c r="C35" s="475"/>
      <c r="D35" s="475"/>
      <c r="E35" s="526">
        <f>CBV!E31</f>
        <v>0</v>
      </c>
      <c r="F35" s="526">
        <f>CBV!F31</f>
        <v>0</v>
      </c>
      <c r="G35" s="526">
        <f>CBV!G31</f>
        <v>0</v>
      </c>
      <c r="H35" s="526">
        <f>CBV!H31</f>
        <v>0</v>
      </c>
      <c r="I35" s="526">
        <f>CBV!I31</f>
        <v>0</v>
      </c>
      <c r="J35" s="526">
        <f>CBV!J31</f>
        <v>0</v>
      </c>
      <c r="K35" s="526">
        <f>CBV!K31</f>
        <v>0</v>
      </c>
      <c r="L35" s="526"/>
    </row>
    <row r="36" spans="1:12" ht="16.5">
      <c r="A36" s="527" t="s">
        <v>82</v>
      </c>
      <c r="B36" s="528">
        <v>21.25</v>
      </c>
      <c r="C36" s="475"/>
      <c r="D36" s="475"/>
      <c r="E36" s="526">
        <f>CBV!E32</f>
        <v>0</v>
      </c>
      <c r="F36" s="526">
        <f>CBV!F32</f>
        <v>0</v>
      </c>
      <c r="G36" s="526">
        <f>CBV!G32</f>
        <v>0</v>
      </c>
      <c r="H36" s="526">
        <f>CBV!H32</f>
        <v>0</v>
      </c>
      <c r="I36" s="526">
        <f>CBV!I32</f>
        <v>0</v>
      </c>
      <c r="J36" s="526">
        <f>CBV!J32</f>
        <v>0</v>
      </c>
      <c r="K36" s="526">
        <f>CBV!K32</f>
        <v>0</v>
      </c>
      <c r="L36" s="526"/>
    </row>
    <row r="37" spans="1:12" ht="16.5">
      <c r="A37" s="527" t="s">
        <v>75</v>
      </c>
      <c r="B37" s="528">
        <v>47.5</v>
      </c>
      <c r="C37" s="475"/>
      <c r="D37" s="475"/>
      <c r="E37" s="526">
        <f>CBV!E33</f>
        <v>0</v>
      </c>
      <c r="F37" s="526">
        <f>CBV!F33</f>
        <v>0</v>
      </c>
      <c r="G37" s="526">
        <f>CBV!G33</f>
        <v>0</v>
      </c>
      <c r="H37" s="526">
        <f>CBV!H33</f>
        <v>0</v>
      </c>
      <c r="I37" s="526">
        <f>CBV!I33</f>
        <v>0</v>
      </c>
      <c r="J37" s="526">
        <f>CBV!J33</f>
        <v>0</v>
      </c>
      <c r="K37" s="526">
        <f>CBV!K33</f>
        <v>0</v>
      </c>
      <c r="L37" s="526"/>
    </row>
    <row r="38" spans="1:12" ht="16.5">
      <c r="A38" s="527" t="s">
        <v>70</v>
      </c>
      <c r="B38" s="528">
        <v>73.5</v>
      </c>
      <c r="C38" s="475"/>
      <c r="D38" s="475"/>
      <c r="E38" s="526">
        <f>CBV!E34</f>
        <v>0</v>
      </c>
      <c r="F38" s="526">
        <f>CBV!F34</f>
        <v>0</v>
      </c>
      <c r="G38" s="526">
        <f>CBV!G34</f>
        <v>0</v>
      </c>
      <c r="H38" s="526">
        <f>CBV!H34</f>
        <v>0</v>
      </c>
      <c r="I38" s="526">
        <f>CBV!I34</f>
        <v>0</v>
      </c>
      <c r="J38" s="526">
        <f>CBV!J34</f>
        <v>0</v>
      </c>
      <c r="K38" s="526">
        <f>CBV!K34</f>
        <v>0</v>
      </c>
      <c r="L38" s="526"/>
    </row>
    <row r="39" spans="1:12" ht="16.5">
      <c r="A39" s="527" t="s">
        <v>71</v>
      </c>
      <c r="B39" s="528">
        <v>120.75</v>
      </c>
      <c r="C39" s="475"/>
      <c r="D39" s="475"/>
      <c r="E39" s="526">
        <f>CBV!E35</f>
        <v>0</v>
      </c>
      <c r="F39" s="526">
        <f>CBV!F35</f>
        <v>0</v>
      </c>
      <c r="G39" s="526">
        <f>CBV!G35</f>
        <v>0</v>
      </c>
      <c r="H39" s="526">
        <f>CBV!H35</f>
        <v>0</v>
      </c>
      <c r="I39" s="526">
        <f>CBV!I35</f>
        <v>0</v>
      </c>
      <c r="J39" s="526">
        <f>CBV!J35</f>
        <v>0</v>
      </c>
      <c r="K39" s="526">
        <f>CBV!K35</f>
        <v>0</v>
      </c>
      <c r="L39" s="526"/>
    </row>
    <row r="40" spans="1:12" ht="16.5">
      <c r="A40" s="527" t="s">
        <v>72</v>
      </c>
      <c r="B40" s="528">
        <v>121.6</v>
      </c>
      <c r="C40" s="475"/>
      <c r="D40" s="475"/>
      <c r="E40" s="526">
        <f>CBV!E36</f>
        <v>0</v>
      </c>
      <c r="F40" s="526">
        <f>CBV!F36</f>
        <v>0</v>
      </c>
      <c r="G40" s="526">
        <f>CBV!G36</f>
        <v>0</v>
      </c>
      <c r="H40" s="526">
        <f>CBV!H36</f>
        <v>0</v>
      </c>
      <c r="I40" s="526">
        <f>CBV!I36</f>
        <v>0</v>
      </c>
      <c r="J40" s="526">
        <f>CBV!J36</f>
        <v>0</v>
      </c>
      <c r="K40" s="526">
        <f>CBV!K36</f>
        <v>0</v>
      </c>
      <c r="L40" s="526"/>
    </row>
    <row r="41" spans="1:12" ht="17.25" thickBot="1">
      <c r="A41" s="530"/>
      <c r="B41" s="531"/>
      <c r="C41" s="475"/>
      <c r="D41" s="475"/>
      <c r="E41" s="526"/>
      <c r="F41" s="526"/>
      <c r="G41" s="526"/>
      <c r="H41" s="526"/>
      <c r="I41" s="526"/>
      <c r="J41" s="526"/>
      <c r="K41" s="526"/>
      <c r="L41" s="526"/>
    </row>
    <row r="42" spans="1:12" ht="17.25" thickBot="1">
      <c r="A42" s="532" t="s">
        <v>290</v>
      </c>
      <c r="B42" s="533"/>
      <c r="C42" s="533"/>
      <c r="D42" s="533"/>
      <c r="E42" s="534">
        <f>SUM(E30:E41)</f>
        <v>0</v>
      </c>
      <c r="F42" s="534">
        <f>SUM(F30:F41)</f>
        <v>0</v>
      </c>
      <c r="G42" s="534">
        <f t="shared" ref="G42:L42" si="1">G32*$B32</f>
        <v>41995.8</v>
      </c>
      <c r="H42" s="534">
        <f t="shared" si="1"/>
        <v>94802.400000000009</v>
      </c>
      <c r="I42" s="534">
        <f t="shared" si="1"/>
        <v>125155.8</v>
      </c>
      <c r="J42" s="534">
        <f t="shared" si="1"/>
        <v>125155.8</v>
      </c>
      <c r="K42" s="534">
        <f t="shared" si="1"/>
        <v>125155.8</v>
      </c>
      <c r="L42" s="534">
        <f t="shared" si="1"/>
        <v>125155.8</v>
      </c>
    </row>
    <row r="43" spans="1:12" ht="16.5">
      <c r="A43" s="536"/>
      <c r="B43" s="475"/>
      <c r="C43" s="475"/>
      <c r="D43" s="475"/>
      <c r="E43" s="537"/>
      <c r="F43" s="537"/>
      <c r="G43" s="537"/>
      <c r="H43" s="537"/>
      <c r="I43" s="537"/>
      <c r="J43" s="537"/>
      <c r="K43" s="537"/>
      <c r="L43" s="537"/>
    </row>
    <row r="44" spans="1:12" ht="16.5">
      <c r="A44" s="536"/>
      <c r="B44" s="475"/>
      <c r="C44" s="475"/>
      <c r="D44" s="475"/>
      <c r="E44" s="537"/>
      <c r="F44" s="537"/>
      <c r="G44" s="537"/>
      <c r="H44" s="537"/>
      <c r="I44" s="537"/>
      <c r="J44" s="537"/>
      <c r="K44" s="537"/>
      <c r="L44" s="537"/>
    </row>
    <row r="45" spans="1:12" ht="17.25" thickBot="1">
      <c r="A45" s="521" t="s">
        <v>434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</row>
    <row r="46" spans="1:12" ht="16.5">
      <c r="A46" s="629" t="s">
        <v>283</v>
      </c>
      <c r="B46" s="630"/>
      <c r="C46" s="630"/>
      <c r="D46" s="630"/>
      <c r="E46" s="523">
        <v>2010</v>
      </c>
      <c r="F46" s="523">
        <v>2011</v>
      </c>
      <c r="G46" s="523">
        <v>2012</v>
      </c>
      <c r="H46" s="523">
        <v>2013</v>
      </c>
      <c r="I46" s="523">
        <v>2014</v>
      </c>
      <c r="J46" s="523">
        <v>2015</v>
      </c>
      <c r="K46" s="523">
        <v>2016</v>
      </c>
      <c r="L46" s="523">
        <v>2017</v>
      </c>
    </row>
    <row r="47" spans="1:12" ht="16.5">
      <c r="A47" s="524" t="s">
        <v>323</v>
      </c>
      <c r="B47" s="536"/>
      <c r="C47" s="475"/>
      <c r="D47" s="475"/>
      <c r="E47" s="526"/>
      <c r="F47" s="526"/>
      <c r="G47" s="526"/>
      <c r="H47" s="526"/>
      <c r="I47" s="526"/>
      <c r="J47" s="526"/>
      <c r="K47" s="526"/>
      <c r="L47" s="526"/>
    </row>
    <row r="48" spans="1:12" ht="16.5">
      <c r="A48" s="524"/>
      <c r="B48" s="525"/>
      <c r="C48" s="475"/>
      <c r="D48" s="475"/>
      <c r="E48" s="526"/>
      <c r="F48" s="526"/>
      <c r="G48" s="526"/>
      <c r="H48" s="526"/>
      <c r="I48" s="526"/>
      <c r="J48" s="526"/>
      <c r="K48" s="526"/>
      <c r="L48" s="526"/>
    </row>
    <row r="49" spans="1:12" ht="16.5">
      <c r="A49" s="527" t="s">
        <v>439</v>
      </c>
      <c r="B49" s="528" t="s">
        <v>442</v>
      </c>
      <c r="C49" s="475"/>
      <c r="D49" s="475"/>
      <c r="E49" s="526">
        <f>T141</f>
        <v>29994.832815222609</v>
      </c>
      <c r="F49" s="526">
        <f>T142</f>
        <v>59962.95960923512</v>
      </c>
      <c r="G49" s="526">
        <f>T143</f>
        <v>102456.51179105334</v>
      </c>
      <c r="H49" s="526">
        <f>T144</f>
        <v>153761.10341605337</v>
      </c>
      <c r="I49" s="526">
        <f>T145</f>
        <v>158786.07417741694</v>
      </c>
      <c r="J49" s="526">
        <f>T146</f>
        <v>163800.54621150787</v>
      </c>
      <c r="K49" s="526">
        <f>T147</f>
        <v>177370.7841546897</v>
      </c>
      <c r="L49" s="600">
        <f>T148</f>
        <v>69914.090909090912</v>
      </c>
    </row>
    <row r="50" spans="1:12" ht="16.5">
      <c r="A50" s="527" t="s">
        <v>440</v>
      </c>
      <c r="B50" s="528" t="s">
        <v>441</v>
      </c>
      <c r="C50" s="475"/>
      <c r="D50" s="475"/>
      <c r="E50" s="526">
        <f>R150</f>
        <v>15711.579093688033</v>
      </c>
      <c r="F50" s="526">
        <f>R151</f>
        <v>31409.169319123157</v>
      </c>
      <c r="G50" s="526">
        <f>R152</f>
        <v>53667.696652456507</v>
      </c>
      <c r="H50" s="526">
        <f>R153</f>
        <v>80541.530360789868</v>
      </c>
      <c r="I50" s="526">
        <f>R154</f>
        <v>83173.657902456485</v>
      </c>
      <c r="J50" s="526">
        <f>R155</f>
        <v>85800.286110789835</v>
      </c>
      <c r="K50" s="526">
        <f>R156</f>
        <v>92908.505985789845</v>
      </c>
      <c r="L50" s="600">
        <f>R157</f>
        <v>36621.666666666664</v>
      </c>
    </row>
    <row r="51" spans="1:12" ht="17.25" thickBot="1">
      <c r="A51" s="527"/>
      <c r="B51" s="528"/>
      <c r="C51" s="475"/>
      <c r="D51" s="475"/>
      <c r="E51" s="526"/>
      <c r="F51" s="526"/>
      <c r="G51" s="526"/>
      <c r="H51" s="526"/>
      <c r="I51" s="526"/>
      <c r="J51" s="526"/>
      <c r="K51" s="526"/>
      <c r="L51" s="526"/>
    </row>
    <row r="52" spans="1:12" ht="17.25" thickBot="1">
      <c r="A52" s="532" t="s">
        <v>290</v>
      </c>
      <c r="B52" s="533"/>
      <c r="C52" s="533"/>
      <c r="D52" s="533"/>
      <c r="E52" s="534">
        <f t="shared" ref="E52:K52" si="2">SUM(E49:E51)</f>
        <v>45706.411908910639</v>
      </c>
      <c r="F52" s="534">
        <f t="shared" si="2"/>
        <v>91372.128928358274</v>
      </c>
      <c r="G52" s="534">
        <f t="shared" si="2"/>
        <v>156124.20844350985</v>
      </c>
      <c r="H52" s="534">
        <f t="shared" si="2"/>
        <v>234302.63377684326</v>
      </c>
      <c r="I52" s="534">
        <f t="shared" si="2"/>
        <v>241959.73207987344</v>
      </c>
      <c r="J52" s="534">
        <f t="shared" si="2"/>
        <v>249600.83232229771</v>
      </c>
      <c r="K52" s="534">
        <f t="shared" si="2"/>
        <v>270279.29014047957</v>
      </c>
      <c r="L52" s="534">
        <f>SUM(L47:L51)</f>
        <v>106535.75757575757</v>
      </c>
    </row>
    <row r="53" spans="1:12" ht="16.5">
      <c r="A53" s="536"/>
      <c r="B53" s="475"/>
      <c r="C53" s="475"/>
      <c r="D53" s="475"/>
      <c r="E53" s="537"/>
      <c r="F53" s="537"/>
      <c r="G53" s="537"/>
      <c r="H53" s="537"/>
      <c r="I53" s="537"/>
      <c r="J53" s="537"/>
      <c r="K53" s="537"/>
      <c r="L53" s="537"/>
    </row>
    <row r="54" spans="1:12" ht="16.5">
      <c r="A54" s="474"/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</row>
    <row r="55" spans="1:12" ht="17.25" thickBot="1">
      <c r="A55" s="521" t="s">
        <v>322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</row>
    <row r="56" spans="1:12" ht="16.5">
      <c r="A56" s="629" t="s">
        <v>283</v>
      </c>
      <c r="B56" s="630"/>
      <c r="C56" s="630"/>
      <c r="D56" s="630"/>
      <c r="E56" s="523">
        <v>2010</v>
      </c>
      <c r="F56" s="523">
        <v>2011</v>
      </c>
      <c r="G56" s="523">
        <v>2012</v>
      </c>
      <c r="H56" s="523">
        <v>2013</v>
      </c>
      <c r="I56" s="523">
        <v>2014</v>
      </c>
      <c r="J56" s="523">
        <v>2015</v>
      </c>
      <c r="K56" s="523">
        <v>2016</v>
      </c>
      <c r="L56" s="523">
        <v>2017</v>
      </c>
    </row>
    <row r="57" spans="1:12" ht="16.5">
      <c r="A57" s="524" t="s">
        <v>10</v>
      </c>
      <c r="B57" s="475"/>
      <c r="C57" s="475"/>
      <c r="D57" s="475"/>
      <c r="E57" s="526"/>
      <c r="F57" s="526"/>
      <c r="G57" s="526"/>
      <c r="H57" s="526"/>
      <c r="I57" s="526"/>
      <c r="J57" s="526"/>
      <c r="K57" s="526"/>
      <c r="L57" s="526"/>
    </row>
    <row r="58" spans="1:12" ht="16.5">
      <c r="A58" s="524"/>
      <c r="B58" s="525" t="s">
        <v>318</v>
      </c>
      <c r="C58" s="475"/>
      <c r="D58" s="475"/>
      <c r="E58" s="526"/>
      <c r="F58" s="526"/>
      <c r="G58" s="526"/>
      <c r="H58" s="526"/>
      <c r="I58" s="526"/>
      <c r="J58" s="526"/>
      <c r="K58" s="526"/>
      <c r="L58" s="526"/>
    </row>
    <row r="59" spans="1:12" ht="16.5">
      <c r="A59" s="527" t="s">
        <v>317</v>
      </c>
      <c r="B59" s="528">
        <f>N78</f>
        <v>2616</v>
      </c>
      <c r="C59" s="475"/>
      <c r="D59" s="475"/>
      <c r="E59" s="526">
        <f t="shared" ref="E59:L59" si="3">$B$59*5</f>
        <v>13080</v>
      </c>
      <c r="F59" s="526">
        <f t="shared" si="3"/>
        <v>13080</v>
      </c>
      <c r="G59" s="526">
        <f t="shared" si="3"/>
        <v>13080</v>
      </c>
      <c r="H59" s="526">
        <f t="shared" si="3"/>
        <v>13080</v>
      </c>
      <c r="I59" s="526">
        <f t="shared" si="3"/>
        <v>13080</v>
      </c>
      <c r="J59" s="526">
        <f t="shared" si="3"/>
        <v>13080</v>
      </c>
      <c r="K59" s="526">
        <f t="shared" si="3"/>
        <v>13080</v>
      </c>
      <c r="L59" s="526">
        <f t="shared" si="3"/>
        <v>13080</v>
      </c>
    </row>
    <row r="60" spans="1:12" ht="16.5">
      <c r="A60" s="527" t="s">
        <v>451</v>
      </c>
      <c r="B60" s="528">
        <f>B59*0.0933</f>
        <v>244.07279999999997</v>
      </c>
      <c r="C60" s="475"/>
      <c r="D60" s="475"/>
      <c r="E60" s="526">
        <f t="shared" ref="E60:L60" si="4">E59*0.0933</f>
        <v>1220.364</v>
      </c>
      <c r="F60" s="526">
        <f t="shared" si="4"/>
        <v>1220.364</v>
      </c>
      <c r="G60" s="526">
        <f t="shared" si="4"/>
        <v>1220.364</v>
      </c>
      <c r="H60" s="526">
        <f t="shared" si="4"/>
        <v>1220.364</v>
      </c>
      <c r="I60" s="526">
        <f t="shared" si="4"/>
        <v>1220.364</v>
      </c>
      <c r="J60" s="526">
        <f t="shared" si="4"/>
        <v>1220.364</v>
      </c>
      <c r="K60" s="526">
        <f t="shared" si="4"/>
        <v>1220.364</v>
      </c>
      <c r="L60" s="526">
        <f t="shared" si="4"/>
        <v>1220.364</v>
      </c>
    </row>
    <row r="61" spans="1:12" ht="16.5">
      <c r="A61" s="527" t="s">
        <v>313</v>
      </c>
      <c r="B61" s="528">
        <f>N74</f>
        <v>325.5</v>
      </c>
      <c r="C61" s="475"/>
      <c r="D61" s="475"/>
      <c r="E61" s="526">
        <f t="shared" ref="E61:L61" si="5">$B61*5</f>
        <v>1627.5</v>
      </c>
      <c r="F61" s="526">
        <f t="shared" si="5"/>
        <v>1627.5</v>
      </c>
      <c r="G61" s="526">
        <f t="shared" si="5"/>
        <v>1627.5</v>
      </c>
      <c r="H61" s="526">
        <f t="shared" si="5"/>
        <v>1627.5</v>
      </c>
      <c r="I61" s="526">
        <f t="shared" si="5"/>
        <v>1627.5</v>
      </c>
      <c r="J61" s="526">
        <f t="shared" si="5"/>
        <v>1627.5</v>
      </c>
      <c r="K61" s="526">
        <f t="shared" si="5"/>
        <v>1627.5</v>
      </c>
      <c r="L61" s="526">
        <f t="shared" si="5"/>
        <v>1627.5</v>
      </c>
    </row>
    <row r="62" spans="1:12" ht="16.5">
      <c r="A62" s="527" t="s">
        <v>314</v>
      </c>
      <c r="B62" s="528">
        <f>N75</f>
        <v>123.28767123287673</v>
      </c>
      <c r="C62" s="475"/>
      <c r="D62" s="475"/>
      <c r="E62" s="526">
        <f t="shared" ref="E62:L64" si="6">$B62*5</f>
        <v>616.43835616438366</v>
      </c>
      <c r="F62" s="526">
        <f t="shared" si="6"/>
        <v>616.43835616438366</v>
      </c>
      <c r="G62" s="526">
        <f t="shared" si="6"/>
        <v>616.43835616438366</v>
      </c>
      <c r="H62" s="526">
        <f t="shared" si="6"/>
        <v>616.43835616438366</v>
      </c>
      <c r="I62" s="526">
        <f t="shared" si="6"/>
        <v>616.43835616438366</v>
      </c>
      <c r="J62" s="526">
        <f t="shared" si="6"/>
        <v>616.43835616438366</v>
      </c>
      <c r="K62" s="526">
        <f t="shared" si="6"/>
        <v>616.43835616438366</v>
      </c>
      <c r="L62" s="526">
        <f t="shared" si="6"/>
        <v>616.43835616438366</v>
      </c>
    </row>
    <row r="63" spans="1:12" ht="16.5">
      <c r="A63" s="527" t="s">
        <v>315</v>
      </c>
      <c r="B63" s="528">
        <f>N77</f>
        <v>250</v>
      </c>
      <c r="C63" s="475"/>
      <c r="D63" s="475"/>
      <c r="E63" s="526">
        <f t="shared" si="6"/>
        <v>1250</v>
      </c>
      <c r="F63" s="526">
        <f t="shared" si="6"/>
        <v>1250</v>
      </c>
      <c r="G63" s="526">
        <f t="shared" si="6"/>
        <v>1250</v>
      </c>
      <c r="H63" s="526">
        <f t="shared" si="6"/>
        <v>1250</v>
      </c>
      <c r="I63" s="526">
        <f t="shared" si="6"/>
        <v>1250</v>
      </c>
      <c r="J63" s="526">
        <f t="shared" si="6"/>
        <v>1250</v>
      </c>
      <c r="K63" s="526">
        <f t="shared" si="6"/>
        <v>1250</v>
      </c>
      <c r="L63" s="526">
        <f t="shared" si="6"/>
        <v>1250</v>
      </c>
    </row>
    <row r="64" spans="1:12" ht="16.5">
      <c r="A64" s="527" t="s">
        <v>316</v>
      </c>
      <c r="B64" s="528">
        <f>N76</f>
        <v>218</v>
      </c>
      <c r="C64" s="475"/>
      <c r="D64" s="475"/>
      <c r="E64" s="526">
        <f t="shared" si="6"/>
        <v>1090</v>
      </c>
      <c r="F64" s="526">
        <f t="shared" si="6"/>
        <v>1090</v>
      </c>
      <c r="G64" s="526">
        <f t="shared" si="6"/>
        <v>1090</v>
      </c>
      <c r="H64" s="526">
        <f t="shared" si="6"/>
        <v>1090</v>
      </c>
      <c r="I64" s="526">
        <f t="shared" si="6"/>
        <v>1090</v>
      </c>
      <c r="J64" s="526">
        <f t="shared" si="6"/>
        <v>1090</v>
      </c>
      <c r="K64" s="526">
        <f t="shared" si="6"/>
        <v>1090</v>
      </c>
      <c r="L64" s="526">
        <f t="shared" si="6"/>
        <v>1090</v>
      </c>
    </row>
    <row r="65" spans="1:17" ht="17.25" thickBot="1">
      <c r="A65" s="530" t="s">
        <v>285</v>
      </c>
      <c r="B65" s="538">
        <f>SUM(B59:B64)</f>
        <v>3776.8604712328765</v>
      </c>
      <c r="C65" s="475"/>
      <c r="D65" s="475"/>
      <c r="E65" s="539">
        <f>SUM(E59:E64)</f>
        <v>18884.302356164382</v>
      </c>
      <c r="F65" s="539">
        <f t="shared" ref="F65:K65" si="7">SUM(F59:F64)</f>
        <v>18884.302356164382</v>
      </c>
      <c r="G65" s="539">
        <f t="shared" si="7"/>
        <v>18884.302356164382</v>
      </c>
      <c r="H65" s="539">
        <f t="shared" si="7"/>
        <v>18884.302356164382</v>
      </c>
      <c r="I65" s="539">
        <f t="shared" si="7"/>
        <v>18884.302356164382</v>
      </c>
      <c r="J65" s="539">
        <f t="shared" si="7"/>
        <v>18884.302356164382</v>
      </c>
      <c r="K65" s="539">
        <f t="shared" si="7"/>
        <v>18884.302356164382</v>
      </c>
      <c r="L65" s="539">
        <f>SUM(L59:L64)</f>
        <v>18884.302356164382</v>
      </c>
    </row>
    <row r="66" spans="1:17" ht="17.25" thickTop="1">
      <c r="A66" s="530"/>
      <c r="B66" s="540"/>
      <c r="C66" s="475"/>
      <c r="D66" s="475"/>
      <c r="E66" s="526"/>
      <c r="F66" s="526"/>
      <c r="G66" s="526"/>
      <c r="H66" s="526"/>
      <c r="I66" s="526"/>
      <c r="J66" s="526"/>
      <c r="K66" s="526"/>
      <c r="L66" s="526"/>
    </row>
    <row r="67" spans="1:17" ht="16.5">
      <c r="A67" s="524" t="s">
        <v>186</v>
      </c>
      <c r="B67" s="475"/>
      <c r="C67" s="475"/>
      <c r="D67" s="475"/>
      <c r="E67" s="526"/>
      <c r="F67" s="526"/>
      <c r="G67" s="526"/>
      <c r="H67" s="526"/>
      <c r="I67" s="526"/>
      <c r="J67" s="526"/>
      <c r="K67" s="526"/>
      <c r="L67" s="526"/>
    </row>
    <row r="68" spans="1:17" ht="16.5">
      <c r="A68" s="527" t="s">
        <v>286</v>
      </c>
      <c r="B68" s="475"/>
      <c r="C68" s="475"/>
      <c r="D68" s="475"/>
      <c r="E68" s="526">
        <v>9809.7999999999993</v>
      </c>
      <c r="F68" s="526">
        <v>9809.7999999999993</v>
      </c>
      <c r="G68" s="526">
        <v>9809.7999999999993</v>
      </c>
      <c r="H68" s="526">
        <v>9809.7999999999993</v>
      </c>
      <c r="I68" s="526">
        <v>9809.7999999999993</v>
      </c>
      <c r="J68" s="526">
        <v>9809.7999999999993</v>
      </c>
      <c r="K68" s="526">
        <v>9809.7999999999993</v>
      </c>
      <c r="L68" s="526">
        <v>9809.7999999999993</v>
      </c>
      <c r="N68" s="6">
        <f>250*0.1085</f>
        <v>27.125</v>
      </c>
    </row>
    <row r="69" spans="1:17" ht="16.5">
      <c r="A69" s="527" t="s">
        <v>284</v>
      </c>
      <c r="B69" s="541">
        <v>637</v>
      </c>
      <c r="C69" s="475"/>
      <c r="D69" s="475"/>
      <c r="E69" s="526"/>
      <c r="F69" s="526"/>
      <c r="G69" s="526"/>
      <c r="H69" s="526"/>
      <c r="I69" s="526"/>
      <c r="J69" s="526"/>
      <c r="K69" s="526"/>
      <c r="L69" s="526"/>
    </row>
    <row r="70" spans="1:17" ht="16.5">
      <c r="A70" s="527" t="s">
        <v>287</v>
      </c>
      <c r="B70" s="542">
        <v>2</v>
      </c>
      <c r="C70" s="475"/>
      <c r="D70" s="475"/>
      <c r="E70" s="526"/>
      <c r="F70" s="526"/>
      <c r="G70" s="526"/>
      <c r="H70" s="526"/>
      <c r="I70" s="526"/>
      <c r="J70" s="526"/>
      <c r="K70" s="526"/>
      <c r="L70" s="526"/>
    </row>
    <row r="71" spans="1:17" ht="16.5">
      <c r="A71" s="530" t="s">
        <v>288</v>
      </c>
      <c r="B71" s="531">
        <v>1274</v>
      </c>
      <c r="C71" s="475"/>
      <c r="D71" s="475"/>
      <c r="E71" s="526"/>
      <c r="F71" s="526"/>
      <c r="G71" s="526"/>
      <c r="H71" s="526"/>
      <c r="I71" s="526"/>
      <c r="J71" s="526"/>
      <c r="K71" s="526"/>
      <c r="L71" s="526"/>
    </row>
    <row r="72" spans="1:17" ht="16.5">
      <c r="A72" s="527" t="s">
        <v>289</v>
      </c>
      <c r="B72" s="543">
        <v>7.7</v>
      </c>
      <c r="C72" s="475"/>
      <c r="D72" s="475"/>
      <c r="E72" s="526"/>
      <c r="F72" s="526"/>
      <c r="G72" s="526"/>
      <c r="H72" s="526"/>
      <c r="I72" s="526"/>
      <c r="J72" s="526"/>
      <c r="K72" s="526"/>
      <c r="L72" s="526"/>
    </row>
    <row r="73" spans="1:17" ht="17.25" thickBot="1">
      <c r="A73" s="530" t="s">
        <v>285</v>
      </c>
      <c r="B73" s="538">
        <v>9809.7999999999993</v>
      </c>
      <c r="C73" s="475"/>
      <c r="D73" s="475"/>
      <c r="E73" s="539">
        <f>SUM(E67:E72)</f>
        <v>9809.7999999999993</v>
      </c>
      <c r="F73" s="539">
        <f t="shared" ref="F73:L73" si="8">SUM(F67:F72)</f>
        <v>9809.7999999999993</v>
      </c>
      <c r="G73" s="539">
        <f t="shared" si="8"/>
        <v>9809.7999999999993</v>
      </c>
      <c r="H73" s="539">
        <f t="shared" si="8"/>
        <v>9809.7999999999993</v>
      </c>
      <c r="I73" s="539">
        <f t="shared" si="8"/>
        <v>9809.7999999999993</v>
      </c>
      <c r="J73" s="539">
        <f t="shared" si="8"/>
        <v>9809.7999999999993</v>
      </c>
      <c r="K73" s="539">
        <f t="shared" si="8"/>
        <v>9809.7999999999993</v>
      </c>
      <c r="L73" s="539">
        <f t="shared" si="8"/>
        <v>9809.7999999999993</v>
      </c>
    </row>
    <row r="74" spans="1:17" ht="18" thickTop="1" thickBot="1">
      <c r="A74" s="527"/>
      <c r="B74" s="541"/>
      <c r="C74" s="475"/>
      <c r="D74" s="475"/>
      <c r="E74" s="526"/>
      <c r="F74" s="526"/>
      <c r="G74" s="526"/>
      <c r="H74" s="526"/>
      <c r="I74" s="526"/>
      <c r="J74" s="526"/>
      <c r="K74" s="526"/>
      <c r="L74" s="526"/>
      <c r="N74" s="83">
        <f>N68*12</f>
        <v>325.5</v>
      </c>
      <c r="O74" s="81" t="s">
        <v>307</v>
      </c>
      <c r="P74" s="81"/>
      <c r="Q74" s="626" t="s">
        <v>312</v>
      </c>
    </row>
    <row r="75" spans="1:17" ht="17.25" thickBot="1">
      <c r="A75" s="532" t="s">
        <v>290</v>
      </c>
      <c r="B75" s="533"/>
      <c r="C75" s="533"/>
      <c r="D75" s="533"/>
      <c r="E75" s="534">
        <f>E65+E73</f>
        <v>28694.102356164381</v>
      </c>
      <c r="F75" s="534">
        <f t="shared" ref="F75:L75" si="9">F65+F73</f>
        <v>28694.102356164381</v>
      </c>
      <c r="G75" s="534">
        <f t="shared" si="9"/>
        <v>28694.102356164381</v>
      </c>
      <c r="H75" s="534">
        <f t="shared" si="9"/>
        <v>28694.102356164381</v>
      </c>
      <c r="I75" s="534">
        <f t="shared" si="9"/>
        <v>28694.102356164381</v>
      </c>
      <c r="J75" s="534">
        <f t="shared" si="9"/>
        <v>28694.102356164381</v>
      </c>
      <c r="K75" s="534">
        <f t="shared" si="9"/>
        <v>28694.102356164381</v>
      </c>
      <c r="L75" s="534">
        <f t="shared" si="9"/>
        <v>28694.102356164381</v>
      </c>
      <c r="N75" s="84">
        <f>((250*12)/365)*15</f>
        <v>123.28767123287673</v>
      </c>
      <c r="O75" s="56" t="s">
        <v>308</v>
      </c>
      <c r="P75" s="56"/>
      <c r="Q75" s="627"/>
    </row>
    <row r="76" spans="1:17" ht="16.5">
      <c r="A76" s="474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N76" s="84">
        <v>218</v>
      </c>
      <c r="O76" s="56" t="s">
        <v>309</v>
      </c>
      <c r="P76" s="56"/>
      <c r="Q76" s="627"/>
    </row>
    <row r="77" spans="1:17" ht="16.5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N77" s="84">
        <f>(250*12)/12</f>
        <v>250</v>
      </c>
      <c r="O77" s="56" t="s">
        <v>310</v>
      </c>
      <c r="P77" s="56"/>
      <c r="Q77" s="627"/>
    </row>
    <row r="78" spans="1:17" ht="17.25" thickBot="1">
      <c r="A78" s="521" t="s">
        <v>291</v>
      </c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N78" s="85">
        <f>218*12</f>
        <v>2616</v>
      </c>
      <c r="O78" s="82" t="s">
        <v>311</v>
      </c>
      <c r="P78" s="82"/>
      <c r="Q78" s="628"/>
    </row>
    <row r="79" spans="1:17" ht="16.5">
      <c r="A79" s="629" t="s">
        <v>283</v>
      </c>
      <c r="B79" s="630"/>
      <c r="C79" s="630"/>
      <c r="D79" s="630"/>
      <c r="E79" s="523">
        <v>2010</v>
      </c>
      <c r="F79" s="523">
        <v>2011</v>
      </c>
      <c r="G79" s="523">
        <v>2012</v>
      </c>
      <c r="H79" s="523">
        <v>2013</v>
      </c>
      <c r="I79" s="523">
        <v>2014</v>
      </c>
      <c r="J79" s="523">
        <v>2015</v>
      </c>
      <c r="K79" s="523">
        <v>2016</v>
      </c>
      <c r="L79" s="523">
        <v>2017</v>
      </c>
      <c r="N79" s="26">
        <f>SUM(N74:N78)</f>
        <v>3532.7876712328766</v>
      </c>
    </row>
    <row r="80" spans="1:17" ht="16.5">
      <c r="A80" s="524"/>
      <c r="B80" s="475"/>
      <c r="C80" s="475"/>
      <c r="D80" s="475"/>
      <c r="E80" s="526"/>
      <c r="F80" s="526"/>
      <c r="G80" s="526"/>
      <c r="H80" s="526"/>
      <c r="I80" s="526"/>
      <c r="J80" s="526"/>
      <c r="K80" s="526"/>
      <c r="L80" s="526"/>
    </row>
    <row r="81" spans="1:12" ht="16.5">
      <c r="A81" s="524" t="s">
        <v>306</v>
      </c>
      <c r="B81" s="475"/>
      <c r="C81" s="475"/>
      <c r="D81" s="475"/>
      <c r="E81" s="526"/>
      <c r="F81" s="526"/>
      <c r="G81" s="526"/>
      <c r="H81" s="526"/>
      <c r="I81" s="526"/>
      <c r="J81" s="526"/>
      <c r="K81" s="526"/>
      <c r="L81" s="526"/>
    </row>
    <row r="82" spans="1:12" ht="16.5">
      <c r="A82" s="524"/>
      <c r="B82" s="475"/>
      <c r="C82" s="475"/>
      <c r="D82" s="475"/>
      <c r="E82" s="526"/>
      <c r="F82" s="526"/>
      <c r="G82" s="526"/>
      <c r="H82" s="526"/>
      <c r="I82" s="526"/>
      <c r="J82" s="526"/>
      <c r="K82" s="526"/>
      <c r="L82" s="526"/>
    </row>
    <row r="83" spans="1:12" ht="16.5">
      <c r="A83" s="527" t="s">
        <v>218</v>
      </c>
      <c r="B83" s="544">
        <v>1.1942088162588134E-2</v>
      </c>
      <c r="C83" s="475"/>
      <c r="D83" s="475"/>
      <c r="E83" s="526">
        <f t="shared" ref="E83:E97" si="10">B83*$O$141</f>
        <v>212.58826254689347</v>
      </c>
      <c r="F83" s="526">
        <f t="shared" ref="F83:F97" si="11">B83*$O$142</f>
        <v>424.98724627087876</v>
      </c>
      <c r="G83" s="526">
        <f t="shared" ref="G83:G97" si="12">B83*$O$143</f>
        <v>726.16013439559117</v>
      </c>
      <c r="H83" s="526">
        <f t="shared" ref="H83:H97" si="13">B83*$O$144</f>
        <v>1089.7812307832796</v>
      </c>
      <c r="I83" s="526">
        <f t="shared" ref="I83:I97" si="14">B83*$O$145</f>
        <v>1125.3956917835449</v>
      </c>
      <c r="J83" s="526">
        <f t="shared" ref="J83:J97" si="15">B83*$O$146</f>
        <v>1160.9357430945281</v>
      </c>
      <c r="K83" s="526">
        <f>B83*$O$147</f>
        <v>1257.1147524745991</v>
      </c>
      <c r="L83" s="526">
        <f t="shared" ref="L83:L97" si="16">B83*$O$148</f>
        <v>1262.0925055216319</v>
      </c>
    </row>
    <row r="84" spans="1:12" ht="16.5">
      <c r="A84" s="527" t="s">
        <v>219</v>
      </c>
      <c r="B84" s="544">
        <v>4.9480419739408249E-3</v>
      </c>
      <c r="C84" s="475"/>
      <c r="D84" s="475"/>
      <c r="E84" s="526">
        <f t="shared" si="10"/>
        <v>88.083058166036054</v>
      </c>
      <c r="F84" s="526">
        <f t="shared" si="11"/>
        <v>176.0876912235168</v>
      </c>
      <c r="G84" s="526">
        <f t="shared" si="12"/>
        <v>300.87458540527069</v>
      </c>
      <c r="H84" s="526">
        <f t="shared" si="13"/>
        <v>451.53604620181642</v>
      </c>
      <c r="I84" s="526">
        <f t="shared" si="14"/>
        <v>466.29241422635118</v>
      </c>
      <c r="J84" s="526">
        <f t="shared" si="15"/>
        <v>481.01795160713067</v>
      </c>
      <c r="K84" s="526">
        <f t="shared" ref="K84:K97" si="17">B84*$O$147</f>
        <v>520.86841736700671</v>
      </c>
      <c r="L84" s="526">
        <f t="shared" si="16"/>
        <v>522.93088170969941</v>
      </c>
    </row>
    <row r="85" spans="1:12" ht="16.5">
      <c r="A85" s="527" t="s">
        <v>220</v>
      </c>
      <c r="B85" s="544">
        <v>0.1165376572258386</v>
      </c>
      <c r="C85" s="475"/>
      <c r="D85" s="475"/>
      <c r="E85" s="526">
        <f t="shared" si="10"/>
        <v>2074.5566213905108</v>
      </c>
      <c r="F85" s="526">
        <f t="shared" si="11"/>
        <v>4147.2661528681128</v>
      </c>
      <c r="G85" s="526">
        <f t="shared" si="12"/>
        <v>7086.2817022548297</v>
      </c>
      <c r="H85" s="526">
        <f t="shared" si="13"/>
        <v>10634.702222517366</v>
      </c>
      <c r="I85" s="526">
        <f t="shared" si="14"/>
        <v>10982.248295852702</v>
      </c>
      <c r="J85" s="526">
        <f t="shared" si="15"/>
        <v>11329.068237313464</v>
      </c>
      <c r="K85" s="526">
        <f t="shared" si="17"/>
        <v>12267.63746196289</v>
      </c>
      <c r="L85" s="526">
        <f t="shared" si="16"/>
        <v>12316.213194318248</v>
      </c>
    </row>
    <row r="86" spans="1:12" ht="16.5">
      <c r="A86" s="527" t="s">
        <v>221</v>
      </c>
      <c r="B86" s="544">
        <v>6.9165567378786583E-3</v>
      </c>
      <c r="C86" s="475"/>
      <c r="D86" s="475"/>
      <c r="E86" s="526">
        <f t="shared" si="10"/>
        <v>123.12576826546953</v>
      </c>
      <c r="F86" s="526">
        <f t="shared" si="11"/>
        <v>246.14191100313354</v>
      </c>
      <c r="G86" s="526">
        <f t="shared" si="12"/>
        <v>420.57366366354114</v>
      </c>
      <c r="H86" s="526">
        <f t="shared" si="13"/>
        <v>631.17384597789032</v>
      </c>
      <c r="I86" s="526">
        <f t="shared" si="14"/>
        <v>651.80084494520622</v>
      </c>
      <c r="J86" s="526">
        <f t="shared" si="15"/>
        <v>672.38474769427626</v>
      </c>
      <c r="K86" s="526">
        <f t="shared" si="17"/>
        <v>728.0892079455607</v>
      </c>
      <c r="L86" s="526">
        <f t="shared" si="16"/>
        <v>730.97219716052962</v>
      </c>
    </row>
    <row r="87" spans="1:12" ht="16.5">
      <c r="A87" s="527" t="s">
        <v>222</v>
      </c>
      <c r="B87" s="544">
        <v>1.0168312227331586E-2</v>
      </c>
      <c r="C87" s="475"/>
      <c r="D87" s="475"/>
      <c r="E87" s="526">
        <f t="shared" si="10"/>
        <v>181.01221495037689</v>
      </c>
      <c r="F87" s="526">
        <f t="shared" si="11"/>
        <v>361.86326494005766</v>
      </c>
      <c r="G87" s="526">
        <f t="shared" si="12"/>
        <v>618.30250062190032</v>
      </c>
      <c r="H87" s="526">
        <f t="shared" si="13"/>
        <v>927.91442026069592</v>
      </c>
      <c r="I87" s="526">
        <f t="shared" si="14"/>
        <v>958.23901293899485</v>
      </c>
      <c r="J87" s="526">
        <f t="shared" si="15"/>
        <v>988.50024810870264</v>
      </c>
      <c r="K87" s="526">
        <f t="shared" si="17"/>
        <v>1070.3936476362494</v>
      </c>
      <c r="L87" s="526">
        <f t="shared" si="16"/>
        <v>1074.6320476952396</v>
      </c>
    </row>
    <row r="88" spans="1:12" ht="16.5">
      <c r="A88" s="527" t="s">
        <v>223</v>
      </c>
      <c r="B88" s="544">
        <v>3.6948203789390917E-4</v>
      </c>
      <c r="C88" s="475"/>
      <c r="D88" s="475"/>
      <c r="E88" s="526">
        <f t="shared" si="10"/>
        <v>6.5773710098894878</v>
      </c>
      <c r="F88" s="526">
        <f t="shared" si="11"/>
        <v>13.14888583078873</v>
      </c>
      <c r="G88" s="526">
        <f t="shared" si="12"/>
        <v>22.467019388981829</v>
      </c>
      <c r="H88" s="526">
        <f t="shared" si="13"/>
        <v>33.717268247086352</v>
      </c>
      <c r="I88" s="526">
        <f t="shared" si="14"/>
        <v>34.81916127029271</v>
      </c>
      <c r="J88" s="526">
        <f t="shared" si="15"/>
        <v>35.918752096156311</v>
      </c>
      <c r="K88" s="526">
        <f t="shared" si="17"/>
        <v>38.89448095567802</v>
      </c>
      <c r="L88" s="526">
        <f t="shared" si="16"/>
        <v>39.048490063206806</v>
      </c>
    </row>
    <row r="89" spans="1:12" ht="16.5">
      <c r="A89" s="527" t="s">
        <v>178</v>
      </c>
      <c r="B89" s="544">
        <v>1.8926444957225567E-4</v>
      </c>
      <c r="C89" s="475"/>
      <c r="D89" s="475"/>
      <c r="E89" s="526">
        <f t="shared" si="10"/>
        <v>3.3692098022277541</v>
      </c>
      <c r="F89" s="526">
        <f t="shared" si="11"/>
        <v>6.7354198148252795</v>
      </c>
      <c r="G89" s="526">
        <f t="shared" si="12"/>
        <v>11.50856502368268</v>
      </c>
      <c r="H89" s="526">
        <f t="shared" si="13"/>
        <v>17.27142204866054</v>
      </c>
      <c r="I89" s="526">
        <f t="shared" si="14"/>
        <v>17.83585862509986</v>
      </c>
      <c r="J89" s="526">
        <f t="shared" si="15"/>
        <v>18.399115917925371</v>
      </c>
      <c r="K89" s="526">
        <f t="shared" si="17"/>
        <v>19.923411084975861</v>
      </c>
      <c r="L89" s="526">
        <f t="shared" si="16"/>
        <v>20.00230111473671</v>
      </c>
    </row>
    <row r="90" spans="1:12" ht="16.5">
      <c r="A90" s="527" t="s">
        <v>224</v>
      </c>
      <c r="B90" s="544">
        <v>2.2397304117591513E-2</v>
      </c>
      <c r="C90" s="475"/>
      <c r="D90" s="475"/>
      <c r="E90" s="526">
        <f t="shared" si="10"/>
        <v>398.70782255732848</v>
      </c>
      <c r="F90" s="526">
        <f t="shared" si="11"/>
        <v>797.06065398563692</v>
      </c>
      <c r="G90" s="526">
        <f t="shared" si="12"/>
        <v>1361.908331834353</v>
      </c>
      <c r="H90" s="526">
        <f t="shared" si="13"/>
        <v>2043.8771942717317</v>
      </c>
      <c r="I90" s="526">
        <f t="shared" si="14"/>
        <v>2110.671870642147</v>
      </c>
      <c r="J90" s="526">
        <f t="shared" si="15"/>
        <v>2177.3269921526876</v>
      </c>
      <c r="K90" s="526">
        <f t="shared" si="17"/>
        <v>2357.7100619714656</v>
      </c>
      <c r="L90" s="526">
        <f t="shared" si="16"/>
        <v>2367.0458035351503</v>
      </c>
    </row>
    <row r="91" spans="1:12" ht="16.5">
      <c r="A91" s="527" t="s">
        <v>225</v>
      </c>
      <c r="B91" s="544">
        <v>6.5749349204269449E-3</v>
      </c>
      <c r="C91" s="475"/>
      <c r="D91" s="475"/>
      <c r="E91" s="526">
        <f t="shared" si="10"/>
        <v>117.04435372293676</v>
      </c>
      <c r="F91" s="526">
        <f t="shared" si="11"/>
        <v>233.98449653020342</v>
      </c>
      <c r="G91" s="526">
        <f t="shared" si="12"/>
        <v>399.80073505208139</v>
      </c>
      <c r="H91" s="526">
        <f t="shared" si="13"/>
        <v>599.99897608777678</v>
      </c>
      <c r="I91" s="526">
        <f t="shared" si="14"/>
        <v>619.60716856758165</v>
      </c>
      <c r="J91" s="526">
        <f t="shared" si="15"/>
        <v>639.17439343286071</v>
      </c>
      <c r="K91" s="526">
        <f t="shared" si="17"/>
        <v>692.12750504747555</v>
      </c>
      <c r="L91" s="526">
        <f t="shared" si="16"/>
        <v>694.86809797298486</v>
      </c>
    </row>
    <row r="92" spans="1:12" ht="16.5">
      <c r="A92" s="527" t="s">
        <v>226</v>
      </c>
      <c r="B92" s="544">
        <v>8.9476027899492064E-2</v>
      </c>
      <c r="C92" s="475"/>
      <c r="D92" s="475"/>
      <c r="E92" s="526">
        <f t="shared" si="10"/>
        <v>1592.8163526995736</v>
      </c>
      <c r="F92" s="526">
        <f t="shared" si="11"/>
        <v>3184.2145348908793</v>
      </c>
      <c r="G92" s="526">
        <f t="shared" si="12"/>
        <v>5440.750692850138</v>
      </c>
      <c r="H92" s="526">
        <f t="shared" si="13"/>
        <v>8165.1796974152421</v>
      </c>
      <c r="I92" s="526">
        <f t="shared" si="14"/>
        <v>8432.0208446836168</v>
      </c>
      <c r="J92" s="526">
        <f t="shared" si="15"/>
        <v>8698.3044777766208</v>
      </c>
      <c r="K92" s="526">
        <f t="shared" si="17"/>
        <v>9418.9251606481903</v>
      </c>
      <c r="L92" s="526">
        <f t="shared" si="16"/>
        <v>9456.2209471512906</v>
      </c>
    </row>
    <row r="93" spans="1:12" ht="16.5">
      <c r="A93" s="527" t="s">
        <v>227</v>
      </c>
      <c r="B93" s="544">
        <v>0.24923976808988013</v>
      </c>
      <c r="C93" s="475"/>
      <c r="D93" s="475"/>
      <c r="E93" s="526">
        <f t="shared" si="10"/>
        <v>4436.866361597441</v>
      </c>
      <c r="F93" s="526">
        <f t="shared" si="11"/>
        <v>8869.7823412111211</v>
      </c>
      <c r="G93" s="526">
        <f t="shared" si="12"/>
        <v>15155.472060562057</v>
      </c>
      <c r="H93" s="526">
        <f t="shared" si="13"/>
        <v>22744.499750055682</v>
      </c>
      <c r="I93" s="526">
        <f t="shared" si="14"/>
        <v>23487.798566770198</v>
      </c>
      <c r="J93" s="526">
        <f t="shared" si="15"/>
        <v>24229.544401003946</v>
      </c>
      <c r="K93" s="526">
        <f t="shared" si="17"/>
        <v>26236.867883014493</v>
      </c>
      <c r="L93" s="526">
        <f t="shared" si="16"/>
        <v>26340.757085485617</v>
      </c>
    </row>
    <row r="94" spans="1:12" ht="16.5">
      <c r="A94" s="527" t="s">
        <v>228</v>
      </c>
      <c r="B94" s="544">
        <v>5.6220871098624614E-2</v>
      </c>
      <c r="C94" s="475"/>
      <c r="D94" s="475"/>
      <c r="E94" s="526">
        <f t="shared" si="10"/>
        <v>1000.8213926247892</v>
      </c>
      <c r="F94" s="526">
        <f t="shared" si="11"/>
        <v>2000.7516998581841</v>
      </c>
      <c r="G94" s="526">
        <f t="shared" si="12"/>
        <v>3418.6111136502141</v>
      </c>
      <c r="H94" s="526">
        <f t="shared" si="13"/>
        <v>5130.4637235477348</v>
      </c>
      <c r="I94" s="526">
        <f t="shared" si="14"/>
        <v>5298.1292100089368</v>
      </c>
      <c r="J94" s="526">
        <f t="shared" si="15"/>
        <v>5465.4443911053941</v>
      </c>
      <c r="K94" s="526">
        <f t="shared" si="17"/>
        <v>5918.23519411505</v>
      </c>
      <c r="L94" s="526">
        <f t="shared" si="16"/>
        <v>5941.6694217482654</v>
      </c>
    </row>
    <row r="95" spans="1:12" ht="16.5">
      <c r="A95" s="527" t="s">
        <v>229</v>
      </c>
      <c r="B95" s="544">
        <v>9.777446699208981E-3</v>
      </c>
      <c r="C95" s="475"/>
      <c r="D95" s="475"/>
      <c r="E95" s="526">
        <f t="shared" si="10"/>
        <v>174.0541836260586</v>
      </c>
      <c r="F95" s="526">
        <f t="shared" si="11"/>
        <v>347.95339740286823</v>
      </c>
      <c r="G95" s="526">
        <f t="shared" si="12"/>
        <v>594.53521967673919</v>
      </c>
      <c r="H95" s="526">
        <f t="shared" si="13"/>
        <v>892.24579091305475</v>
      </c>
      <c r="I95" s="526">
        <f t="shared" si="14"/>
        <v>921.40471935255823</v>
      </c>
      <c r="J95" s="526">
        <f t="shared" si="15"/>
        <v>950.50272571872313</v>
      </c>
      <c r="K95" s="526">
        <f t="shared" si="17"/>
        <v>1029.2481783559244</v>
      </c>
      <c r="L95" s="526">
        <f t="shared" si="16"/>
        <v>1033.3236561481299</v>
      </c>
    </row>
    <row r="96" spans="1:12" ht="16.5">
      <c r="A96" s="527" t="s">
        <v>230</v>
      </c>
      <c r="B96" s="544">
        <v>1.375225715333006E-3</v>
      </c>
      <c r="C96" s="475"/>
      <c r="D96" s="475"/>
      <c r="E96" s="526">
        <f t="shared" si="10"/>
        <v>24.481216471700524</v>
      </c>
      <c r="F96" s="526">
        <f t="shared" si="11"/>
        <v>48.940635992893952</v>
      </c>
      <c r="G96" s="526">
        <f t="shared" si="12"/>
        <v>83.62307133177795</v>
      </c>
      <c r="H96" s="526">
        <f t="shared" si="13"/>
        <v>125.49691077943078</v>
      </c>
      <c r="I96" s="526">
        <f t="shared" si="14"/>
        <v>129.59819708199936</v>
      </c>
      <c r="J96" s="526">
        <f t="shared" si="15"/>
        <v>133.69091452150334</v>
      </c>
      <c r="K96" s="526">
        <f t="shared" si="17"/>
        <v>144.76668662885501</v>
      </c>
      <c r="L96" s="526">
        <f t="shared" si="16"/>
        <v>145.33991418350516</v>
      </c>
    </row>
    <row r="97" spans="1:14" ht="16.5">
      <c r="A97" s="527" t="s">
        <v>231</v>
      </c>
      <c r="B97" s="544">
        <v>2.585238267338965E-2</v>
      </c>
      <c r="C97" s="475"/>
      <c r="D97" s="475"/>
      <c r="E97" s="526">
        <f t="shared" si="10"/>
        <v>460.2137449002239</v>
      </c>
      <c r="F97" s="526">
        <f t="shared" si="11"/>
        <v>920.01773662368578</v>
      </c>
      <c r="G97" s="526">
        <f t="shared" si="12"/>
        <v>1572.000593277008</v>
      </c>
      <c r="H97" s="526">
        <f t="shared" si="13"/>
        <v>2359.1721167113751</v>
      </c>
      <c r="I97" s="526">
        <f t="shared" si="14"/>
        <v>2436.2707498775389</v>
      </c>
      <c r="J97" s="526">
        <f t="shared" si="15"/>
        <v>2513.2083000123484</v>
      </c>
      <c r="K97" s="526">
        <f t="shared" si="17"/>
        <v>2721.4178293499931</v>
      </c>
      <c r="L97" s="526">
        <f t="shared" si="16"/>
        <v>2732.1937317611532</v>
      </c>
    </row>
    <row r="98" spans="1:14" ht="17.25" thickBot="1">
      <c r="A98" s="527"/>
      <c r="B98" s="475"/>
      <c r="C98" s="475"/>
      <c r="D98" s="475"/>
      <c r="E98" s="526"/>
      <c r="F98" s="526"/>
      <c r="G98" s="526"/>
      <c r="H98" s="526"/>
      <c r="I98" s="526"/>
      <c r="J98" s="526"/>
      <c r="K98" s="526"/>
      <c r="L98" s="526"/>
    </row>
    <row r="99" spans="1:14" ht="17.25" thickBot="1">
      <c r="A99" s="532" t="s">
        <v>293</v>
      </c>
      <c r="B99" s="533"/>
      <c r="C99" s="533"/>
      <c r="D99" s="533"/>
      <c r="E99" s="534">
        <f t="shared" ref="E99:L99" si="18">SUM(E83:E98)</f>
        <v>10894.317934331457</v>
      </c>
      <c r="F99" s="534">
        <f t="shared" si="18"/>
        <v>21778.936068446787</v>
      </c>
      <c r="G99" s="534">
        <f t="shared" si="18"/>
        <v>37212.869988988168</v>
      </c>
      <c r="H99" s="534">
        <f t="shared" si="18"/>
        <v>55847.030615818818</v>
      </c>
      <c r="I99" s="534">
        <f t="shared" si="18"/>
        <v>57672.132606626772</v>
      </c>
      <c r="J99" s="534">
        <f t="shared" si="18"/>
        <v>59493.421391556272</v>
      </c>
      <c r="K99" s="534">
        <f t="shared" si="18"/>
        <v>64422.219878558404</v>
      </c>
      <c r="L99" s="534">
        <f t="shared" si="18"/>
        <v>64677.310275569391</v>
      </c>
    </row>
    <row r="100" spans="1:14" ht="16.5">
      <c r="A100" s="524"/>
      <c r="B100" s="475"/>
      <c r="C100" s="475"/>
      <c r="D100" s="475"/>
      <c r="E100" s="526"/>
      <c r="F100" s="526"/>
      <c r="G100" s="526"/>
      <c r="H100" s="526"/>
      <c r="I100" s="526"/>
      <c r="J100" s="526"/>
      <c r="K100" s="526"/>
      <c r="L100" s="526"/>
    </row>
    <row r="101" spans="1:14" ht="16.5">
      <c r="A101" s="524" t="s">
        <v>186</v>
      </c>
      <c r="B101" s="475"/>
      <c r="C101" s="475"/>
      <c r="D101" s="475"/>
      <c r="E101" s="526"/>
      <c r="F101" s="526"/>
      <c r="G101" s="526"/>
      <c r="H101" s="526"/>
      <c r="I101" s="526"/>
      <c r="J101" s="526"/>
      <c r="K101" s="526"/>
      <c r="L101" s="526"/>
    </row>
    <row r="102" spans="1:14" ht="16.5">
      <c r="A102" s="527"/>
      <c r="B102" s="545"/>
      <c r="C102" s="475"/>
      <c r="D102" s="475"/>
      <c r="E102" s="526"/>
      <c r="F102" s="526"/>
      <c r="G102" s="526"/>
      <c r="H102" s="526"/>
      <c r="I102" s="526"/>
      <c r="J102" s="526"/>
      <c r="K102" s="526"/>
      <c r="L102" s="526"/>
      <c r="N102" s="71" t="s">
        <v>184</v>
      </c>
    </row>
    <row r="103" spans="1:14" ht="16.5">
      <c r="A103" s="527" t="s">
        <v>180</v>
      </c>
      <c r="B103" s="546">
        <v>4.8364725856201894E-4</v>
      </c>
      <c r="C103" s="475"/>
      <c r="D103" s="475"/>
      <c r="E103" s="526">
        <f t="shared" ref="E103:E125" si="19">B103*$O$141</f>
        <v>8.6096944674527265</v>
      </c>
      <c r="F103" s="526">
        <f t="shared" ref="F103:F125" si="20">B103*$O$142</f>
        <v>17.211723258471228</v>
      </c>
      <c r="G103" s="526">
        <f t="shared" ref="G103:G125" si="21">B103*$O$143</f>
        <v>29.409040822333065</v>
      </c>
      <c r="H103" s="526">
        <f t="shared" ref="H103:H125" si="22">B103*$O$144</f>
        <v>44.135472584423425</v>
      </c>
      <c r="I103" s="526">
        <f t="shared" ref="I103:I125" si="23">B103*$O$145</f>
        <v>45.577836448550947</v>
      </c>
      <c r="J103" s="526">
        <f t="shared" ref="J103:J125" si="24">B103*$O$146</f>
        <v>47.017186765822871</v>
      </c>
      <c r="K103" s="526">
        <f t="shared" ref="K103:K125" si="25">B103*$O$147</f>
        <v>50.912377756256895</v>
      </c>
      <c r="L103" s="526">
        <f t="shared" ref="L103:L125" si="26">B103*$O$148</f>
        <v>51.113973706832624</v>
      </c>
      <c r="N103" s="71" t="s">
        <v>190</v>
      </c>
    </row>
    <row r="104" spans="1:14" ht="16.5">
      <c r="A104" s="527" t="s">
        <v>292</v>
      </c>
      <c r="B104" s="546">
        <v>1.0336861420744792E-2</v>
      </c>
      <c r="C104" s="475"/>
      <c r="D104" s="475"/>
      <c r="E104" s="526">
        <f t="shared" si="19"/>
        <v>184.01266007300174</v>
      </c>
      <c r="F104" s="526">
        <f t="shared" si="20"/>
        <v>367.86148372680725</v>
      </c>
      <c r="G104" s="526">
        <f t="shared" si="21"/>
        <v>628.55143726303425</v>
      </c>
      <c r="H104" s="526">
        <f t="shared" si="22"/>
        <v>943.29546124319393</v>
      </c>
      <c r="I104" s="526">
        <f t="shared" si="23"/>
        <v>974.12271213283032</v>
      </c>
      <c r="J104" s="526">
        <f t="shared" si="24"/>
        <v>1004.8855553044867</v>
      </c>
      <c r="K104" s="526">
        <f t="shared" si="25"/>
        <v>1088.1364137817234</v>
      </c>
      <c r="L104" s="526">
        <f t="shared" si="26"/>
        <v>1092.4450692474452</v>
      </c>
    </row>
    <row r="105" spans="1:14" ht="16.5">
      <c r="A105" s="527" t="s">
        <v>303</v>
      </c>
      <c r="B105" s="546">
        <v>7.944711957961292E-3</v>
      </c>
      <c r="C105" s="475"/>
      <c r="D105" s="475"/>
      <c r="E105" s="526">
        <f t="shared" si="19"/>
        <v>141.42857501836457</v>
      </c>
      <c r="F105" s="526">
        <f t="shared" si="20"/>
        <v>282.73122853060102</v>
      </c>
      <c r="G105" s="526">
        <f t="shared" si="21"/>
        <v>483.09248973733287</v>
      </c>
      <c r="H105" s="526">
        <f t="shared" si="22"/>
        <v>724.99866504831618</v>
      </c>
      <c r="I105" s="526">
        <f t="shared" si="23"/>
        <v>748.69189443440973</v>
      </c>
      <c r="J105" s="526">
        <f t="shared" si="24"/>
        <v>772.33562129295717</v>
      </c>
      <c r="K105" s="526">
        <f t="shared" si="25"/>
        <v>836.32062253591573</v>
      </c>
      <c r="L105" s="526">
        <f t="shared" si="26"/>
        <v>839.63217187453392</v>
      </c>
    </row>
    <row r="106" spans="1:14" ht="16.5">
      <c r="A106" s="527" t="s">
        <v>183</v>
      </c>
      <c r="B106" s="546">
        <v>3.605996650296817E-3</v>
      </c>
      <c r="C106" s="475"/>
      <c r="D106" s="475"/>
      <c r="E106" s="526">
        <f t="shared" si="19"/>
        <v>64.192505715883058</v>
      </c>
      <c r="F106" s="526">
        <f t="shared" si="20"/>
        <v>128.32785737360757</v>
      </c>
      <c r="G106" s="526">
        <f t="shared" si="21"/>
        <v>219.26910742568916</v>
      </c>
      <c r="H106" s="526">
        <f t="shared" si="22"/>
        <v>329.06702866855903</v>
      </c>
      <c r="I106" s="526">
        <f t="shared" si="23"/>
        <v>339.82106308202208</v>
      </c>
      <c r="J106" s="526">
        <f t="shared" si="24"/>
        <v>350.5526289718361</v>
      </c>
      <c r="K106" s="526">
        <f t="shared" si="25"/>
        <v>379.59455036209306</v>
      </c>
      <c r="L106" s="526">
        <f t="shared" si="26"/>
        <v>381.09761754508685</v>
      </c>
    </row>
    <row r="107" spans="1:14" ht="16.5">
      <c r="A107" s="527" t="s">
        <v>184</v>
      </c>
      <c r="B107" s="546">
        <v>4.7514783522231967E-3</v>
      </c>
      <c r="C107" s="475"/>
      <c r="D107" s="475"/>
      <c r="E107" s="526">
        <f t="shared" si="19"/>
        <v>84.583911429556153</v>
      </c>
      <c r="F107" s="526">
        <f t="shared" si="20"/>
        <v>169.09251323006436</v>
      </c>
      <c r="G107" s="526">
        <f t="shared" si="21"/>
        <v>288.92218110039221</v>
      </c>
      <c r="H107" s="526">
        <f t="shared" si="22"/>
        <v>433.59853454671645</v>
      </c>
      <c r="I107" s="526">
        <f t="shared" si="23"/>
        <v>447.76869793564452</v>
      </c>
      <c r="J107" s="526">
        <f t="shared" si="24"/>
        <v>461.9092554446791</v>
      </c>
      <c r="K107" s="526">
        <f t="shared" si="25"/>
        <v>500.17664007506005</v>
      </c>
      <c r="L107" s="526">
        <f t="shared" si="26"/>
        <v>502.15717191536118</v>
      </c>
    </row>
    <row r="108" spans="1:14" ht="16.5">
      <c r="A108" s="527" t="s">
        <v>185</v>
      </c>
      <c r="B108" s="546">
        <v>2.5759369631156898E-2</v>
      </c>
      <c r="C108" s="475"/>
      <c r="D108" s="475"/>
      <c r="E108" s="526">
        <f t="shared" si="19"/>
        <v>458.557964037342</v>
      </c>
      <c r="F108" s="526">
        <f t="shared" si="20"/>
        <v>916.70764912913774</v>
      </c>
      <c r="G108" s="526">
        <f t="shared" si="21"/>
        <v>1566.3447680705024</v>
      </c>
      <c r="H108" s="526">
        <f t="shared" si="22"/>
        <v>2350.6841650011497</v>
      </c>
      <c r="I108" s="526">
        <f t="shared" si="23"/>
        <v>2427.5054087091203</v>
      </c>
      <c r="J108" s="526">
        <f t="shared" si="24"/>
        <v>2504.1661489386156</v>
      </c>
      <c r="K108" s="526">
        <f t="shared" si="25"/>
        <v>2711.6265712407417</v>
      </c>
      <c r="L108" s="526">
        <f t="shared" si="26"/>
        <v>2722.3637035517249</v>
      </c>
    </row>
    <row r="109" spans="1:14" ht="16.5">
      <c r="A109" s="527" t="s">
        <v>186</v>
      </c>
      <c r="B109" s="546">
        <v>3.841317848053956E-4</v>
      </c>
      <c r="C109" s="475"/>
      <c r="D109" s="475"/>
      <c r="E109" s="526">
        <f t="shared" si="19"/>
        <v>6.838159927226509</v>
      </c>
      <c r="F109" s="526">
        <f t="shared" si="20"/>
        <v>13.670231470991123</v>
      </c>
      <c r="G109" s="526">
        <f t="shared" si="21"/>
        <v>23.35782358011425</v>
      </c>
      <c r="H109" s="526">
        <f t="shared" si="22"/>
        <v>35.054138231841449</v>
      </c>
      <c r="I109" s="526">
        <f t="shared" si="23"/>
        <v>36.199720669573942</v>
      </c>
      <c r="J109" s="526">
        <f t="shared" si="24"/>
        <v>37.34290962918422</v>
      </c>
      <c r="K109" s="526">
        <f t="shared" si="25"/>
        <v>40.436624399246227</v>
      </c>
      <c r="L109" s="526">
        <f t="shared" si="26"/>
        <v>40.5967398778999</v>
      </c>
    </row>
    <row r="110" spans="1:14" ht="16.5">
      <c r="A110" s="527" t="s">
        <v>187</v>
      </c>
      <c r="B110" s="546">
        <v>1.8931071193092352E-3</v>
      </c>
      <c r="C110" s="475"/>
      <c r="D110" s="475"/>
      <c r="E110" s="526">
        <f t="shared" si="19"/>
        <v>33.700333461772395</v>
      </c>
      <c r="F110" s="526">
        <f t="shared" si="20"/>
        <v>67.370661694785497</v>
      </c>
      <c r="G110" s="526">
        <f t="shared" si="21"/>
        <v>115.11378089549414</v>
      </c>
      <c r="H110" s="526">
        <f t="shared" si="22"/>
        <v>172.75643743349241</v>
      </c>
      <c r="I110" s="526">
        <f t="shared" si="23"/>
        <v>178.40218286360746</v>
      </c>
      <c r="J110" s="526">
        <f t="shared" si="24"/>
        <v>184.03613257503352</v>
      </c>
      <c r="K110" s="526">
        <f t="shared" si="25"/>
        <v>199.2828101163976</v>
      </c>
      <c r="L110" s="526">
        <f t="shared" si="26"/>
        <v>200.07190324677848</v>
      </c>
    </row>
    <row r="111" spans="1:14" ht="16.5">
      <c r="A111" s="527" t="s">
        <v>188</v>
      </c>
      <c r="B111" s="546">
        <v>2.6178635107239487E-2</v>
      </c>
      <c r="C111" s="475"/>
      <c r="D111" s="475"/>
      <c r="E111" s="526">
        <f t="shared" si="19"/>
        <v>466.02155984176096</v>
      </c>
      <c r="F111" s="526">
        <f t="shared" si="20"/>
        <v>931.6281954951404</v>
      </c>
      <c r="G111" s="526">
        <f t="shared" si="21"/>
        <v>1591.838958894964</v>
      </c>
      <c r="H111" s="526">
        <f t="shared" si="22"/>
        <v>2388.9444458104649</v>
      </c>
      <c r="I111" s="526">
        <f t="shared" si="23"/>
        <v>2467.0160499029348</v>
      </c>
      <c r="J111" s="526">
        <f t="shared" si="24"/>
        <v>2544.9245381250785</v>
      </c>
      <c r="K111" s="526">
        <f t="shared" si="25"/>
        <v>2755.761634389738</v>
      </c>
      <c r="L111" s="526">
        <f t="shared" si="26"/>
        <v>2766.6735267571426</v>
      </c>
    </row>
    <row r="112" spans="1:14" ht="16.5">
      <c r="A112" s="527" t="s">
        <v>189</v>
      </c>
      <c r="B112" s="546">
        <v>1.2118424853043762E-3</v>
      </c>
      <c r="C112" s="475"/>
      <c r="D112" s="475"/>
      <c r="E112" s="526">
        <f t="shared" si="19"/>
        <v>21.572733756768173</v>
      </c>
      <c r="F112" s="526">
        <f t="shared" si="20"/>
        <v>43.126260142426226</v>
      </c>
      <c r="G112" s="526">
        <f t="shared" si="21"/>
        <v>73.68826037909588</v>
      </c>
      <c r="H112" s="526">
        <f t="shared" si="22"/>
        <v>110.58729237050422</v>
      </c>
      <c r="I112" s="526">
        <f t="shared" si="23"/>
        <v>114.20132672896298</v>
      </c>
      <c r="J112" s="526">
        <f t="shared" si="24"/>
        <v>117.8078102452606</v>
      </c>
      <c r="K112" s="526">
        <f t="shared" si="25"/>
        <v>127.56772896084964</v>
      </c>
      <c r="L112" s="526">
        <f t="shared" si="26"/>
        <v>128.07285440805956</v>
      </c>
    </row>
    <row r="113" spans="1:12" ht="16.5">
      <c r="A113" s="527" t="s">
        <v>304</v>
      </c>
      <c r="B113" s="546">
        <v>6.3122932297454016E-3</v>
      </c>
      <c r="C113" s="475"/>
      <c r="D113" s="475"/>
      <c r="E113" s="526">
        <f t="shared" si="19"/>
        <v>112.36891171194199</v>
      </c>
      <c r="F113" s="526">
        <f t="shared" si="20"/>
        <v>224.63777530699596</v>
      </c>
      <c r="G113" s="526">
        <f t="shared" si="21"/>
        <v>383.83033500088453</v>
      </c>
      <c r="H113" s="526">
        <f t="shared" si="22"/>
        <v>576.03147718564992</v>
      </c>
      <c r="I113" s="526">
        <f t="shared" si="23"/>
        <v>594.85640277590653</v>
      </c>
      <c r="J113" s="526">
        <f t="shared" si="24"/>
        <v>613.64199723985701</v>
      </c>
      <c r="K113" s="526">
        <f t="shared" si="25"/>
        <v>664.47984917059227</v>
      </c>
      <c r="L113" s="526">
        <f t="shared" si="26"/>
        <v>667.11096664605725</v>
      </c>
    </row>
    <row r="114" spans="1:12" ht="16.5">
      <c r="A114" s="527" t="s">
        <v>191</v>
      </c>
      <c r="B114" s="546">
        <v>9.4537900977066155E-3</v>
      </c>
      <c r="C114" s="475"/>
      <c r="D114" s="475"/>
      <c r="E114" s="526">
        <f t="shared" si="19"/>
        <v>168.29257865057596</v>
      </c>
      <c r="F114" s="526">
        <f t="shared" si="20"/>
        <v>336.43531732029152</v>
      </c>
      <c r="G114" s="526">
        <f t="shared" si="21"/>
        <v>574.85469831019429</v>
      </c>
      <c r="H114" s="526">
        <f t="shared" si="22"/>
        <v>862.71034579371974</v>
      </c>
      <c r="I114" s="526">
        <f t="shared" si="23"/>
        <v>890.90404476457854</v>
      </c>
      <c r="J114" s="526">
        <f t="shared" si="24"/>
        <v>919.03883832675751</v>
      </c>
      <c r="K114" s="526">
        <f t="shared" si="25"/>
        <v>995.17763031232016</v>
      </c>
      <c r="L114" s="526">
        <f t="shared" si="26"/>
        <v>999.11820015439275</v>
      </c>
    </row>
    <row r="115" spans="1:12" ht="16.5">
      <c r="A115" s="527" t="s">
        <v>194</v>
      </c>
      <c r="B115" s="546">
        <v>1.8649384831425878E-3</v>
      </c>
      <c r="C115" s="475"/>
      <c r="D115" s="475"/>
      <c r="E115" s="526">
        <f t="shared" si="19"/>
        <v>33.198886701419106</v>
      </c>
      <c r="F115" s="526">
        <f t="shared" si="20"/>
        <v>66.368214639238445</v>
      </c>
      <c r="G115" s="526">
        <f t="shared" si="21"/>
        <v>113.40093634552726</v>
      </c>
      <c r="H115" s="526">
        <f t="shared" si="22"/>
        <v>170.18589444526157</v>
      </c>
      <c r="I115" s="526">
        <f t="shared" si="23"/>
        <v>175.74763356253342</v>
      </c>
      <c r="J115" s="526">
        <f t="shared" si="24"/>
        <v>181.29775247643954</v>
      </c>
      <c r="K115" s="526">
        <f t="shared" si="25"/>
        <v>196.31756588104543</v>
      </c>
      <c r="L115" s="526">
        <f t="shared" si="26"/>
        <v>197.09491763817562</v>
      </c>
    </row>
    <row r="116" spans="1:12" ht="16.5">
      <c r="A116" s="527" t="s">
        <v>195</v>
      </c>
      <c r="B116" s="546">
        <v>3.1260992129179307E-2</v>
      </c>
      <c r="C116" s="475"/>
      <c r="D116" s="475"/>
      <c r="E116" s="526">
        <f t="shared" si="19"/>
        <v>556.49564060780267</v>
      </c>
      <c r="F116" s="526">
        <f t="shared" si="20"/>
        <v>1112.4958030619864</v>
      </c>
      <c r="G116" s="526">
        <f t="shared" si="21"/>
        <v>1900.8808121999855</v>
      </c>
      <c r="H116" s="526">
        <f t="shared" si="22"/>
        <v>2852.7374789251412</v>
      </c>
      <c r="I116" s="526">
        <f t="shared" si="23"/>
        <v>2945.9660139900643</v>
      </c>
      <c r="J116" s="526">
        <f t="shared" si="24"/>
        <v>3038.9997656402861</v>
      </c>
      <c r="K116" s="526">
        <f t="shared" si="25"/>
        <v>3290.7690721709332</v>
      </c>
      <c r="L116" s="526">
        <f t="shared" si="26"/>
        <v>3303.799414662607</v>
      </c>
    </row>
    <row r="117" spans="1:12" ht="16.5">
      <c r="A117" s="527" t="s">
        <v>196</v>
      </c>
      <c r="B117" s="546">
        <v>5.9270023158422724E-2</v>
      </c>
      <c r="C117" s="475"/>
      <c r="D117" s="475"/>
      <c r="E117" s="526">
        <f t="shared" si="19"/>
        <v>1055.1011743353672</v>
      </c>
      <c r="F117" s="526">
        <f t="shared" si="20"/>
        <v>2109.2629350552565</v>
      </c>
      <c r="G117" s="526">
        <f t="shared" si="21"/>
        <v>3604.0202849266489</v>
      </c>
      <c r="H117" s="526">
        <f t="shared" si="22"/>
        <v>5408.7156204799712</v>
      </c>
      <c r="I117" s="526">
        <f t="shared" si="23"/>
        <v>5585.4744837140697</v>
      </c>
      <c r="J117" s="526">
        <f t="shared" si="24"/>
        <v>5761.8640426902439</v>
      </c>
      <c r="K117" s="526">
        <f t="shared" si="25"/>
        <v>6239.2120605326718</v>
      </c>
      <c r="L117" s="526">
        <f t="shared" si="26"/>
        <v>6263.9172489685443</v>
      </c>
    </row>
    <row r="118" spans="1:12" ht="16.5">
      <c r="A118" s="527" t="s">
        <v>197</v>
      </c>
      <c r="B118" s="546">
        <v>2.3079776713183811E-5</v>
      </c>
      <c r="C118" s="475"/>
      <c r="D118" s="475"/>
      <c r="E118" s="526">
        <f t="shared" si="19"/>
        <v>0.41085692590990264</v>
      </c>
      <c r="F118" s="526">
        <f t="shared" si="20"/>
        <v>0.8213480436872761</v>
      </c>
      <c r="G118" s="526">
        <f t="shared" si="21"/>
        <v>1.4034073046261606</v>
      </c>
      <c r="H118" s="526">
        <f t="shared" si="22"/>
        <v>2.106156572473814</v>
      </c>
      <c r="I118" s="526">
        <f t="shared" si="23"/>
        <v>2.1749865623763815</v>
      </c>
      <c r="J118" s="526">
        <f t="shared" si="24"/>
        <v>2.2436727450158855</v>
      </c>
      <c r="K118" s="526">
        <f t="shared" si="25"/>
        <v>2.4295523023232377</v>
      </c>
      <c r="L118" s="526">
        <f t="shared" si="26"/>
        <v>2.4391725150778876</v>
      </c>
    </row>
    <row r="119" spans="1:12" ht="16.5">
      <c r="A119" s="527" t="s">
        <v>198</v>
      </c>
      <c r="B119" s="546">
        <v>3.0169740192135799E-3</v>
      </c>
      <c r="C119" s="475"/>
      <c r="D119" s="475"/>
      <c r="E119" s="526">
        <f t="shared" si="19"/>
        <v>53.706961141269296</v>
      </c>
      <c r="F119" s="526">
        <f t="shared" si="20"/>
        <v>107.36610407157526</v>
      </c>
      <c r="G119" s="526">
        <f t="shared" si="21"/>
        <v>183.45252768468427</v>
      </c>
      <c r="H119" s="526">
        <f t="shared" si="22"/>
        <v>275.31547373765159</v>
      </c>
      <c r="I119" s="526">
        <f t="shared" si="23"/>
        <v>284.31288709478162</v>
      </c>
      <c r="J119" s="526">
        <f t="shared" si="24"/>
        <v>293.29150205616338</v>
      </c>
      <c r="K119" s="526">
        <f t="shared" si="25"/>
        <v>317.58956187139819</v>
      </c>
      <c r="L119" s="526">
        <f t="shared" si="26"/>
        <v>318.84711008344425</v>
      </c>
    </row>
    <row r="120" spans="1:12" ht="16.5">
      <c r="A120" s="527" t="s">
        <v>199</v>
      </c>
      <c r="B120" s="546">
        <v>0.17211656099401565</v>
      </c>
      <c r="C120" s="475"/>
      <c r="D120" s="475"/>
      <c r="E120" s="526">
        <f t="shared" si="19"/>
        <v>3063.9499691429419</v>
      </c>
      <c r="F120" s="526">
        <f t="shared" si="20"/>
        <v>6125.1719379877431</v>
      </c>
      <c r="G120" s="526">
        <f t="shared" si="21"/>
        <v>10465.856838560998</v>
      </c>
      <c r="H120" s="526">
        <f t="shared" si="22"/>
        <v>15706.582896101569</v>
      </c>
      <c r="I120" s="526">
        <f t="shared" si="23"/>
        <v>16219.879939764714</v>
      </c>
      <c r="J120" s="526">
        <f t="shared" si="24"/>
        <v>16732.104546208382</v>
      </c>
      <c r="K120" s="526">
        <f t="shared" si="25"/>
        <v>18118.294307071894</v>
      </c>
      <c r="L120" s="526">
        <f t="shared" si="26"/>
        <v>18190.036679450015</v>
      </c>
    </row>
    <row r="121" spans="1:12" ht="16.5">
      <c r="A121" s="527" t="s">
        <v>200</v>
      </c>
      <c r="B121" s="546">
        <v>1.6866536333608354E-2</v>
      </c>
      <c r="C121" s="475"/>
      <c r="D121" s="475"/>
      <c r="E121" s="526">
        <f t="shared" si="19"/>
        <v>300.25131329869203</v>
      </c>
      <c r="F121" s="526">
        <f t="shared" si="20"/>
        <v>600.23529662122746</v>
      </c>
      <c r="G121" s="526">
        <f t="shared" si="21"/>
        <v>1025.6000562088275</v>
      </c>
      <c r="H121" s="526">
        <f t="shared" si="22"/>
        <v>1539.1642126938589</v>
      </c>
      <c r="I121" s="526">
        <f t="shared" si="23"/>
        <v>1589.464678766843</v>
      </c>
      <c r="J121" s="526">
        <f t="shared" si="24"/>
        <v>1639.6600515168875</v>
      </c>
      <c r="K121" s="526">
        <f t="shared" si="25"/>
        <v>1775.499507243017</v>
      </c>
      <c r="L121" s="526">
        <f t="shared" si="26"/>
        <v>1782.5298901613519</v>
      </c>
    </row>
    <row r="122" spans="1:12" ht="16.5">
      <c r="A122" s="527" t="s">
        <v>201</v>
      </c>
      <c r="B122" s="546">
        <v>3.1861914466964336E-4</v>
      </c>
      <c r="C122" s="475"/>
      <c r="D122" s="475"/>
      <c r="E122" s="526">
        <f t="shared" si="19"/>
        <v>5.6719301898720085</v>
      </c>
      <c r="F122" s="526">
        <f t="shared" si="20"/>
        <v>11.338810353664991</v>
      </c>
      <c r="G122" s="526">
        <f t="shared" si="21"/>
        <v>19.374209749944896</v>
      </c>
      <c r="H122" s="526">
        <f t="shared" si="22"/>
        <v>29.075749475454202</v>
      </c>
      <c r="I122" s="526">
        <f t="shared" si="23"/>
        <v>30.02595591734967</v>
      </c>
      <c r="J122" s="526">
        <f t="shared" si="24"/>
        <v>30.97417708236296</v>
      </c>
      <c r="K122" s="526">
        <f t="shared" si="25"/>
        <v>33.540267140201763</v>
      </c>
      <c r="L122" s="526">
        <f t="shared" si="26"/>
        <v>33.673075355702203</v>
      </c>
    </row>
    <row r="123" spans="1:12" ht="16.5">
      <c r="A123" s="527" t="s">
        <v>202</v>
      </c>
      <c r="B123" s="546">
        <v>2.0047022089402422E-4</v>
      </c>
      <c r="C123" s="475"/>
      <c r="D123" s="475"/>
      <c r="E123" s="526">
        <f t="shared" si="19"/>
        <v>3.5686904477697561</v>
      </c>
      <c r="F123" s="526">
        <f t="shared" si="20"/>
        <v>7.134203497506407</v>
      </c>
      <c r="G123" s="526">
        <f t="shared" si="21"/>
        <v>12.18995208918046</v>
      </c>
      <c r="H123" s="526">
        <f t="shared" si="22"/>
        <v>18.294010317701282</v>
      </c>
      <c r="I123" s="526">
        <f t="shared" si="23"/>
        <v>18.891865463848305</v>
      </c>
      <c r="J123" s="526">
        <f t="shared" si="24"/>
        <v>19.488471504592326</v>
      </c>
      <c r="K123" s="526">
        <f t="shared" si="25"/>
        <v>21.103015543564872</v>
      </c>
      <c r="L123" s="526">
        <f t="shared" si="26"/>
        <v>21.186576411589673</v>
      </c>
    </row>
    <row r="124" spans="1:12" ht="16.5">
      <c r="A124" s="527" t="s">
        <v>203</v>
      </c>
      <c r="B124" s="546">
        <v>4.7056015132109106E-3</v>
      </c>
      <c r="C124" s="475"/>
      <c r="D124" s="475"/>
      <c r="E124" s="526">
        <f t="shared" si="19"/>
        <v>83.767230346316552</v>
      </c>
      <c r="F124" s="526">
        <f t="shared" si="20"/>
        <v>167.45987819890422</v>
      </c>
      <c r="G124" s="526">
        <f t="shared" si="21"/>
        <v>286.13255744921435</v>
      </c>
      <c r="H124" s="526">
        <f t="shared" si="22"/>
        <v>429.4120206470887</v>
      </c>
      <c r="I124" s="526">
        <f t="shared" si="23"/>
        <v>443.44536718526388</v>
      </c>
      <c r="J124" s="526">
        <f t="shared" si="24"/>
        <v>457.4493936965128</v>
      </c>
      <c r="K124" s="526">
        <f t="shared" si="25"/>
        <v>495.34729613335963</v>
      </c>
      <c r="L124" s="526">
        <f t="shared" si="26"/>
        <v>497.30870539040126</v>
      </c>
    </row>
    <row r="125" spans="1:12" ht="16.5">
      <c r="A125" s="527" t="s">
        <v>204</v>
      </c>
      <c r="B125" s="546">
        <v>5.4975102883630483E-5</v>
      </c>
      <c r="C125" s="475"/>
      <c r="D125" s="475"/>
      <c r="E125" s="526">
        <f t="shared" si="19"/>
        <v>0.97864472663839841</v>
      </c>
      <c r="F125" s="526">
        <f t="shared" si="20"/>
        <v>1.9564181129700262</v>
      </c>
      <c r="G125" s="526">
        <f t="shared" si="21"/>
        <v>3.3428599383021802</v>
      </c>
      <c r="H125" s="526">
        <f t="shared" si="22"/>
        <v>5.016780521738851</v>
      </c>
      <c r="I125" s="526">
        <f t="shared" si="23"/>
        <v>5.1807307983553228</v>
      </c>
      <c r="J125" s="526">
        <f t="shared" si="24"/>
        <v>5.3443385318362804</v>
      </c>
      <c r="K125" s="526">
        <f t="shared" si="25"/>
        <v>5.7870961856006744</v>
      </c>
      <c r="L125" s="526">
        <f t="shared" si="26"/>
        <v>5.8100111467167057</v>
      </c>
    </row>
    <row r="126" spans="1:12" ht="17.25" thickBot="1">
      <c r="A126" s="530"/>
      <c r="B126" s="545"/>
      <c r="C126" s="475"/>
      <c r="D126" s="475"/>
      <c r="E126" s="526"/>
      <c r="F126" s="526"/>
      <c r="G126" s="526"/>
      <c r="H126" s="526"/>
      <c r="I126" s="526"/>
      <c r="J126" s="526"/>
      <c r="K126" s="526"/>
      <c r="L126" s="526"/>
    </row>
    <row r="127" spans="1:12" ht="17.25" thickBot="1">
      <c r="A127" s="532" t="s">
        <v>293</v>
      </c>
      <c r="B127" s="533"/>
      <c r="C127" s="533"/>
      <c r="D127" s="533"/>
      <c r="E127" s="534">
        <f>SUM(E103:E126)</f>
        <v>6907.2808859556462</v>
      </c>
      <c r="F127" s="534">
        <f t="shared" ref="F127:K127" si="27">SUM(F103:F126)</f>
        <v>13808.411846323081</v>
      </c>
      <c r="G127" s="534">
        <f t="shared" si="27"/>
        <v>23593.927323937965</v>
      </c>
      <c r="H127" s="534">
        <f t="shared" si="27"/>
        <v>35408.469757835948</v>
      </c>
      <c r="I127" s="534">
        <f>SUM(I103:I126)</f>
        <v>36565.631883268339</v>
      </c>
      <c r="J127" s="534">
        <f t="shared" si="27"/>
        <v>37720.376337008296</v>
      </c>
      <c r="K127" s="534">
        <f t="shared" si="27"/>
        <v>40845.362755176953</v>
      </c>
      <c r="L127" s="534">
        <f>SUM(L102:L126)</f>
        <v>41007.096700714937</v>
      </c>
    </row>
    <row r="128" spans="1:12" ht="16.5">
      <c r="A128" s="474"/>
      <c r="B128" s="474"/>
      <c r="C128" s="474"/>
      <c r="D128" s="474"/>
      <c r="E128" s="588"/>
      <c r="F128" s="588"/>
      <c r="G128" s="588"/>
      <c r="H128" s="588"/>
      <c r="I128" s="588"/>
      <c r="J128" s="588"/>
      <c r="K128" s="588"/>
      <c r="L128" s="588"/>
    </row>
    <row r="129" spans="1:20" ht="17.25" thickBot="1">
      <c r="A129" s="547" t="s">
        <v>275</v>
      </c>
      <c r="B129" s="548"/>
      <c r="C129" s="548"/>
      <c r="D129" s="548"/>
      <c r="E129" s="589">
        <f>+E75+E127+E99</f>
        <v>46495.701176451483</v>
      </c>
      <c r="F129" s="589">
        <f t="shared" ref="F129:L129" si="28">+F75+F127+F99</f>
        <v>64281.450270934249</v>
      </c>
      <c r="G129" s="589">
        <f t="shared" si="28"/>
        <v>89500.899669090519</v>
      </c>
      <c r="H129" s="589">
        <f t="shared" si="28"/>
        <v>119949.60272981915</v>
      </c>
      <c r="I129" s="589">
        <f t="shared" si="28"/>
        <v>122931.86684605949</v>
      </c>
      <c r="J129" s="589">
        <f t="shared" si="28"/>
        <v>125907.90008472896</v>
      </c>
      <c r="K129" s="589">
        <f t="shared" si="28"/>
        <v>133961.68498989975</v>
      </c>
      <c r="L129" s="589">
        <f t="shared" si="28"/>
        <v>134378.50933244871</v>
      </c>
    </row>
    <row r="130" spans="1:20" ht="17.25" thickTop="1">
      <c r="A130" s="474"/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</row>
    <row r="132" spans="1:20" ht="15.75">
      <c r="A132" s="5" t="s">
        <v>16</v>
      </c>
    </row>
    <row r="133" spans="1:20" ht="15.75">
      <c r="A133" s="5" t="s">
        <v>17</v>
      </c>
    </row>
    <row r="134" spans="1:20" ht="15.75">
      <c r="A134" s="5" t="s">
        <v>294</v>
      </c>
    </row>
    <row r="135" spans="1:20" ht="16.5" thickBot="1">
      <c r="A135" s="5"/>
      <c r="G135" s="72"/>
    </row>
    <row r="136" spans="1:20" ht="17.25" thickBot="1">
      <c r="A136" s="474"/>
      <c r="B136" s="623" t="s">
        <v>295</v>
      </c>
      <c r="C136" s="624"/>
      <c r="D136" s="624"/>
      <c r="E136" s="624"/>
      <c r="F136" s="624"/>
      <c r="G136" s="625"/>
      <c r="H136" s="623" t="s">
        <v>296</v>
      </c>
      <c r="I136" s="624"/>
      <c r="J136" s="624"/>
      <c r="K136" s="625"/>
      <c r="L136" s="474"/>
      <c r="M136" s="474"/>
      <c r="N136" s="474"/>
      <c r="O136" s="474"/>
    </row>
    <row r="137" spans="1:20" ht="49.5">
      <c r="A137" s="549" t="s">
        <v>19</v>
      </c>
      <c r="B137" s="549" t="s">
        <v>297</v>
      </c>
      <c r="C137" s="550"/>
      <c r="D137" s="550"/>
      <c r="E137" s="551" t="s">
        <v>274</v>
      </c>
      <c r="F137" s="551" t="s">
        <v>273</v>
      </c>
      <c r="G137" s="552" t="s">
        <v>298</v>
      </c>
      <c r="H137" s="549" t="s">
        <v>297</v>
      </c>
      <c r="I137" s="551" t="s">
        <v>27</v>
      </c>
      <c r="J137" s="551" t="s">
        <v>273</v>
      </c>
      <c r="K137" s="552" t="s">
        <v>298</v>
      </c>
      <c r="L137" s="553" t="s">
        <v>299</v>
      </c>
      <c r="M137" s="554" t="s">
        <v>300</v>
      </c>
      <c r="N137" s="554" t="s">
        <v>302</v>
      </c>
      <c r="O137" s="553" t="s">
        <v>301</v>
      </c>
    </row>
    <row r="138" spans="1:20" ht="17.25" thickBot="1">
      <c r="A138" s="555">
        <v>2007</v>
      </c>
      <c r="B138" s="556"/>
      <c r="C138" s="557"/>
      <c r="D138" s="557"/>
      <c r="E138" s="558"/>
      <c r="F138" s="558"/>
      <c r="G138" s="559"/>
      <c r="H138" s="556"/>
      <c r="I138" s="558"/>
      <c r="J138" s="558"/>
      <c r="K138" s="559">
        <f>+H138+I138-J138</f>
        <v>0</v>
      </c>
      <c r="L138" s="560">
        <f>+G138+K138</f>
        <v>0</v>
      </c>
      <c r="M138" s="561"/>
      <c r="N138" s="561"/>
      <c r="O138" s="560"/>
    </row>
    <row r="139" spans="1:20" ht="15" customHeight="1" thickBot="1">
      <c r="A139" s="562">
        <v>2008</v>
      </c>
      <c r="B139" s="563"/>
      <c r="C139" s="564"/>
      <c r="D139" s="564"/>
      <c r="E139" s="565"/>
      <c r="F139" s="565"/>
      <c r="G139" s="559">
        <f>+B139+E139-F139</f>
        <v>0</v>
      </c>
      <c r="H139" s="563"/>
      <c r="I139" s="565"/>
      <c r="J139" s="565"/>
      <c r="K139" s="559">
        <f t="shared" ref="K139:K147" si="29">+H139+I139-J139</f>
        <v>0</v>
      </c>
      <c r="L139" s="560">
        <f t="shared" ref="L139:L148" si="30">+G139+K139</f>
        <v>0</v>
      </c>
      <c r="M139" s="566">
        <f>+K139</f>
        <v>0</v>
      </c>
      <c r="N139" s="567">
        <f>-('PG08 (2)'!$D$53+'PG08 (2)'!$D$83)</f>
        <v>34.462818423383524</v>
      </c>
      <c r="O139" s="568">
        <f t="shared" ref="O139:O146" si="31">+M139*N139</f>
        <v>0</v>
      </c>
      <c r="R139" s="620" t="s">
        <v>438</v>
      </c>
      <c r="S139" s="621"/>
      <c r="T139" s="622"/>
    </row>
    <row r="140" spans="1:20" ht="18.75" thickBot="1">
      <c r="A140" s="555">
        <v>2009</v>
      </c>
      <c r="B140" s="569"/>
      <c r="C140" s="570"/>
      <c r="D140" s="570"/>
      <c r="E140" s="571">
        <v>2650</v>
      </c>
      <c r="F140" s="571"/>
      <c r="G140" s="572">
        <v>10535</v>
      </c>
      <c r="H140" s="569">
        <f>+K139</f>
        <v>0</v>
      </c>
      <c r="I140" s="571"/>
      <c r="J140" s="571"/>
      <c r="K140" s="572">
        <f t="shared" si="29"/>
        <v>0</v>
      </c>
      <c r="L140" s="560">
        <f t="shared" si="30"/>
        <v>10535</v>
      </c>
      <c r="M140" s="566">
        <f>L140-G140</f>
        <v>0</v>
      </c>
      <c r="N140" s="567">
        <f>-('PG08 (2)'!$D$53+'PG08 (2)'!$D$83)</f>
        <v>34.462818423383524</v>
      </c>
      <c r="O140" s="568">
        <f t="shared" si="31"/>
        <v>0</v>
      </c>
      <c r="R140" s="590" t="s">
        <v>437</v>
      </c>
      <c r="S140" s="591" t="s">
        <v>436</v>
      </c>
      <c r="T140" s="592" t="s">
        <v>435</v>
      </c>
    </row>
    <row r="141" spans="1:20" ht="18">
      <c r="A141" s="573">
        <v>2010</v>
      </c>
      <c r="B141" s="574">
        <f t="shared" ref="B141:B146" si="32">+G140</f>
        <v>10535</v>
      </c>
      <c r="C141" s="575"/>
      <c r="D141" s="575"/>
      <c r="E141" s="571">
        <v>2396.4431758096493</v>
      </c>
      <c r="F141" s="576">
        <v>2200</v>
      </c>
      <c r="G141" s="577">
        <f t="shared" ref="G141:G147" si="33">B141+E141-F141</f>
        <v>10731.443175809649</v>
      </c>
      <c r="H141" s="574">
        <f>B141-'2010'!C131</f>
        <v>0</v>
      </c>
      <c r="I141" s="571">
        <f>'Inf w Inv'!I10-'ANEXO MANT'!E141</f>
        <v>516.74506609385344</v>
      </c>
      <c r="J141" s="576">
        <f>'2010'!J131-'ANEXO MANT'!F141</f>
        <v>0.1999999999998181</v>
      </c>
      <c r="K141" s="577">
        <f t="shared" si="29"/>
        <v>516.54506609385362</v>
      </c>
      <c r="L141" s="578">
        <f t="shared" si="30"/>
        <v>11247.988241903502</v>
      </c>
      <c r="M141" s="566">
        <f t="shared" ref="M141:M148" si="34">L141-G141</f>
        <v>516.54506609385317</v>
      </c>
      <c r="N141" s="567">
        <f>-('PG08 (2)'!$D$53+'PG08 (2)'!$D$83)</f>
        <v>34.462818423383524</v>
      </c>
      <c r="O141" s="579">
        <f t="shared" si="31"/>
        <v>17801.598820287101</v>
      </c>
      <c r="R141" s="593">
        <f>M141*10*365</f>
        <v>1885389.4912425641</v>
      </c>
      <c r="S141" s="594">
        <f t="shared" ref="S141:S147" si="35">R141/2200</f>
        <v>856.99522329207457</v>
      </c>
      <c r="T141" s="595">
        <f t="shared" ref="T141:T147" si="36">S141*35</f>
        <v>29994.832815222609</v>
      </c>
    </row>
    <row r="142" spans="1:20" ht="18">
      <c r="A142" s="573">
        <v>2011</v>
      </c>
      <c r="B142" s="574">
        <f t="shared" si="32"/>
        <v>10731.443175809649</v>
      </c>
      <c r="C142" s="575"/>
      <c r="D142" s="575"/>
      <c r="E142" s="576">
        <v>2395.7450999999996</v>
      </c>
      <c r="F142" s="576">
        <v>2200</v>
      </c>
      <c r="G142" s="577">
        <f t="shared" si="33"/>
        <v>10927.188275809649</v>
      </c>
      <c r="H142" s="574">
        <f>-B142+'2011'!C131</f>
        <v>517.35682419035038</v>
      </c>
      <c r="I142" s="571">
        <f>'Inf w Inv'!I11-'ANEXO MANT'!E142</f>
        <v>515.27340000000049</v>
      </c>
      <c r="J142" s="576">
        <f>'2011'!J131-'ANEXO MANT'!F142</f>
        <v>0</v>
      </c>
      <c r="K142" s="577">
        <f t="shared" si="29"/>
        <v>1032.6302241903509</v>
      </c>
      <c r="L142" s="578">
        <f t="shared" si="30"/>
        <v>11959.818499999999</v>
      </c>
      <c r="M142" s="566">
        <f t="shared" si="34"/>
        <v>1032.6302241903504</v>
      </c>
      <c r="N142" s="567">
        <f>-('PG08 (2)'!$D$53+'PG08 (2)'!$D$83)</f>
        <v>34.462818423383524</v>
      </c>
      <c r="O142" s="579">
        <f t="shared" si="31"/>
        <v>35587.347914769867</v>
      </c>
      <c r="R142" s="593">
        <f t="shared" ref="R142:R147" si="37">M142*10*365</f>
        <v>3769100.3182947789</v>
      </c>
      <c r="S142" s="594">
        <f t="shared" si="35"/>
        <v>1713.2274174067177</v>
      </c>
      <c r="T142" s="595">
        <f t="shared" si="36"/>
        <v>59962.95960923512</v>
      </c>
    </row>
    <row r="143" spans="1:20" ht="18">
      <c r="A143" s="573">
        <v>2012</v>
      </c>
      <c r="B143" s="574">
        <f t="shared" si="32"/>
        <v>10927.188275809649</v>
      </c>
      <c r="C143" s="575"/>
      <c r="D143" s="575"/>
      <c r="E143" s="576">
        <v>2395.7450999999996</v>
      </c>
      <c r="F143" s="576">
        <v>2396</v>
      </c>
      <c r="G143" s="577">
        <f t="shared" si="33"/>
        <v>10926.933375809649</v>
      </c>
      <c r="H143" s="574">
        <f>'2012 '!C131-'ANEXO MANT'!B143</f>
        <v>1033.7117241903507</v>
      </c>
      <c r="I143" s="571">
        <f>'Inf w Inv'!I12-'ANEXO MANT'!E143</f>
        <v>1134.7057000000004</v>
      </c>
      <c r="J143" s="576">
        <f>'2012 '!J131-'ANEXO MANT'!F143</f>
        <v>404</v>
      </c>
      <c r="K143" s="577">
        <f t="shared" si="29"/>
        <v>1764.4174241903511</v>
      </c>
      <c r="L143" s="578">
        <f t="shared" si="30"/>
        <v>12691.3508</v>
      </c>
      <c r="M143" s="566">
        <f t="shared" si="34"/>
        <v>1764.4174241903511</v>
      </c>
      <c r="N143" s="567">
        <f>-('PG08 (2)'!$D$53+'PG08 (2)'!$D$83)</f>
        <v>34.462818423383524</v>
      </c>
      <c r="O143" s="579">
        <f t="shared" si="31"/>
        <v>60806.797312926137</v>
      </c>
      <c r="R143" s="593">
        <f t="shared" si="37"/>
        <v>6440123.5982947815</v>
      </c>
      <c r="S143" s="594">
        <f t="shared" si="35"/>
        <v>2927.3289083158097</v>
      </c>
      <c r="T143" s="595">
        <f t="shared" si="36"/>
        <v>102456.51179105334</v>
      </c>
    </row>
    <row r="144" spans="1:20" ht="18">
      <c r="A144" s="573">
        <v>2013</v>
      </c>
      <c r="B144" s="574">
        <f t="shared" si="32"/>
        <v>10926.933375809649</v>
      </c>
      <c r="C144" s="575"/>
      <c r="D144" s="575"/>
      <c r="E144" s="576">
        <v>2395.7450999999996</v>
      </c>
      <c r="F144" s="576">
        <v>2396</v>
      </c>
      <c r="G144" s="577">
        <f t="shared" si="33"/>
        <v>10926.678475809649</v>
      </c>
      <c r="H144" s="574">
        <f>'2013'!C131-'ANEXO MANT'!B144</f>
        <v>1763.9666241903506</v>
      </c>
      <c r="I144" s="571">
        <f>'Inf w Inv'!I13-'ANEXO MANT'!E144</f>
        <v>1795.9741000000008</v>
      </c>
      <c r="J144" s="576">
        <f>'2013'!J131-'ANEXO MANT'!F144</f>
        <v>912</v>
      </c>
      <c r="K144" s="577">
        <f t="shared" si="29"/>
        <v>2647.9407241903514</v>
      </c>
      <c r="L144" s="578">
        <f t="shared" si="30"/>
        <v>13574.619200000001</v>
      </c>
      <c r="M144" s="566">
        <f t="shared" si="34"/>
        <v>2647.9407241903518</v>
      </c>
      <c r="N144" s="567">
        <f>-('PG08 (2)'!$D$53+'PG08 (2)'!$D$83)</f>
        <v>34.462818423383524</v>
      </c>
      <c r="O144" s="579">
        <f t="shared" si="31"/>
        <v>91255.500373654766</v>
      </c>
      <c r="R144" s="593">
        <f t="shared" si="37"/>
        <v>9664983.6432947833</v>
      </c>
      <c r="S144" s="594">
        <f t="shared" si="35"/>
        <v>4393.1743833158107</v>
      </c>
      <c r="T144" s="595">
        <f t="shared" si="36"/>
        <v>153761.10341605337</v>
      </c>
    </row>
    <row r="145" spans="1:20" ht="18">
      <c r="A145" s="573">
        <v>2014</v>
      </c>
      <c r="B145" s="574">
        <f t="shared" si="32"/>
        <v>10926.678475809649</v>
      </c>
      <c r="C145" s="575"/>
      <c r="D145" s="575"/>
      <c r="E145" s="576">
        <v>2395.7450999999996</v>
      </c>
      <c r="F145" s="576">
        <v>2396</v>
      </c>
      <c r="G145" s="577">
        <f t="shared" si="33"/>
        <v>10926.423575809649</v>
      </c>
      <c r="H145" s="574">
        <f>'2014'!C131-'ANEXO MANT'!B145</f>
        <v>2648.2215241903505</v>
      </c>
      <c r="I145" s="571">
        <f>'Inf w Inv'!I14-'ANEXO MANT'!E145</f>
        <v>1290.2549000000004</v>
      </c>
      <c r="J145" s="576">
        <f>'2014'!J131-'ANEXO MANT'!F145</f>
        <v>1204</v>
      </c>
      <c r="K145" s="577">
        <f t="shared" si="29"/>
        <v>2734.4764241903508</v>
      </c>
      <c r="L145" s="578">
        <f t="shared" si="30"/>
        <v>13660.9</v>
      </c>
      <c r="M145" s="566">
        <f t="shared" si="34"/>
        <v>2734.4764241903504</v>
      </c>
      <c r="N145" s="567">
        <f>-('PG08 (2)'!$D$53+'PG08 (2)'!$D$83)</f>
        <v>34.462818423383524</v>
      </c>
      <c r="O145" s="579">
        <f t="shared" si="31"/>
        <v>94237.764489895111</v>
      </c>
      <c r="R145" s="593">
        <f t="shared" si="37"/>
        <v>9980838.9482947793</v>
      </c>
      <c r="S145" s="594">
        <f t="shared" si="35"/>
        <v>4536.7449764976272</v>
      </c>
      <c r="T145" s="595">
        <f t="shared" si="36"/>
        <v>158786.07417741694</v>
      </c>
    </row>
    <row r="146" spans="1:20" ht="18">
      <c r="A146" s="573">
        <v>2015</v>
      </c>
      <c r="B146" s="574">
        <f t="shared" si="32"/>
        <v>10926.423575809649</v>
      </c>
      <c r="C146" s="575"/>
      <c r="D146" s="575"/>
      <c r="E146" s="576">
        <v>2395.7450999999996</v>
      </c>
      <c r="F146" s="576">
        <v>2396</v>
      </c>
      <c r="G146" s="577">
        <f t="shared" si="33"/>
        <v>10926.168675809649</v>
      </c>
      <c r="H146" s="574">
        <f>'2015'!C131-'ANEXO MANT'!B146</f>
        <v>2734.5764241903507</v>
      </c>
      <c r="I146" s="571">
        <f>'Inf w Inv'!I15-'ANEXO MANT'!E146</f>
        <v>1290.2549000000004</v>
      </c>
      <c r="J146" s="576">
        <f>'2015'!J131-'ANEXO MANT'!F146</f>
        <v>1204</v>
      </c>
      <c r="K146" s="577">
        <f t="shared" si="29"/>
        <v>2820.8313241903511</v>
      </c>
      <c r="L146" s="578">
        <f t="shared" si="30"/>
        <v>13747</v>
      </c>
      <c r="M146" s="566">
        <f t="shared" si="34"/>
        <v>2820.8313241903506</v>
      </c>
      <c r="N146" s="567">
        <f>-('PG08 (2)'!$D$53+'PG08 (2)'!$D$83)</f>
        <v>34.462818423383524</v>
      </c>
      <c r="O146" s="579">
        <f t="shared" si="31"/>
        <v>97213.797728564561</v>
      </c>
      <c r="R146" s="593">
        <f t="shared" si="37"/>
        <v>10296034.333294779</v>
      </c>
      <c r="S146" s="594">
        <f t="shared" si="35"/>
        <v>4680.0156060430818</v>
      </c>
      <c r="T146" s="595">
        <f t="shared" si="36"/>
        <v>163800.54621150787</v>
      </c>
    </row>
    <row r="147" spans="1:20" ht="18.75" thickBot="1">
      <c r="A147" s="573">
        <v>2016</v>
      </c>
      <c r="B147" s="574">
        <f>+G146</f>
        <v>10926.168675809649</v>
      </c>
      <c r="C147" s="575"/>
      <c r="D147" s="575"/>
      <c r="E147" s="576">
        <v>2395.7450999999996</v>
      </c>
      <c r="F147" s="576">
        <v>2396</v>
      </c>
      <c r="G147" s="577">
        <f t="shared" si="33"/>
        <v>10925.913775809649</v>
      </c>
      <c r="H147" s="574">
        <f>'2016'!C131-'ANEXO MANT'!B147</f>
        <v>2820.8313241903506</v>
      </c>
      <c r="I147" s="571">
        <f>'Inf w Inv'!I16-'ANEXO MANT'!E147</f>
        <v>1437.6949</v>
      </c>
      <c r="J147" s="576">
        <f>'2016'!J131-'ANEXO MANT'!F147</f>
        <v>1204</v>
      </c>
      <c r="K147" s="577">
        <f t="shared" si="29"/>
        <v>3054.5262241903511</v>
      </c>
      <c r="L147" s="578">
        <f t="shared" si="30"/>
        <v>13980.44</v>
      </c>
      <c r="M147" s="566">
        <f t="shared" si="34"/>
        <v>3054.5262241903511</v>
      </c>
      <c r="N147" s="567">
        <f>-('PG08 (2)'!$D$53+'PG08 (2)'!$D$83)</f>
        <v>34.462818423383524</v>
      </c>
      <c r="O147" s="579">
        <f>+M147*N147</f>
        <v>105267.58263373535</v>
      </c>
      <c r="R147" s="596">
        <f t="shared" si="37"/>
        <v>11149020.718294781</v>
      </c>
      <c r="S147" s="597">
        <f t="shared" si="35"/>
        <v>5067.736690133991</v>
      </c>
      <c r="T147" s="598">
        <f t="shared" si="36"/>
        <v>177370.7841546897</v>
      </c>
    </row>
    <row r="148" spans="1:20" ht="18.75" thickBot="1">
      <c r="A148" s="573">
        <v>2017</v>
      </c>
      <c r="B148" s="574">
        <f>+G147</f>
        <v>10925.913775809649</v>
      </c>
      <c r="C148" s="575"/>
      <c r="D148" s="575"/>
      <c r="E148" s="576">
        <v>2395.7450999999996</v>
      </c>
      <c r="F148" s="576">
        <v>2396</v>
      </c>
      <c r="G148" s="577">
        <f>B148+E148-F148</f>
        <v>10925.65887580965</v>
      </c>
      <c r="H148" s="574">
        <f>'2017'!C131-'ANEXO MANT'!B148</f>
        <v>3054.0862241903505</v>
      </c>
      <c r="I148" s="571">
        <f>'Inf w Inv'!I17-'ANEXO MANT'!E148</f>
        <v>1216.5349000000006</v>
      </c>
      <c r="J148" s="576">
        <f>'2017'!J131-'ANEXO MANT'!F148</f>
        <v>1204</v>
      </c>
      <c r="K148" s="577">
        <f>+H148+I148-J148</f>
        <v>3066.6211241903511</v>
      </c>
      <c r="L148" s="578">
        <f t="shared" si="30"/>
        <v>13992.28</v>
      </c>
      <c r="M148" s="566">
        <f t="shared" si="34"/>
        <v>3066.6211241903511</v>
      </c>
      <c r="N148" s="567">
        <f>-('PG08 (2)'!$D$53+'PG08 (2)'!$D$83)</f>
        <v>34.462818423383524</v>
      </c>
      <c r="O148" s="579">
        <f>+M148*N148</f>
        <v>105684.40697628433</v>
      </c>
      <c r="R148" s="596">
        <f>J148*10*365</f>
        <v>4394600</v>
      </c>
      <c r="S148" s="597">
        <f>R148/2200</f>
        <v>1997.5454545454545</v>
      </c>
      <c r="T148" s="598">
        <f>S148*35</f>
        <v>69914.090909090912</v>
      </c>
    </row>
    <row r="149" spans="1:20" ht="18.75" thickBot="1">
      <c r="A149" s="580"/>
      <c r="B149" s="574"/>
      <c r="C149" s="575"/>
      <c r="D149" s="575"/>
      <c r="E149" s="576"/>
      <c r="F149" s="576"/>
      <c r="G149" s="577"/>
      <c r="H149" s="581"/>
      <c r="I149" s="582"/>
      <c r="J149" s="582"/>
      <c r="K149" s="583"/>
      <c r="L149" s="584"/>
      <c r="M149" s="585"/>
      <c r="N149" s="604"/>
      <c r="O149" s="586"/>
      <c r="R149" s="596"/>
      <c r="S149" s="597"/>
      <c r="T149" s="598"/>
    </row>
    <row r="150" spans="1:20" ht="18.75" thickBot="1">
      <c r="A150" s="474"/>
      <c r="B150" s="474"/>
      <c r="C150" s="474"/>
      <c r="D150" s="474"/>
      <c r="E150" s="587">
        <f>SUM(E138:E149)</f>
        <v>21816.658875809648</v>
      </c>
      <c r="F150" s="587">
        <f>SUM(F138:F149)</f>
        <v>18776</v>
      </c>
      <c r="G150" s="474"/>
      <c r="H150" s="474"/>
      <c r="I150" s="602">
        <f>SUM(I138:I149)</f>
        <v>9197.4378660938564</v>
      </c>
      <c r="J150" s="602">
        <f>SUM(J138:J149)</f>
        <v>6132.2</v>
      </c>
      <c r="K150" s="474"/>
      <c r="L150" s="474"/>
      <c r="M150" s="474"/>
      <c r="N150" s="603">
        <f>SUM(O138:O149)</f>
        <v>607854.79625011724</v>
      </c>
      <c r="O150" s="474"/>
      <c r="R150" s="599">
        <f>((M141/30)*365)*2.5</f>
        <v>15711.579093688033</v>
      </c>
      <c r="S150" s="484"/>
      <c r="T150" s="484"/>
    </row>
    <row r="151" spans="1:20" ht="18">
      <c r="R151" s="599">
        <f t="shared" ref="R151:R156" si="38">((M142/30)*365)*2.5</f>
        <v>31409.169319123157</v>
      </c>
      <c r="S151" s="484"/>
      <c r="T151" s="484"/>
    </row>
    <row r="152" spans="1:20" ht="18">
      <c r="R152" s="599">
        <f t="shared" si="38"/>
        <v>53667.696652456507</v>
      </c>
      <c r="S152" s="484"/>
      <c r="T152" s="484"/>
    </row>
    <row r="153" spans="1:20" ht="18">
      <c r="K153" s="72"/>
      <c r="R153" s="599">
        <f t="shared" si="38"/>
        <v>80541.530360789868</v>
      </c>
      <c r="S153" s="484"/>
      <c r="T153" s="484"/>
    </row>
    <row r="154" spans="1:20" ht="18">
      <c r="R154" s="599">
        <f t="shared" si="38"/>
        <v>83173.657902456485</v>
      </c>
      <c r="S154" s="484"/>
      <c r="T154" s="484"/>
    </row>
    <row r="155" spans="1:20" ht="18">
      <c r="R155" s="599">
        <f t="shared" si="38"/>
        <v>85800.286110789835</v>
      </c>
      <c r="S155" s="484"/>
      <c r="T155" s="484"/>
    </row>
    <row r="156" spans="1:20" ht="18">
      <c r="G156" s="72"/>
      <c r="R156" s="599">
        <f t="shared" si="38"/>
        <v>92908.505985789845</v>
      </c>
      <c r="S156" s="484"/>
      <c r="T156" s="484"/>
    </row>
    <row r="157" spans="1:20" ht="18">
      <c r="R157" s="599">
        <f>((J148/30)*365)*2.5</f>
        <v>36621.666666666664</v>
      </c>
      <c r="S157" s="484"/>
      <c r="T157" s="484"/>
    </row>
    <row r="158" spans="1:20" ht="18">
      <c r="I158" s="72"/>
      <c r="R158" s="599">
        <f>((J149/30)*365)*2.5</f>
        <v>0</v>
      </c>
    </row>
    <row r="161" spans="9:10">
      <c r="I161" s="72"/>
      <c r="J161" s="72"/>
    </row>
  </sheetData>
  <mergeCells count="9">
    <mergeCell ref="R139:T139"/>
    <mergeCell ref="H136:K136"/>
    <mergeCell ref="Q74:Q78"/>
    <mergeCell ref="A27:D27"/>
    <mergeCell ref="A7:D7"/>
    <mergeCell ref="A56:D56"/>
    <mergeCell ref="A79:D79"/>
    <mergeCell ref="B136:G136"/>
    <mergeCell ref="A46:D46"/>
  </mergeCells>
  <phoneticPr fontId="25" type="noConversion"/>
  <printOptions horizontalCentered="1" verticalCentered="1"/>
  <pageMargins left="0.93" right="0.64" top="0.62" bottom="0.48" header="0" footer="0"/>
  <pageSetup scale="22" orientation="landscape" r:id="rId1"/>
  <headerFooter alignWithMargins="0"/>
  <rowBreaks count="2" manualBreakCount="2">
    <brk id="52" max="14" man="1"/>
    <brk id="129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87"/>
  <sheetViews>
    <sheetView showGridLines="0" topLeftCell="A70" workbookViewId="0">
      <selection activeCell="A14" sqref="A14"/>
    </sheetView>
  </sheetViews>
  <sheetFormatPr baseColWidth="10" defaultRowHeight="12.75"/>
  <cols>
    <col min="1" max="1" width="14.42578125" style="44" customWidth="1"/>
    <col min="2" max="2" width="36.42578125" style="6" customWidth="1"/>
    <col min="3" max="3" width="22.7109375" style="6" customWidth="1"/>
    <col min="4" max="4" width="11.42578125" style="45" customWidth="1"/>
    <col min="5" max="5" width="11.42578125" style="20" customWidth="1"/>
    <col min="6" max="11" width="11.42578125" style="6" customWidth="1"/>
    <col min="12" max="12" width="11.85546875" style="6" bestFit="1" customWidth="1"/>
    <col min="13" max="16384" width="11.42578125" style="6"/>
  </cols>
  <sheetData>
    <row r="2" spans="1:6">
      <c r="A2" s="44">
        <v>7</v>
      </c>
      <c r="B2" s="6" t="s">
        <v>157</v>
      </c>
      <c r="F2" s="46"/>
    </row>
    <row r="3" spans="1:6">
      <c r="B3" s="6" t="s">
        <v>52</v>
      </c>
    </row>
    <row r="4" spans="1:6">
      <c r="A4" s="44">
        <v>701</v>
      </c>
      <c r="B4" s="6" t="s">
        <v>158</v>
      </c>
    </row>
    <row r="5" spans="1:6">
      <c r="A5" s="44">
        <v>70101</v>
      </c>
      <c r="B5" s="6" t="s">
        <v>159</v>
      </c>
    </row>
    <row r="6" spans="1:6">
      <c r="A6" s="44">
        <v>7010101</v>
      </c>
      <c r="B6" s="6" t="s">
        <v>160</v>
      </c>
    </row>
    <row r="7" spans="1:6">
      <c r="A7" s="44">
        <v>701010103</v>
      </c>
      <c r="B7" s="6" t="s">
        <v>161</v>
      </c>
    </row>
    <row r="8" spans="1:6">
      <c r="A8" s="44">
        <v>701010103001</v>
      </c>
      <c r="B8" s="6" t="s">
        <v>162</v>
      </c>
      <c r="C8" s="46">
        <v>-43157.81</v>
      </c>
      <c r="D8" s="73"/>
      <c r="E8" s="77"/>
    </row>
    <row r="9" spans="1:6">
      <c r="A9" s="44">
        <v>701010103003</v>
      </c>
      <c r="B9" s="6" t="s">
        <v>164</v>
      </c>
      <c r="C9" s="46">
        <v>-18608.71</v>
      </c>
      <c r="D9" s="73"/>
      <c r="E9" s="77"/>
    </row>
    <row r="10" spans="1:6">
      <c r="A10" s="44">
        <v>701010103005</v>
      </c>
      <c r="B10" s="6" t="s">
        <v>165</v>
      </c>
      <c r="C10" s="46">
        <v>-32635.47</v>
      </c>
      <c r="D10" s="73"/>
      <c r="E10" s="77"/>
      <c r="F10" s="46"/>
    </row>
    <row r="11" spans="1:6">
      <c r="A11" s="44">
        <v>701010103006</v>
      </c>
      <c r="B11" s="6" t="s">
        <v>166</v>
      </c>
      <c r="C11" s="6">
        <v>-337.7</v>
      </c>
      <c r="D11" s="73"/>
      <c r="E11" s="77"/>
      <c r="F11" s="46"/>
    </row>
    <row r="12" spans="1:6">
      <c r="A12" s="44">
        <v>701010103007</v>
      </c>
      <c r="B12" s="6" t="s">
        <v>167</v>
      </c>
      <c r="C12" s="46">
        <v>-4135.5600000000004</v>
      </c>
      <c r="D12" s="73"/>
      <c r="E12" s="77"/>
      <c r="F12" s="46"/>
    </row>
    <row r="13" spans="1:6">
      <c r="A13" s="44">
        <v>701010103008</v>
      </c>
      <c r="B13" s="6" t="s">
        <v>168</v>
      </c>
      <c r="C13" s="46">
        <v>-2275.88</v>
      </c>
      <c r="D13" s="73"/>
      <c r="E13" s="77"/>
    </row>
    <row r="14" spans="1:6">
      <c r="A14" s="44">
        <v>701010103009</v>
      </c>
      <c r="B14" s="6" t="s">
        <v>169</v>
      </c>
      <c r="C14" s="46">
        <v>-2095.75</v>
      </c>
      <c r="D14" s="73"/>
      <c r="E14" s="77"/>
    </row>
    <row r="15" spans="1:6">
      <c r="A15" s="44">
        <v>701010103011</v>
      </c>
      <c r="B15" s="6" t="s">
        <v>108</v>
      </c>
      <c r="C15" s="46">
        <v>-212322.52</v>
      </c>
      <c r="D15" s="73">
        <f t="shared" ref="D15:D51" si="0">C15/11290</f>
        <v>-18.806246235606732</v>
      </c>
      <c r="E15" s="77"/>
      <c r="F15" s="46"/>
    </row>
    <row r="16" spans="1:6">
      <c r="A16" s="44">
        <v>701010103013</v>
      </c>
      <c r="B16" s="6" t="s">
        <v>170</v>
      </c>
      <c r="C16" s="46">
        <v>-1096.25</v>
      </c>
      <c r="D16" s="73"/>
      <c r="E16" s="77"/>
    </row>
    <row r="17" spans="1:6">
      <c r="A17" s="44">
        <v>701010103016</v>
      </c>
      <c r="B17" s="6" t="s">
        <v>171</v>
      </c>
      <c r="C17" s="6">
        <v>-211.4</v>
      </c>
      <c r="D17" s="73"/>
      <c r="E17" s="77"/>
      <c r="F17" s="46"/>
    </row>
    <row r="18" spans="1:6">
      <c r="A18" s="44">
        <v>701010103018</v>
      </c>
      <c r="B18" s="6" t="s">
        <v>118</v>
      </c>
      <c r="C18" s="46">
        <v>-1864.54</v>
      </c>
      <c r="D18" s="73"/>
      <c r="E18" s="77"/>
      <c r="F18" s="46"/>
    </row>
    <row r="19" spans="1:6">
      <c r="A19" s="44">
        <v>701010103024</v>
      </c>
      <c r="B19" s="6" t="s">
        <v>172</v>
      </c>
      <c r="C19" s="46">
        <v>-10287.92</v>
      </c>
      <c r="D19" s="73"/>
      <c r="E19" s="77"/>
      <c r="F19" s="46"/>
    </row>
    <row r="20" spans="1:6">
      <c r="A20" s="44">
        <v>701010103029</v>
      </c>
      <c r="B20" s="6" t="s">
        <v>173</v>
      </c>
      <c r="D20" s="73">
        <f t="shared" si="0"/>
        <v>0</v>
      </c>
      <c r="E20" s="77"/>
      <c r="F20" s="46"/>
    </row>
    <row r="21" spans="1:6">
      <c r="A21" s="44">
        <v>701010103031</v>
      </c>
      <c r="B21" s="6" t="s">
        <v>174</v>
      </c>
      <c r="C21" s="46">
        <v>-8710.25</v>
      </c>
      <c r="D21" s="73">
        <f t="shared" si="0"/>
        <v>-0.7715013286093888</v>
      </c>
      <c r="E21" s="77"/>
      <c r="F21" s="46"/>
    </row>
    <row r="22" spans="1:6">
      <c r="A22" s="44">
        <v>701010103056</v>
      </c>
      <c r="B22" s="6" t="s">
        <v>175</v>
      </c>
      <c r="C22" s="46">
        <v>-38570.93</v>
      </c>
      <c r="D22" s="73">
        <f t="shared" si="0"/>
        <v>-3.4163799822852083</v>
      </c>
      <c r="E22" s="77"/>
      <c r="F22" s="46"/>
    </row>
    <row r="23" spans="1:6">
      <c r="A23" s="44">
        <v>701010103057</v>
      </c>
      <c r="B23" s="6" t="s">
        <v>176</v>
      </c>
      <c r="C23" s="6">
        <v>-47.98</v>
      </c>
      <c r="D23" s="73">
        <f t="shared" si="0"/>
        <v>-4.2497785651018595E-3</v>
      </c>
      <c r="E23" s="77"/>
    </row>
    <row r="24" spans="1:6">
      <c r="A24" s="44">
        <v>701010103058</v>
      </c>
      <c r="B24" s="6" t="s">
        <v>178</v>
      </c>
      <c r="C24" s="6">
        <v>-30.8</v>
      </c>
      <c r="D24" s="73">
        <f t="shared" si="0"/>
        <v>-2.7280779450841453E-3</v>
      </c>
      <c r="E24" s="77"/>
    </row>
    <row r="25" spans="1:6">
      <c r="A25" s="44">
        <v>701010103059</v>
      </c>
      <c r="B25" s="6" t="s">
        <v>61</v>
      </c>
      <c r="C25" s="6">
        <v>-12.32</v>
      </c>
      <c r="D25" s="73">
        <f t="shared" si="0"/>
        <v>-1.0912311780336581E-3</v>
      </c>
      <c r="E25" s="77"/>
      <c r="F25" s="46"/>
    </row>
    <row r="26" spans="1:6">
      <c r="D26" s="73"/>
      <c r="E26" s="77"/>
    </row>
    <row r="27" spans="1:6">
      <c r="C27" s="46">
        <f>SUM(C8:C25)</f>
        <v>-376401.78999999992</v>
      </c>
      <c r="D27" s="73">
        <f>SUM(D8:D26)</f>
        <v>-23.002196634189545</v>
      </c>
      <c r="E27" s="77"/>
      <c r="F27" s="46"/>
    </row>
    <row r="28" spans="1:6">
      <c r="A28" s="44">
        <v>701010104</v>
      </c>
      <c r="B28" s="6" t="s">
        <v>179</v>
      </c>
      <c r="D28" s="73"/>
      <c r="E28" s="77"/>
    </row>
    <row r="29" spans="1:6">
      <c r="A29" s="44">
        <v>701010104001</v>
      </c>
      <c r="B29" s="6" t="s">
        <v>180</v>
      </c>
      <c r="C29" s="6">
        <v>-188.18</v>
      </c>
      <c r="D29" s="73">
        <f t="shared" si="0"/>
        <v>-1.6667847652790082E-2</v>
      </c>
      <c r="E29" s="77"/>
      <c r="F29" s="74">
        <f>D29/$D$85</f>
        <v>4.8364725856201894E-4</v>
      </c>
    </row>
    <row r="30" spans="1:6">
      <c r="A30" s="44">
        <v>701010104004</v>
      </c>
      <c r="B30" s="6" t="s">
        <v>181</v>
      </c>
      <c r="C30" s="46">
        <v>-4021.92</v>
      </c>
      <c r="D30" s="73">
        <f t="shared" si="0"/>
        <v>-0.35623737821080603</v>
      </c>
      <c r="E30" s="77"/>
      <c r="F30" s="74">
        <f t="shared" ref="F30:F51" si="1">D30/$D$85</f>
        <v>1.0336861420744792E-2</v>
      </c>
    </row>
    <row r="31" spans="1:6">
      <c r="A31" s="44">
        <v>701010104007</v>
      </c>
      <c r="B31" s="6" t="s">
        <v>182</v>
      </c>
      <c r="C31" s="46">
        <v>-3091.17</v>
      </c>
      <c r="D31" s="73">
        <f t="shared" si="0"/>
        <v>-0.27379716563330381</v>
      </c>
      <c r="E31" s="77"/>
      <c r="F31" s="74">
        <f t="shared" si="1"/>
        <v>7.944711957961292E-3</v>
      </c>
    </row>
    <row r="32" spans="1:6">
      <c r="A32" s="44">
        <v>701010104008</v>
      </c>
      <c r="B32" s="6" t="s">
        <v>183</v>
      </c>
      <c r="C32" s="46">
        <v>-1403.04</v>
      </c>
      <c r="D32" s="73">
        <f t="shared" si="0"/>
        <v>-0.12427280779450842</v>
      </c>
      <c r="E32" s="77"/>
      <c r="F32" s="74">
        <f t="shared" si="1"/>
        <v>3.605996650296817E-3</v>
      </c>
    </row>
    <row r="33" spans="1:7">
      <c r="A33" s="44">
        <v>701010104010</v>
      </c>
      <c r="B33" s="6" t="s">
        <v>184</v>
      </c>
      <c r="C33" s="46">
        <v>-1848.73</v>
      </c>
      <c r="D33" s="73">
        <f t="shared" si="0"/>
        <v>-0.16374933569530559</v>
      </c>
      <c r="E33" s="77"/>
      <c r="F33" s="74">
        <f t="shared" si="1"/>
        <v>4.7514783522231967E-3</v>
      </c>
    </row>
    <row r="34" spans="1:7">
      <c r="A34" s="44">
        <v>701010104011</v>
      </c>
      <c r="B34" s="6" t="s">
        <v>185</v>
      </c>
      <c r="C34" s="46">
        <v>-10022.59</v>
      </c>
      <c r="D34" s="73">
        <f t="shared" si="0"/>
        <v>-0.88774047829937996</v>
      </c>
      <c r="E34" s="77"/>
      <c r="F34" s="74">
        <f t="shared" si="1"/>
        <v>2.5759369631156898E-2</v>
      </c>
    </row>
    <row r="35" spans="1:7">
      <c r="A35" s="44">
        <v>701010104012</v>
      </c>
      <c r="B35" s="6" t="s">
        <v>186</v>
      </c>
      <c r="C35" s="6">
        <v>-149.46</v>
      </c>
      <c r="D35" s="73">
        <f t="shared" si="0"/>
        <v>-1.3238263950398583E-2</v>
      </c>
      <c r="E35" s="77"/>
      <c r="F35" s="74">
        <f t="shared" si="1"/>
        <v>3.841317848053956E-4</v>
      </c>
    </row>
    <row r="36" spans="1:7">
      <c r="A36" s="44">
        <v>701010104013</v>
      </c>
      <c r="B36" s="6" t="s">
        <v>187</v>
      </c>
      <c r="C36" s="6">
        <v>-736.58</v>
      </c>
      <c r="D36" s="73">
        <f t="shared" si="0"/>
        <v>-6.5241806908768823E-2</v>
      </c>
      <c r="E36" s="77"/>
      <c r="F36" s="74">
        <f t="shared" si="1"/>
        <v>1.8931071193092352E-3</v>
      </c>
    </row>
    <row r="37" spans="1:7">
      <c r="A37" s="44">
        <v>701010104014</v>
      </c>
      <c r="B37" s="6" t="s">
        <v>188</v>
      </c>
      <c r="C37" s="46">
        <v>-10185.719999999999</v>
      </c>
      <c r="D37" s="73">
        <f t="shared" si="0"/>
        <v>-0.90218954827280773</v>
      </c>
      <c r="E37" s="77"/>
      <c r="F37" s="74">
        <f t="shared" si="1"/>
        <v>2.6178635107239487E-2</v>
      </c>
    </row>
    <row r="38" spans="1:7">
      <c r="A38" s="44">
        <v>701010104015</v>
      </c>
      <c r="B38" s="6" t="s">
        <v>189</v>
      </c>
      <c r="C38" s="6">
        <v>-471.51</v>
      </c>
      <c r="D38" s="73">
        <f t="shared" si="0"/>
        <v>-4.1763507528786534E-2</v>
      </c>
      <c r="E38" s="77"/>
      <c r="F38" s="74">
        <f t="shared" si="1"/>
        <v>1.2118424853043762E-3</v>
      </c>
    </row>
    <row r="39" spans="1:7">
      <c r="A39" s="44">
        <v>701010104017</v>
      </c>
      <c r="B39" s="6" t="s">
        <v>190</v>
      </c>
      <c r="C39" s="46">
        <v>-2456.02</v>
      </c>
      <c r="D39" s="73">
        <f t="shared" si="0"/>
        <v>-0.21753941541186891</v>
      </c>
      <c r="E39" s="77"/>
      <c r="F39" s="74">
        <f t="shared" si="1"/>
        <v>6.3122932297454016E-3</v>
      </c>
    </row>
    <row r="40" spans="1:7">
      <c r="A40" s="44">
        <v>701010104018</v>
      </c>
      <c r="B40" s="6" t="s">
        <v>191</v>
      </c>
      <c r="C40" s="46">
        <v>-3678.33</v>
      </c>
      <c r="D40" s="73">
        <f t="shared" si="0"/>
        <v>-0.32580425155004428</v>
      </c>
      <c r="E40" s="77"/>
      <c r="F40" s="74">
        <f t="shared" si="1"/>
        <v>9.4537900977066155E-3</v>
      </c>
    </row>
    <row r="41" spans="1:7">
      <c r="A41" s="44">
        <v>701010104019</v>
      </c>
      <c r="B41" s="6" t="s">
        <v>194</v>
      </c>
      <c r="C41" s="6">
        <v>-725.62</v>
      </c>
      <c r="D41" s="73">
        <f t="shared" si="0"/>
        <v>-6.4271036315323299E-2</v>
      </c>
      <c r="E41" s="77"/>
      <c r="F41" s="74">
        <f t="shared" si="1"/>
        <v>1.8649384831425878E-3</v>
      </c>
    </row>
    <row r="42" spans="1:7">
      <c r="A42" s="44">
        <v>701010104020</v>
      </c>
      <c r="B42" s="6" t="s">
        <v>195</v>
      </c>
      <c r="C42" s="46">
        <v>-12163.19</v>
      </c>
      <c r="D42" s="73">
        <f t="shared" si="0"/>
        <v>-1.0773418954827281</v>
      </c>
      <c r="E42" s="77"/>
      <c r="F42" s="74">
        <f t="shared" si="1"/>
        <v>3.1260992129179307E-2</v>
      </c>
    </row>
    <row r="43" spans="1:7">
      <c r="A43" s="44">
        <v>701010104022</v>
      </c>
      <c r="B43" s="6" t="s">
        <v>196</v>
      </c>
      <c r="C43" s="46">
        <v>-23061.09</v>
      </c>
      <c r="D43" s="73">
        <f t="shared" si="0"/>
        <v>-2.0426120460584589</v>
      </c>
      <c r="E43" s="77"/>
      <c r="F43" s="74">
        <f t="shared" si="1"/>
        <v>5.9270023158422724E-2</v>
      </c>
      <c r="G43" s="46"/>
    </row>
    <row r="44" spans="1:7">
      <c r="A44" s="44">
        <v>701010104023</v>
      </c>
      <c r="B44" s="6" t="s">
        <v>197</v>
      </c>
      <c r="C44" s="6">
        <v>-8.98</v>
      </c>
      <c r="D44" s="73">
        <f t="shared" si="0"/>
        <v>-7.9539415411868911E-4</v>
      </c>
      <c r="E44" s="77"/>
      <c r="F44" s="74">
        <f t="shared" si="1"/>
        <v>2.3079776713183811E-5</v>
      </c>
    </row>
    <row r="45" spans="1:7">
      <c r="A45" s="44">
        <v>701010104024</v>
      </c>
      <c r="B45" s="6" t="s">
        <v>198</v>
      </c>
      <c r="C45" s="46">
        <v>-1173.8599999999999</v>
      </c>
      <c r="D45" s="73">
        <f t="shared" si="0"/>
        <v>-0.1039734278122232</v>
      </c>
      <c r="E45" s="77"/>
      <c r="F45" s="74">
        <f t="shared" si="1"/>
        <v>3.0169740192135799E-3</v>
      </c>
    </row>
    <row r="46" spans="1:7">
      <c r="A46" s="44">
        <v>701010104025</v>
      </c>
      <c r="B46" s="6" t="s">
        <v>199</v>
      </c>
      <c r="C46" s="46">
        <v>-66968.009999999995</v>
      </c>
      <c r="D46" s="73">
        <f t="shared" si="0"/>
        <v>-5.9316217891939766</v>
      </c>
      <c r="E46" s="77"/>
      <c r="F46" s="74">
        <f t="shared" si="1"/>
        <v>0.17211656099401565</v>
      </c>
      <c r="G46" s="46"/>
    </row>
    <row r="47" spans="1:7">
      <c r="A47" s="44">
        <v>701010104039</v>
      </c>
      <c r="B47" s="6" t="s">
        <v>200</v>
      </c>
      <c r="C47" s="46">
        <v>-6562.52</v>
      </c>
      <c r="D47" s="73">
        <f t="shared" si="0"/>
        <v>-0.58126837909654561</v>
      </c>
      <c r="E47" s="77"/>
      <c r="F47" s="74">
        <f t="shared" si="1"/>
        <v>1.6866536333608354E-2</v>
      </c>
    </row>
    <row r="48" spans="1:7">
      <c r="A48" s="44">
        <v>701010104041</v>
      </c>
      <c r="B48" s="6" t="s">
        <v>201</v>
      </c>
      <c r="C48" s="6">
        <v>-123.97</v>
      </c>
      <c r="D48" s="73">
        <f t="shared" si="0"/>
        <v>-1.0980513728963685E-2</v>
      </c>
      <c r="E48" s="77"/>
      <c r="F48" s="74">
        <f t="shared" si="1"/>
        <v>3.1861914466964336E-4</v>
      </c>
      <c r="G48" s="46"/>
    </row>
    <row r="49" spans="1:8">
      <c r="A49" s="44">
        <v>701010104042</v>
      </c>
      <c r="B49" s="6" t="s">
        <v>202</v>
      </c>
      <c r="C49" s="6">
        <v>-78</v>
      </c>
      <c r="D49" s="73">
        <f t="shared" si="0"/>
        <v>-6.9087688219663422E-3</v>
      </c>
      <c r="E49" s="77"/>
      <c r="F49" s="74">
        <f t="shared" si="1"/>
        <v>2.0047022089402422E-4</v>
      </c>
    </row>
    <row r="50" spans="1:8">
      <c r="A50" s="44">
        <v>701010104043</v>
      </c>
      <c r="B50" s="6" t="s">
        <v>203</v>
      </c>
      <c r="C50" s="46">
        <v>-1830.88</v>
      </c>
      <c r="D50" s="73">
        <f t="shared" si="0"/>
        <v>-0.16216829052258636</v>
      </c>
      <c r="E50" s="77"/>
      <c r="F50" s="74">
        <f t="shared" si="1"/>
        <v>4.7056015132109106E-3</v>
      </c>
      <c r="G50" s="46"/>
    </row>
    <row r="51" spans="1:8">
      <c r="A51" s="44">
        <v>701010104044</v>
      </c>
      <c r="B51" s="6" t="s">
        <v>204</v>
      </c>
      <c r="C51" s="6">
        <v>-21.39</v>
      </c>
      <c r="D51" s="73">
        <f t="shared" si="0"/>
        <v>-1.8945969884853853E-3</v>
      </c>
      <c r="E51" s="77"/>
      <c r="F51" s="74">
        <f t="shared" si="1"/>
        <v>5.4975102883630483E-5</v>
      </c>
    </row>
    <row r="52" spans="1:8">
      <c r="C52" s="6" t="s">
        <v>63</v>
      </c>
      <c r="D52" s="6"/>
    </row>
    <row r="53" spans="1:8">
      <c r="C53" s="46">
        <f>SUM(C29:C52)</f>
        <v>-150970.76</v>
      </c>
      <c r="D53" s="73">
        <f>SUM(D28:D51)</f>
        <v>-13.372077945084145</v>
      </c>
      <c r="E53" s="77"/>
      <c r="F53" s="75">
        <f>SUM(F29:F52)</f>
        <v>0.38801463597100905</v>
      </c>
      <c r="G53" s="46"/>
    </row>
    <row r="54" spans="1:8">
      <c r="A54" s="44">
        <v>701010105</v>
      </c>
      <c r="B54" s="6" t="s">
        <v>115</v>
      </c>
      <c r="F54" s="46"/>
    </row>
    <row r="55" spans="1:8">
      <c r="A55" s="44">
        <v>701010105001</v>
      </c>
      <c r="B55" s="6" t="s">
        <v>206</v>
      </c>
      <c r="C55" s="46">
        <v>-1777.16</v>
      </c>
    </row>
    <row r="56" spans="1:8">
      <c r="A56" s="44">
        <v>701010105002</v>
      </c>
      <c r="B56" s="6" t="s">
        <v>207</v>
      </c>
      <c r="C56" s="46">
        <v>-23359.29</v>
      </c>
      <c r="F56" s="46"/>
    </row>
    <row r="57" spans="1:8">
      <c r="A57" s="44">
        <v>701010105003</v>
      </c>
      <c r="B57" s="6" t="s">
        <v>208</v>
      </c>
      <c r="C57" s="6">
        <v>-231.36</v>
      </c>
      <c r="F57" s="46"/>
    </row>
    <row r="58" spans="1:8">
      <c r="A58" s="44">
        <v>701010105004</v>
      </c>
      <c r="B58" s="6" t="s">
        <v>209</v>
      </c>
      <c r="C58" s="46">
        <v>-11905.53</v>
      </c>
      <c r="F58" s="46"/>
    </row>
    <row r="59" spans="1:8">
      <c r="A59" s="44">
        <v>701010105006</v>
      </c>
      <c r="B59" s="6" t="s">
        <v>210</v>
      </c>
      <c r="C59" s="6">
        <v>-668.4</v>
      </c>
      <c r="F59" s="46"/>
    </row>
    <row r="60" spans="1:8">
      <c r="A60" s="44">
        <v>701010105007</v>
      </c>
      <c r="B60" s="6" t="s">
        <v>211</v>
      </c>
      <c r="C60" s="6">
        <v>-107.1</v>
      </c>
      <c r="F60" s="46"/>
    </row>
    <row r="61" spans="1:8">
      <c r="A61" s="44">
        <v>701010105008</v>
      </c>
      <c r="B61" s="6" t="s">
        <v>212</v>
      </c>
      <c r="C61" s="6">
        <v>-180.82</v>
      </c>
      <c r="F61" s="46"/>
    </row>
    <row r="62" spans="1:8">
      <c r="A62" s="44">
        <v>701010105013</v>
      </c>
      <c r="B62" s="6" t="s">
        <v>213</v>
      </c>
      <c r="C62" s="6">
        <v>-73.13</v>
      </c>
    </row>
    <row r="63" spans="1:8">
      <c r="A63" s="44">
        <v>701010105017</v>
      </c>
      <c r="B63" s="6" t="s">
        <v>214</v>
      </c>
      <c r="C63" s="46">
        <v>-9980.4500000000007</v>
      </c>
      <c r="H63" s="46"/>
    </row>
    <row r="64" spans="1:8">
      <c r="A64" s="44">
        <v>701010105020</v>
      </c>
      <c r="B64" s="6" t="s">
        <v>215</v>
      </c>
      <c r="C64" s="46">
        <v>-1406.24</v>
      </c>
      <c r="F64" s="46"/>
      <c r="H64" s="46"/>
    </row>
    <row r="65" spans="1:8">
      <c r="A65" s="44">
        <v>701010105033</v>
      </c>
      <c r="B65" s="6" t="s">
        <v>216</v>
      </c>
      <c r="C65" s="46">
        <v>-6751.56</v>
      </c>
      <c r="F65" s="46"/>
      <c r="H65" s="46"/>
    </row>
    <row r="66" spans="1:8">
      <c r="A66" s="44">
        <v>701010105034</v>
      </c>
      <c r="B66" s="6" t="s">
        <v>217</v>
      </c>
      <c r="C66" s="46">
        <v>-20754.990000000002</v>
      </c>
      <c r="F66" s="46"/>
    </row>
    <row r="67" spans="1:8">
      <c r="A67" s="44">
        <v>701010105051</v>
      </c>
      <c r="B67" s="6" t="s">
        <v>218</v>
      </c>
      <c r="C67" s="46">
        <v>-4646.49</v>
      </c>
      <c r="D67" s="73">
        <f t="shared" ref="D67:D81" si="2">C67/11290</f>
        <v>-0.41155801594331265</v>
      </c>
      <c r="E67" s="77"/>
      <c r="F67" s="74">
        <f t="shared" ref="F67:F81" si="3">D67/$D$85</f>
        <v>1.1942088162588134E-2</v>
      </c>
    </row>
    <row r="68" spans="1:8">
      <c r="A68" s="44">
        <v>701010105052</v>
      </c>
      <c r="B68" s="6" t="s">
        <v>219</v>
      </c>
      <c r="C68" s="46">
        <v>-1925.21</v>
      </c>
      <c r="D68" s="73">
        <f t="shared" si="2"/>
        <v>-0.17052347209920285</v>
      </c>
      <c r="E68" s="77"/>
      <c r="F68" s="74">
        <f t="shared" si="3"/>
        <v>4.9480419739408249E-3</v>
      </c>
      <c r="G68" s="46"/>
    </row>
    <row r="69" spans="1:8">
      <c r="A69" s="44">
        <v>701010105054</v>
      </c>
      <c r="B69" s="6" t="s">
        <v>220</v>
      </c>
      <c r="C69" s="46">
        <v>-45343.08</v>
      </c>
      <c r="D69" s="73">
        <f t="shared" si="2"/>
        <v>-4.0162161204605846</v>
      </c>
      <c r="E69" s="77"/>
      <c r="F69" s="74">
        <f t="shared" si="3"/>
        <v>0.1165376572258386</v>
      </c>
    </row>
    <row r="70" spans="1:8">
      <c r="A70" s="44">
        <v>701010105055</v>
      </c>
      <c r="B70" s="6" t="s">
        <v>221</v>
      </c>
      <c r="C70" s="46">
        <v>-2691.13</v>
      </c>
      <c r="D70" s="73">
        <f t="shared" si="2"/>
        <v>-0.23836403897254207</v>
      </c>
      <c r="E70" s="77"/>
      <c r="F70" s="74">
        <f t="shared" si="3"/>
        <v>6.9165567378786583E-3</v>
      </c>
    </row>
    <row r="71" spans="1:8">
      <c r="A71" s="44">
        <v>701010105057</v>
      </c>
      <c r="B71" s="6" t="s">
        <v>222</v>
      </c>
      <c r="C71" s="46">
        <v>-3956.34</v>
      </c>
      <c r="D71" s="73">
        <f t="shared" si="2"/>
        <v>-0.35042869796279896</v>
      </c>
      <c r="E71" s="77"/>
      <c r="F71" s="74">
        <f t="shared" si="3"/>
        <v>1.0168312227331586E-2</v>
      </c>
    </row>
    <row r="72" spans="1:8">
      <c r="A72" s="44">
        <v>701010105058</v>
      </c>
      <c r="B72" s="6" t="s">
        <v>223</v>
      </c>
      <c r="C72" s="6">
        <v>-143.76</v>
      </c>
      <c r="D72" s="73">
        <f t="shared" si="2"/>
        <v>-1.2733392382639503E-2</v>
      </c>
      <c r="E72" s="77"/>
      <c r="F72" s="74">
        <f t="shared" si="3"/>
        <v>3.6948203789390917E-4</v>
      </c>
    </row>
    <row r="73" spans="1:8">
      <c r="A73" s="44">
        <v>701010105059</v>
      </c>
      <c r="B73" s="6" t="s">
        <v>178</v>
      </c>
      <c r="C73" s="6">
        <v>-73.64</v>
      </c>
      <c r="D73" s="73">
        <f t="shared" si="2"/>
        <v>-6.5225863596102742E-3</v>
      </c>
      <c r="E73" s="77"/>
      <c r="F73" s="74">
        <f t="shared" si="3"/>
        <v>1.8926444957225567E-4</v>
      </c>
    </row>
    <row r="74" spans="1:8">
      <c r="A74" s="44">
        <v>701010105060</v>
      </c>
      <c r="B74" s="6" t="s">
        <v>224</v>
      </c>
      <c r="C74" s="46">
        <v>-8714.4599999999991</v>
      </c>
      <c r="D74" s="73">
        <f t="shared" si="2"/>
        <v>-0.7718742249778564</v>
      </c>
      <c r="E74" s="77"/>
      <c r="F74" s="74">
        <f t="shared" si="3"/>
        <v>2.2397304117591513E-2</v>
      </c>
    </row>
    <row r="75" spans="1:8">
      <c r="A75" s="44">
        <v>701010105062</v>
      </c>
      <c r="B75" s="6" t="s">
        <v>225</v>
      </c>
      <c r="C75" s="46">
        <v>-2558.21</v>
      </c>
      <c r="D75" s="73">
        <f t="shared" si="2"/>
        <v>-0.2265907883082374</v>
      </c>
      <c r="E75" s="77"/>
      <c r="F75" s="74">
        <f t="shared" si="3"/>
        <v>6.5749349204269449E-3</v>
      </c>
    </row>
    <row r="76" spans="1:8">
      <c r="A76" s="44">
        <v>701010105063</v>
      </c>
      <c r="B76" s="6" t="s">
        <v>226</v>
      </c>
      <c r="C76" s="46">
        <v>-34813.800000000003</v>
      </c>
      <c r="D76" s="73">
        <f t="shared" si="2"/>
        <v>-3.0835961027457932</v>
      </c>
      <c r="E76" s="77"/>
      <c r="F76" s="74">
        <f t="shared" si="3"/>
        <v>8.9476027899492064E-2</v>
      </c>
    </row>
    <row r="77" spans="1:8">
      <c r="A77" s="44">
        <v>701010105067</v>
      </c>
      <c r="B77" s="6" t="s">
        <v>227</v>
      </c>
      <c r="C77" s="46">
        <v>-96975.51</v>
      </c>
      <c r="D77" s="73">
        <f t="shared" si="2"/>
        <v>-8.5895048715677582</v>
      </c>
      <c r="E77" s="77"/>
      <c r="F77" s="74">
        <f t="shared" si="3"/>
        <v>0.24923976808988013</v>
      </c>
    </row>
    <row r="78" spans="1:8">
      <c r="A78" s="44">
        <v>701010105069</v>
      </c>
      <c r="B78" s="6" t="s">
        <v>228</v>
      </c>
      <c r="C78" s="46">
        <v>-21874.71</v>
      </c>
      <c r="D78" s="73">
        <f t="shared" si="2"/>
        <v>-1.9375296722763506</v>
      </c>
      <c r="E78" s="77"/>
      <c r="F78" s="74">
        <f t="shared" si="3"/>
        <v>5.6220871098624614E-2</v>
      </c>
    </row>
    <row r="79" spans="1:8">
      <c r="A79" s="44">
        <v>701010105099</v>
      </c>
      <c r="B79" s="6" t="s">
        <v>229</v>
      </c>
      <c r="C79" s="46">
        <v>-3804.26</v>
      </c>
      <c r="D79" s="73">
        <f t="shared" si="2"/>
        <v>-0.33695837023914971</v>
      </c>
      <c r="E79" s="77"/>
      <c r="F79" s="74">
        <f t="shared" si="3"/>
        <v>9.777446699208981E-3</v>
      </c>
    </row>
    <row r="80" spans="1:8">
      <c r="A80" s="44">
        <v>701010105202</v>
      </c>
      <c r="B80" s="6" t="s">
        <v>230</v>
      </c>
      <c r="C80" s="6">
        <v>-535.08000000000004</v>
      </c>
      <c r="D80" s="73">
        <f t="shared" si="2"/>
        <v>-4.7394154118689108E-2</v>
      </c>
      <c r="E80" s="77"/>
      <c r="F80" s="74">
        <f t="shared" si="3"/>
        <v>1.375225715333006E-3</v>
      </c>
    </row>
    <row r="81" spans="1:6">
      <c r="A81" s="44">
        <v>701010105203</v>
      </c>
      <c r="B81" s="6" t="s">
        <v>231</v>
      </c>
      <c r="C81" s="46">
        <v>-10058.780000000001</v>
      </c>
      <c r="D81" s="73">
        <f t="shared" si="2"/>
        <v>-0.89094596988485386</v>
      </c>
      <c r="E81" s="77"/>
      <c r="F81" s="74">
        <f t="shared" si="3"/>
        <v>2.585238267338965E-2</v>
      </c>
    </row>
    <row r="82" spans="1:6">
      <c r="C82" s="6" t="s">
        <v>63</v>
      </c>
      <c r="D82" s="6"/>
    </row>
    <row r="83" spans="1:6">
      <c r="C83" s="46">
        <f>SUM(C55:C82)</f>
        <v>-315310.49000000011</v>
      </c>
      <c r="D83" s="73">
        <f>SUM(D55:D81)</f>
        <v>-21.090740478299377</v>
      </c>
      <c r="E83" s="77"/>
      <c r="F83" s="80">
        <f>SUM(F55:F81)</f>
        <v>0.61198536402899084</v>
      </c>
    </row>
    <row r="84" spans="1:6">
      <c r="F84" s="46"/>
    </row>
    <row r="85" spans="1:6" ht="18">
      <c r="D85" s="79">
        <f>D83+D53</f>
        <v>-34.462818423383524</v>
      </c>
    </row>
    <row r="87" spans="1:6">
      <c r="F87" s="46"/>
    </row>
    <row r="93" spans="1:6">
      <c r="A93" s="51"/>
    </row>
    <row r="95" spans="1:6">
      <c r="F95" s="46"/>
    </row>
    <row r="96" spans="1:6">
      <c r="F96" s="46"/>
    </row>
    <row r="97" spans="6:6">
      <c r="F97" s="46"/>
    </row>
    <row r="100" spans="6:6">
      <c r="F100" s="46"/>
    </row>
    <row r="102" spans="6:6">
      <c r="F102" s="46"/>
    </row>
    <row r="104" spans="6:6">
      <c r="F104" s="46"/>
    </row>
    <row r="105" spans="6:6">
      <c r="F105" s="46"/>
    </row>
    <row r="106" spans="6:6">
      <c r="F106" s="46"/>
    </row>
    <row r="108" spans="6:6">
      <c r="F108" s="46"/>
    </row>
    <row r="109" spans="6:6">
      <c r="F109" s="46"/>
    </row>
    <row r="115" spans="1:12" s="45" customFormat="1">
      <c r="A115" s="51"/>
      <c r="B115" s="6"/>
      <c r="C115" s="6"/>
      <c r="E115" s="20"/>
      <c r="F115" s="6"/>
      <c r="G115" s="6"/>
      <c r="H115" s="6"/>
      <c r="I115" s="6"/>
      <c r="J115" s="6"/>
      <c r="K115" s="6"/>
      <c r="L115" s="6"/>
    </row>
    <row r="119" spans="1:12" s="45" customFormat="1">
      <c r="A119" s="44"/>
      <c r="B119" s="6"/>
      <c r="C119" s="46"/>
      <c r="E119" s="20"/>
      <c r="F119" s="6"/>
      <c r="G119" s="6"/>
      <c r="H119" s="6"/>
      <c r="I119" s="6"/>
      <c r="J119" s="6"/>
      <c r="K119" s="6"/>
      <c r="L119" s="6"/>
    </row>
    <row r="120" spans="1:12" s="45" customFormat="1">
      <c r="A120" s="44"/>
      <c r="B120" s="6"/>
      <c r="C120" s="46"/>
      <c r="E120" s="20"/>
      <c r="F120" s="6"/>
      <c r="G120" s="6"/>
      <c r="H120" s="6"/>
      <c r="I120" s="6"/>
      <c r="J120" s="6"/>
      <c r="K120" s="6"/>
      <c r="L120" s="6"/>
    </row>
    <row r="124" spans="1:12" s="45" customFormat="1">
      <c r="A124" s="51"/>
      <c r="B124" s="6"/>
      <c r="C124" s="6"/>
      <c r="E124" s="20"/>
      <c r="F124" s="6"/>
      <c r="G124" s="6"/>
      <c r="H124" s="6"/>
      <c r="I124" s="6"/>
      <c r="J124" s="6"/>
      <c r="K124" s="6"/>
      <c r="L124" s="6"/>
    </row>
    <row r="126" spans="1:12" s="45" customFormat="1">
      <c r="A126" s="44"/>
      <c r="B126" s="6"/>
      <c r="C126" s="46"/>
      <c r="E126" s="20"/>
      <c r="F126" s="6"/>
      <c r="G126" s="6"/>
      <c r="H126" s="6"/>
      <c r="I126" s="6"/>
      <c r="J126" s="6"/>
      <c r="K126" s="6"/>
      <c r="L126" s="6"/>
    </row>
    <row r="127" spans="1:12" s="45" customFormat="1">
      <c r="A127" s="44"/>
      <c r="B127" s="6"/>
      <c r="C127" s="46"/>
      <c r="E127" s="20"/>
      <c r="F127" s="6"/>
      <c r="G127" s="6"/>
      <c r="H127" s="6"/>
      <c r="I127" s="6"/>
      <c r="J127" s="6"/>
      <c r="K127" s="6"/>
      <c r="L127" s="6"/>
    </row>
    <row r="128" spans="1:12" s="45" customFormat="1">
      <c r="A128" s="44"/>
      <c r="B128" s="6"/>
      <c r="C128" s="46"/>
      <c r="E128" s="20"/>
      <c r="F128" s="6"/>
      <c r="G128" s="6"/>
      <c r="H128" s="6"/>
      <c r="I128" s="6"/>
      <c r="J128" s="6"/>
      <c r="K128" s="6"/>
      <c r="L128" s="6"/>
    </row>
    <row r="133" spans="1:12" s="45" customFormat="1">
      <c r="A133" s="44"/>
      <c r="B133" s="6"/>
      <c r="C133" s="46"/>
      <c r="E133" s="20"/>
      <c r="F133" s="6"/>
      <c r="G133" s="6"/>
      <c r="H133" s="6"/>
      <c r="I133" s="6"/>
      <c r="J133" s="6"/>
      <c r="K133" s="6"/>
      <c r="L133" s="6"/>
    </row>
    <row r="134" spans="1:12" s="45" customFormat="1">
      <c r="A134" s="44"/>
      <c r="B134" s="6"/>
      <c r="C134" s="46"/>
      <c r="E134" s="20"/>
      <c r="F134" s="6"/>
      <c r="G134" s="6"/>
      <c r="H134" s="6"/>
      <c r="I134" s="6"/>
      <c r="J134" s="6"/>
      <c r="K134" s="6"/>
      <c r="L134" s="6"/>
    </row>
    <row r="135" spans="1:12" s="45" customFormat="1">
      <c r="A135" s="44"/>
      <c r="B135" s="6"/>
      <c r="C135" s="46"/>
      <c r="E135" s="20"/>
      <c r="F135" s="6"/>
      <c r="G135" s="6"/>
      <c r="H135" s="6"/>
      <c r="I135" s="6"/>
      <c r="J135" s="6"/>
      <c r="K135" s="6"/>
      <c r="L135" s="6"/>
    </row>
    <row r="138" spans="1:12" s="45" customFormat="1">
      <c r="A138" s="44"/>
      <c r="B138" s="6"/>
      <c r="C138" s="46"/>
      <c r="E138" s="20"/>
      <c r="F138" s="6"/>
      <c r="G138" s="6"/>
      <c r="H138" s="6"/>
      <c r="I138" s="6"/>
      <c r="J138" s="6"/>
      <c r="K138" s="6"/>
      <c r="L138" s="6"/>
    </row>
    <row r="157" spans="1:12" s="45" customFormat="1">
      <c r="A157" s="44"/>
      <c r="B157" s="6"/>
      <c r="C157" s="46"/>
      <c r="E157" s="20"/>
      <c r="F157" s="6"/>
      <c r="G157" s="6"/>
      <c r="H157" s="6"/>
      <c r="I157" s="6"/>
      <c r="J157" s="6"/>
      <c r="K157" s="6"/>
      <c r="L157" s="6"/>
    </row>
    <row r="163" spans="1:12" s="45" customFormat="1">
      <c r="A163" s="44"/>
      <c r="B163" s="6"/>
      <c r="C163" s="46"/>
      <c r="E163" s="20"/>
      <c r="F163" s="6"/>
      <c r="G163" s="6"/>
      <c r="H163" s="6"/>
      <c r="I163" s="6"/>
      <c r="J163" s="6"/>
      <c r="K163" s="6"/>
      <c r="L163" s="6"/>
    </row>
    <row r="165" spans="1:12" s="45" customFormat="1">
      <c r="A165" s="44"/>
      <c r="B165" s="6"/>
      <c r="C165" s="46"/>
      <c r="E165" s="20"/>
      <c r="F165" s="6"/>
      <c r="G165" s="6"/>
      <c r="H165" s="6"/>
      <c r="I165" s="6"/>
      <c r="J165" s="6"/>
      <c r="K165" s="6"/>
      <c r="L165" s="6"/>
    </row>
    <row r="169" spans="1:12" s="45" customFormat="1">
      <c r="A169" s="44"/>
      <c r="B169" s="6"/>
      <c r="C169" s="46"/>
      <c r="E169" s="20"/>
      <c r="F169" s="6"/>
      <c r="G169" s="6"/>
      <c r="H169" s="6"/>
      <c r="I169" s="6"/>
      <c r="J169" s="6"/>
      <c r="K169" s="6"/>
      <c r="L169" s="6"/>
    </row>
    <row r="173" spans="1:12" s="45" customFormat="1">
      <c r="A173" s="44"/>
      <c r="B173" s="6"/>
      <c r="C173" s="46"/>
      <c r="E173" s="20"/>
      <c r="F173" s="6"/>
      <c r="G173" s="6"/>
      <c r="H173" s="6"/>
      <c r="I173" s="6"/>
      <c r="J173" s="6"/>
      <c r="K173" s="6"/>
      <c r="L173" s="6"/>
    </row>
    <row r="212" spans="4:7">
      <c r="G212" s="46"/>
    </row>
    <row r="224" spans="4:7">
      <c r="D224" s="50"/>
      <c r="E224" s="78"/>
    </row>
    <row r="233" spans="4:5">
      <c r="D233" s="50"/>
      <c r="E233" s="78"/>
    </row>
    <row r="241" spans="1:5">
      <c r="A241" s="51"/>
    </row>
    <row r="242" spans="1:5">
      <c r="A242" s="51"/>
      <c r="C242" s="46"/>
    </row>
    <row r="243" spans="1:5">
      <c r="C243" s="46"/>
    </row>
    <row r="245" spans="1:5">
      <c r="C245" s="46"/>
    </row>
    <row r="246" spans="1:5">
      <c r="C246" s="46"/>
    </row>
    <row r="247" spans="1:5">
      <c r="A247" s="51"/>
    </row>
    <row r="249" spans="1:5">
      <c r="A249" s="51"/>
      <c r="D249" s="50"/>
      <c r="E249" s="78"/>
    </row>
    <row r="259" spans="1:12" s="45" customFormat="1">
      <c r="A259" s="44"/>
      <c r="B259" s="6"/>
      <c r="C259" s="46"/>
      <c r="E259" s="20"/>
      <c r="F259" s="6"/>
      <c r="G259" s="6"/>
      <c r="H259" s="6"/>
      <c r="I259" s="6"/>
      <c r="J259" s="6"/>
      <c r="K259" s="6"/>
      <c r="L259" s="6"/>
    </row>
    <row r="260" spans="1:12" s="45" customFormat="1">
      <c r="A260" s="44"/>
      <c r="B260" s="6"/>
      <c r="C260" s="46"/>
      <c r="E260" s="20"/>
      <c r="F260" s="6"/>
      <c r="G260" s="6"/>
      <c r="H260" s="6"/>
      <c r="I260" s="6"/>
      <c r="J260" s="6"/>
      <c r="K260" s="6"/>
      <c r="L260" s="6"/>
    </row>
    <row r="261" spans="1:12" s="45" customFormat="1">
      <c r="A261" s="44"/>
      <c r="B261" s="6"/>
      <c r="C261" s="46"/>
      <c r="E261" s="20"/>
      <c r="F261" s="6"/>
      <c r="G261" s="6"/>
      <c r="H261" s="6"/>
      <c r="I261" s="6"/>
      <c r="J261" s="6"/>
      <c r="K261" s="6"/>
      <c r="L261" s="6"/>
    </row>
    <row r="269" spans="1:12" s="45" customFormat="1">
      <c r="A269" s="51"/>
      <c r="B269" s="6"/>
      <c r="C269" s="6"/>
      <c r="E269" s="20"/>
      <c r="F269" s="6"/>
      <c r="G269" s="6"/>
      <c r="H269" s="6"/>
      <c r="I269" s="6"/>
      <c r="J269" s="6"/>
      <c r="K269" s="6"/>
      <c r="L269" s="6"/>
    </row>
    <row r="273" spans="1:5">
      <c r="A273" s="51"/>
    </row>
    <row r="276" spans="1:5">
      <c r="D276" s="50"/>
      <c r="E276" s="78"/>
    </row>
    <row r="277" spans="1:5">
      <c r="C277" s="46"/>
    </row>
    <row r="279" spans="1:5">
      <c r="C279" s="46"/>
    </row>
    <row r="282" spans="1:5">
      <c r="A282" s="51"/>
    </row>
    <row r="283" spans="1:5">
      <c r="A283" s="51"/>
    </row>
    <row r="285" spans="1:5">
      <c r="C285" s="46"/>
    </row>
    <row r="286" spans="1:5">
      <c r="C286" s="46"/>
    </row>
    <row r="287" spans="1:5">
      <c r="C287" s="46"/>
    </row>
  </sheetData>
  <phoneticPr fontId="25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70" zoomScaleSheetLayoutView="70" workbookViewId="0">
      <pane xSplit="1" ySplit="4" topLeftCell="B5" activePane="bottomRight" state="frozen"/>
      <selection activeCell="S46" sqref="S46"/>
      <selection pane="topRight" activeCell="S46" sqref="S46"/>
      <selection pane="bottomLeft" activeCell="S46" sqref="S46"/>
      <selection pane="bottomRight" activeCell="E33" sqref="E33"/>
    </sheetView>
  </sheetViews>
  <sheetFormatPr baseColWidth="10" defaultRowHeight="12.75"/>
  <cols>
    <col min="1" max="1" width="11.42578125" style="6" customWidth="1"/>
    <col min="2" max="2" width="7.85546875" style="6" bestFit="1" customWidth="1"/>
    <col min="3" max="3" width="11.5703125" style="6" bestFit="1" customWidth="1"/>
    <col min="4" max="4" width="15.28515625" style="6" bestFit="1" customWidth="1"/>
    <col min="5" max="5" width="11.7109375" style="6" customWidth="1"/>
    <col min="6" max="6" width="11.42578125" style="6" customWidth="1"/>
    <col min="7" max="7" width="8.28515625" style="6" customWidth="1"/>
    <col min="8" max="9" width="11.42578125" style="6" customWidth="1"/>
    <col min="10" max="10" width="7.85546875" style="6" bestFit="1" customWidth="1"/>
    <col min="11" max="11" width="11.42578125" style="6" customWidth="1"/>
    <col min="12" max="12" width="8.42578125" style="6" bestFit="1" customWidth="1"/>
    <col min="13" max="13" width="11.42578125" style="6" customWidth="1"/>
    <col min="14" max="15" width="0" style="6" hidden="1" customWidth="1"/>
    <col min="16" max="16384" width="11.42578125" style="6"/>
  </cols>
  <sheetData>
    <row r="1" spans="1:17" ht="20.25">
      <c r="A1" s="631" t="s">
        <v>463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7" ht="20.25">
      <c r="A2" s="608"/>
    </row>
    <row r="3" spans="1:17" ht="13.5" thickBot="1"/>
    <row r="4" spans="1:17" ht="22.5">
      <c r="A4" s="7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9" t="s">
        <v>31</v>
      </c>
      <c r="N4" s="8" t="s">
        <v>32</v>
      </c>
      <c r="O4" s="9" t="s">
        <v>33</v>
      </c>
    </row>
    <row r="5" spans="1:17">
      <c r="A5" s="10">
        <v>2005</v>
      </c>
      <c r="B5" s="11">
        <v>4373</v>
      </c>
      <c r="C5" s="12">
        <v>0.6803109993139721</v>
      </c>
      <c r="D5" s="13">
        <f>+B5*C5</f>
        <v>2975</v>
      </c>
      <c r="E5" s="12">
        <v>0.16739495798319326</v>
      </c>
      <c r="F5" s="11">
        <f t="shared" ref="F5:F17" si="0">D5*(1-E5)</f>
        <v>2477</v>
      </c>
      <c r="G5" s="12">
        <v>0.10617682680662091</v>
      </c>
      <c r="H5" s="11">
        <f>+F5*G5</f>
        <v>263</v>
      </c>
      <c r="I5" s="13">
        <f t="shared" ref="I5:I17" si="1">+F5-H5</f>
        <v>2214</v>
      </c>
      <c r="J5" s="12">
        <v>0.44037940379403795</v>
      </c>
      <c r="K5" s="11">
        <v>975</v>
      </c>
      <c r="L5" s="12">
        <f>+M5/$I$5</f>
        <v>0.46883468834688347</v>
      </c>
      <c r="M5" s="14">
        <v>1038</v>
      </c>
      <c r="N5" s="11">
        <v>975</v>
      </c>
      <c r="O5" s="14">
        <v>838</v>
      </c>
    </row>
    <row r="6" spans="1:17">
      <c r="A6" s="10">
        <v>2006</v>
      </c>
      <c r="B6" s="11">
        <v>4274</v>
      </c>
      <c r="C6" s="12">
        <v>0.5868039307440337</v>
      </c>
      <c r="D6" s="11">
        <f t="shared" ref="D6:D17" si="2">+B6*C6</f>
        <v>2508</v>
      </c>
      <c r="E6" s="12">
        <v>3.0701754385964897E-2</v>
      </c>
      <c r="F6" s="11">
        <f t="shared" si="0"/>
        <v>2431</v>
      </c>
      <c r="G6" s="12">
        <v>6.3348416289592757E-2</v>
      </c>
      <c r="H6" s="11">
        <f t="shared" ref="H6:H17" si="3">+F6*G6</f>
        <v>154</v>
      </c>
      <c r="I6" s="13">
        <f t="shared" si="1"/>
        <v>2277</v>
      </c>
      <c r="J6" s="12">
        <v>0.51251646903820813</v>
      </c>
      <c r="K6" s="11">
        <v>1167</v>
      </c>
      <c r="L6" s="12">
        <f>+M6/$I$6</f>
        <v>0.48748353096179181</v>
      </c>
      <c r="M6" s="14">
        <v>1110</v>
      </c>
      <c r="N6" s="11">
        <v>1108</v>
      </c>
      <c r="O6" s="14">
        <v>905</v>
      </c>
    </row>
    <row r="7" spans="1:17">
      <c r="A7" s="10">
        <v>2007</v>
      </c>
      <c r="B7" s="11">
        <v>3696</v>
      </c>
      <c r="C7" s="15">
        <v>0.64962121212121215</v>
      </c>
      <c r="D7" s="11">
        <f t="shared" si="2"/>
        <v>2401</v>
      </c>
      <c r="E7" s="12">
        <v>3.0403998334027516E-2</v>
      </c>
      <c r="F7" s="11">
        <f t="shared" si="0"/>
        <v>2328</v>
      </c>
      <c r="G7" s="12">
        <v>4.9828178694158079E-2</v>
      </c>
      <c r="H7" s="11">
        <f t="shared" si="3"/>
        <v>116.00000000000001</v>
      </c>
      <c r="I7" s="13">
        <f t="shared" si="1"/>
        <v>2212</v>
      </c>
      <c r="J7" s="12">
        <v>0.5</v>
      </c>
      <c r="K7" s="11">
        <v>1106</v>
      </c>
      <c r="L7" s="12">
        <f>+M7/$I$7</f>
        <v>0.5</v>
      </c>
      <c r="M7" s="14">
        <v>1106</v>
      </c>
      <c r="N7" s="11">
        <v>1106</v>
      </c>
      <c r="O7" s="14">
        <v>906</v>
      </c>
    </row>
    <row r="8" spans="1:17" s="20" customFormat="1">
      <c r="A8" s="16">
        <v>2008</v>
      </c>
      <c r="B8" s="11">
        <v>5472</v>
      </c>
      <c r="C8" s="17">
        <v>0.6</v>
      </c>
      <c r="D8" s="18">
        <f t="shared" si="2"/>
        <v>3283.2</v>
      </c>
      <c r="E8" s="17">
        <v>0.06</v>
      </c>
      <c r="F8" s="13">
        <f t="shared" si="0"/>
        <v>3086.2079999999996</v>
      </c>
      <c r="G8" s="17">
        <f>H8/F8</f>
        <v>8.9754157853262004E-2</v>
      </c>
      <c r="H8" s="18">
        <v>277</v>
      </c>
      <c r="I8" s="18">
        <f t="shared" si="1"/>
        <v>2809.2079999999996</v>
      </c>
      <c r="J8" s="17">
        <v>0.49</v>
      </c>
      <c r="K8" s="18">
        <f>J8*I8</f>
        <v>1376.5119199999997</v>
      </c>
      <c r="L8" s="17">
        <v>0.51</v>
      </c>
      <c r="M8" s="35">
        <f>L8*I8</f>
        <v>1432.6960799999999</v>
      </c>
      <c r="N8" s="18">
        <f>1249-43</f>
        <v>1206</v>
      </c>
      <c r="O8" s="19">
        <v>1162</v>
      </c>
      <c r="P8" s="20" t="s">
        <v>35</v>
      </c>
      <c r="Q8" s="20" t="s">
        <v>36</v>
      </c>
    </row>
    <row r="9" spans="1:17">
      <c r="A9" s="10" t="s">
        <v>34</v>
      </c>
      <c r="B9" s="11">
        <v>5011</v>
      </c>
      <c r="C9" s="12">
        <v>0.62</v>
      </c>
      <c r="D9" s="18">
        <f t="shared" si="2"/>
        <v>3106.82</v>
      </c>
      <c r="E9" s="17">
        <v>0.03</v>
      </c>
      <c r="F9" s="13">
        <f t="shared" si="0"/>
        <v>3013.6154000000001</v>
      </c>
      <c r="G9" s="12">
        <v>6.9559228650137736E-2</v>
      </c>
      <c r="H9" s="13">
        <f t="shared" si="3"/>
        <v>209.6247626721763</v>
      </c>
      <c r="I9" s="13">
        <f t="shared" si="1"/>
        <v>2803.9906373278236</v>
      </c>
      <c r="J9" s="36">
        <v>0.49740932642487046</v>
      </c>
      <c r="K9" s="37">
        <v>1306</v>
      </c>
      <c r="L9" s="36">
        <v>0.49740932642487046</v>
      </c>
      <c r="M9" s="38">
        <v>1344</v>
      </c>
      <c r="N9" s="13">
        <v>1259</v>
      </c>
      <c r="O9" s="14">
        <v>1262</v>
      </c>
      <c r="P9" s="44">
        <v>2626</v>
      </c>
      <c r="Q9" s="44">
        <f>-P9+(M6+K6)</f>
        <v>-349</v>
      </c>
    </row>
    <row r="10" spans="1:17">
      <c r="A10" s="21">
        <v>2010</v>
      </c>
      <c r="B10" s="11">
        <v>4612</v>
      </c>
      <c r="C10" s="22">
        <v>0.7</v>
      </c>
      <c r="D10" s="18">
        <f t="shared" si="2"/>
        <v>3228.3999999999996</v>
      </c>
      <c r="E10" s="17">
        <v>0.03</v>
      </c>
      <c r="F10" s="13">
        <f t="shared" si="0"/>
        <v>3131.5479999999998</v>
      </c>
      <c r="G10" s="22">
        <v>6.9729015201586253E-2</v>
      </c>
      <c r="H10" s="23">
        <f t="shared" si="3"/>
        <v>218.35975809649702</v>
      </c>
      <c r="I10" s="23">
        <f t="shared" si="1"/>
        <v>2913.1882419035028</v>
      </c>
      <c r="J10" s="41">
        <v>0.5</v>
      </c>
      <c r="K10" s="42">
        <f>J10*I10</f>
        <v>1456.5941209517514</v>
      </c>
      <c r="L10" s="41">
        <v>0.5</v>
      </c>
      <c r="M10" s="43">
        <f>L10*I10</f>
        <v>1456.5941209517514</v>
      </c>
      <c r="N10" s="23">
        <v>1319</v>
      </c>
      <c r="O10" s="25">
        <v>1312</v>
      </c>
      <c r="P10" s="44">
        <v>2200</v>
      </c>
      <c r="Q10" s="44">
        <f>-P10+(M7+K7)</f>
        <v>12</v>
      </c>
    </row>
    <row r="11" spans="1:17">
      <c r="A11" s="21">
        <v>2011</v>
      </c>
      <c r="B11" s="11">
        <v>4212</v>
      </c>
      <c r="C11" s="22">
        <v>0.75</v>
      </c>
      <c r="D11" s="18">
        <f t="shared" si="2"/>
        <v>3159</v>
      </c>
      <c r="E11" s="22">
        <v>0.03</v>
      </c>
      <c r="F11" s="18">
        <f t="shared" si="0"/>
        <v>3064.23</v>
      </c>
      <c r="G11" s="22">
        <v>0.05</v>
      </c>
      <c r="H11" s="23">
        <f t="shared" si="3"/>
        <v>153.2115</v>
      </c>
      <c r="I11" s="23">
        <f t="shared" si="1"/>
        <v>2911.0185000000001</v>
      </c>
      <c r="J11" s="41">
        <v>0.5</v>
      </c>
      <c r="K11" s="42">
        <f t="shared" ref="K11:K16" si="4">J11*I11</f>
        <v>1455.5092500000001</v>
      </c>
      <c r="L11" s="41">
        <v>0.5</v>
      </c>
      <c r="M11" s="43">
        <f t="shared" ref="M11:M16" si="5">L11*I11</f>
        <v>1455.5092500000001</v>
      </c>
      <c r="N11" s="23">
        <v>1380</v>
      </c>
      <c r="O11" s="25">
        <v>1472</v>
      </c>
      <c r="P11" s="44">
        <v>2200</v>
      </c>
      <c r="Q11" s="44">
        <f>-P11+(M8+K8)</f>
        <v>609.20799999999963</v>
      </c>
    </row>
    <row r="12" spans="1:17">
      <c r="A12" s="21">
        <v>2012</v>
      </c>
      <c r="B12" s="11">
        <v>4789</v>
      </c>
      <c r="C12" s="22">
        <v>0.8</v>
      </c>
      <c r="D12" s="18">
        <f t="shared" si="2"/>
        <v>3831.2000000000003</v>
      </c>
      <c r="E12" s="22">
        <v>0.03</v>
      </c>
      <c r="F12" s="18">
        <f t="shared" si="0"/>
        <v>3716.2640000000001</v>
      </c>
      <c r="G12" s="22">
        <v>0.05</v>
      </c>
      <c r="H12" s="23">
        <f t="shared" si="3"/>
        <v>185.81320000000002</v>
      </c>
      <c r="I12" s="23">
        <f t="shared" si="1"/>
        <v>3530.4508000000001</v>
      </c>
      <c r="J12" s="41">
        <v>0.5</v>
      </c>
      <c r="K12" s="42">
        <f t="shared" si="4"/>
        <v>1765.2254</v>
      </c>
      <c r="L12" s="41">
        <v>0.5</v>
      </c>
      <c r="M12" s="43">
        <f t="shared" si="5"/>
        <v>1765.2254</v>
      </c>
      <c r="N12" s="23">
        <v>1398</v>
      </c>
      <c r="O12" s="25">
        <v>1472</v>
      </c>
      <c r="P12" s="44">
        <v>2800</v>
      </c>
      <c r="Q12" s="44">
        <f>-P12+(M9+K9)</f>
        <v>-150</v>
      </c>
    </row>
    <row r="13" spans="1:17">
      <c r="A13" s="21">
        <v>2013</v>
      </c>
      <c r="B13" s="11">
        <v>5686</v>
      </c>
      <c r="C13" s="22">
        <v>0.8</v>
      </c>
      <c r="D13" s="18">
        <f t="shared" si="2"/>
        <v>4548.8</v>
      </c>
      <c r="E13" s="22">
        <v>0.03</v>
      </c>
      <c r="F13" s="18">
        <f t="shared" si="0"/>
        <v>4412.3360000000002</v>
      </c>
      <c r="G13" s="22">
        <v>0.05</v>
      </c>
      <c r="H13" s="23">
        <f t="shared" si="3"/>
        <v>220.61680000000001</v>
      </c>
      <c r="I13" s="23">
        <f t="shared" si="1"/>
        <v>4191.7192000000005</v>
      </c>
      <c r="J13" s="41">
        <v>0.5</v>
      </c>
      <c r="K13" s="42">
        <f t="shared" si="4"/>
        <v>2095.8596000000002</v>
      </c>
      <c r="L13" s="41">
        <v>0.5</v>
      </c>
      <c r="M13" s="43">
        <f t="shared" si="5"/>
        <v>2095.8596000000002</v>
      </c>
      <c r="N13" s="23">
        <v>1416</v>
      </c>
      <c r="O13" s="25">
        <v>1472</v>
      </c>
      <c r="P13" s="44">
        <v>3000</v>
      </c>
      <c r="Q13" s="44">
        <f>-P13+(M10+K10)</f>
        <v>-86.811758096497215</v>
      </c>
    </row>
    <row r="14" spans="1:17">
      <c r="A14" s="21">
        <v>2014</v>
      </c>
      <c r="B14" s="11">
        <v>5000</v>
      </c>
      <c r="C14" s="22">
        <v>0.8</v>
      </c>
      <c r="D14" s="18">
        <f t="shared" si="2"/>
        <v>4000</v>
      </c>
      <c r="E14" s="22">
        <v>0.03</v>
      </c>
      <c r="F14" s="18">
        <f t="shared" si="0"/>
        <v>3880</v>
      </c>
      <c r="G14" s="22">
        <v>0.05</v>
      </c>
      <c r="H14" s="23">
        <f t="shared" si="3"/>
        <v>194</v>
      </c>
      <c r="I14" s="23">
        <f t="shared" si="1"/>
        <v>3686</v>
      </c>
      <c r="J14" s="41">
        <v>0.5</v>
      </c>
      <c r="K14" s="42">
        <f t="shared" si="4"/>
        <v>1843</v>
      </c>
      <c r="L14" s="41">
        <v>0.5</v>
      </c>
      <c r="M14" s="43">
        <f t="shared" si="5"/>
        <v>1843</v>
      </c>
      <c r="N14" s="23">
        <v>1434</v>
      </c>
      <c r="O14" s="25">
        <v>1472</v>
      </c>
      <c r="P14" s="44">
        <v>3749</v>
      </c>
      <c r="Q14" s="44">
        <f>-P14+(M11+K13)</f>
        <v>-197.63114999999971</v>
      </c>
    </row>
    <row r="15" spans="1:17">
      <c r="A15" s="21">
        <v>2015</v>
      </c>
      <c r="B15" s="11">
        <v>5000</v>
      </c>
      <c r="C15" s="22">
        <v>0.8</v>
      </c>
      <c r="D15" s="18">
        <f t="shared" si="2"/>
        <v>4000</v>
      </c>
      <c r="E15" s="22">
        <v>0.03</v>
      </c>
      <c r="F15" s="13">
        <f t="shared" si="0"/>
        <v>3880</v>
      </c>
      <c r="G15" s="22">
        <v>0.05</v>
      </c>
      <c r="H15" s="23">
        <f t="shared" si="3"/>
        <v>194</v>
      </c>
      <c r="I15" s="23">
        <f t="shared" si="1"/>
        <v>3686</v>
      </c>
      <c r="J15" s="41">
        <v>0.5</v>
      </c>
      <c r="K15" s="42">
        <f t="shared" si="4"/>
        <v>1843</v>
      </c>
      <c r="L15" s="41">
        <v>0.5</v>
      </c>
      <c r="M15" s="43">
        <f t="shared" si="5"/>
        <v>1843</v>
      </c>
      <c r="N15" s="23">
        <v>1452</v>
      </c>
      <c r="O15" s="25">
        <v>1472</v>
      </c>
      <c r="P15" s="44">
        <v>3973</v>
      </c>
      <c r="Q15" s="44">
        <f>-P15+(M12+K14)</f>
        <v>-364.77459999999974</v>
      </c>
    </row>
    <row r="16" spans="1:17">
      <c r="A16" s="21">
        <v>2016</v>
      </c>
      <c r="B16" s="11">
        <v>5200</v>
      </c>
      <c r="C16" s="22">
        <v>0.8</v>
      </c>
      <c r="D16" s="18">
        <f t="shared" si="2"/>
        <v>4160</v>
      </c>
      <c r="E16" s="22">
        <v>0.03</v>
      </c>
      <c r="F16" s="13">
        <f t="shared" si="0"/>
        <v>4035.2</v>
      </c>
      <c r="G16" s="22">
        <v>0.05</v>
      </c>
      <c r="H16" s="23">
        <f t="shared" si="3"/>
        <v>201.76</v>
      </c>
      <c r="I16" s="23">
        <f t="shared" si="1"/>
        <v>3833.4399999999996</v>
      </c>
      <c r="J16" s="41">
        <v>0.5</v>
      </c>
      <c r="K16" s="42">
        <f t="shared" si="4"/>
        <v>1916.7199999999998</v>
      </c>
      <c r="L16" s="41">
        <v>0.5</v>
      </c>
      <c r="M16" s="43">
        <f t="shared" si="5"/>
        <v>1916.7199999999998</v>
      </c>
      <c r="N16" s="23">
        <v>1470</v>
      </c>
      <c r="O16" s="25">
        <v>1472</v>
      </c>
      <c r="P16" s="44">
        <v>3973</v>
      </c>
      <c r="Q16" s="44">
        <f>-P16+(M13+K15)</f>
        <v>-34.140399999999772</v>
      </c>
    </row>
    <row r="17" spans="1:16" s="469" customFormat="1">
      <c r="A17" s="462">
        <v>2017</v>
      </c>
      <c r="B17" s="463">
        <v>4900</v>
      </c>
      <c r="C17" s="464">
        <v>0.8</v>
      </c>
      <c r="D17" s="465">
        <f t="shared" si="2"/>
        <v>3920</v>
      </c>
      <c r="E17" s="464">
        <v>0.03</v>
      </c>
      <c r="F17" s="465">
        <f t="shared" si="0"/>
        <v>3802.4</v>
      </c>
      <c r="G17" s="464">
        <v>0.05</v>
      </c>
      <c r="H17" s="466">
        <f t="shared" si="3"/>
        <v>190.12</v>
      </c>
      <c r="I17" s="466">
        <f t="shared" si="1"/>
        <v>3612.28</v>
      </c>
      <c r="J17" s="470">
        <v>0.5</v>
      </c>
      <c r="K17" s="471">
        <f>J17*I17</f>
        <v>1806.14</v>
      </c>
      <c r="L17" s="470">
        <v>0.5</v>
      </c>
      <c r="M17" s="472">
        <f>L17*I17</f>
        <v>1806.14</v>
      </c>
      <c r="N17" s="466">
        <v>1470</v>
      </c>
      <c r="O17" s="467">
        <v>1472</v>
      </c>
      <c r="P17" s="468"/>
    </row>
    <row r="18" spans="1:16">
      <c r="A18" s="21"/>
      <c r="B18" s="27"/>
      <c r="C18" s="464"/>
      <c r="D18" s="465"/>
      <c r="E18" s="464"/>
      <c r="F18" s="465"/>
      <c r="G18" s="464"/>
      <c r="H18" s="466"/>
      <c r="I18" s="466"/>
      <c r="J18" s="470"/>
      <c r="K18" s="471"/>
      <c r="L18" s="470"/>
      <c r="M18" s="472"/>
      <c r="N18" s="23"/>
      <c r="O18" s="25"/>
      <c r="P18" s="44"/>
    </row>
    <row r="19" spans="1:16">
      <c r="A19" s="21"/>
      <c r="B19" s="27"/>
      <c r="C19" s="22"/>
      <c r="D19" s="28"/>
      <c r="E19" s="22"/>
      <c r="F19" s="23"/>
      <c r="G19" s="22"/>
      <c r="H19" s="23"/>
      <c r="I19" s="23"/>
      <c r="J19" s="22"/>
      <c r="K19" s="23"/>
      <c r="L19" s="22"/>
      <c r="M19" s="24"/>
      <c r="N19" s="23">
        <v>1470</v>
      </c>
      <c r="O19" s="25">
        <v>1472</v>
      </c>
      <c r="P19" s="44"/>
    </row>
    <row r="20" spans="1:16" ht="13.5" thickBot="1">
      <c r="A20" s="29"/>
      <c r="B20" s="30"/>
      <c r="C20" s="39"/>
      <c r="D20" s="32"/>
      <c r="E20" s="31"/>
      <c r="F20" s="33"/>
      <c r="G20" s="31"/>
      <c r="H20" s="33"/>
      <c r="I20" s="33"/>
      <c r="J20" s="31"/>
      <c r="K20" s="33"/>
      <c r="L20" s="31"/>
      <c r="M20" s="40"/>
      <c r="N20" s="33">
        <v>1470</v>
      </c>
      <c r="O20" s="34">
        <v>1472</v>
      </c>
      <c r="P20" s="44"/>
    </row>
    <row r="25" spans="1:16">
      <c r="F25" s="6">
        <f>F17*0.5</f>
        <v>1901.2</v>
      </c>
      <c r="H25" s="6">
        <f>H17/2</f>
        <v>95.06</v>
      </c>
    </row>
  </sheetData>
  <mergeCells count="1">
    <mergeCell ref="A1:M1"/>
  </mergeCells>
  <phoneticPr fontId="25" type="noConversion"/>
  <printOptions horizontalCentered="1"/>
  <pageMargins left="0.94" right="0.75" top="1.1811023622047245" bottom="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="85" zoomScaleNormal="85" workbookViewId="0">
      <pane xSplit="1" ySplit="5" topLeftCell="B6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baseColWidth="10" defaultRowHeight="12.75"/>
  <cols>
    <col min="1" max="1" width="11.42578125" style="6" customWidth="1"/>
    <col min="2" max="2" width="7.85546875" style="6" bestFit="1" customWidth="1"/>
    <col min="3" max="3" width="11.5703125" style="6" bestFit="1" customWidth="1"/>
    <col min="4" max="4" width="15.28515625" style="6" bestFit="1" customWidth="1"/>
    <col min="5" max="5" width="11.7109375" style="6" customWidth="1"/>
    <col min="6" max="6" width="11.42578125" style="6" customWidth="1"/>
    <col min="7" max="7" width="8.28515625" style="6" customWidth="1"/>
    <col min="8" max="9" width="11.42578125" style="6" customWidth="1"/>
    <col min="10" max="10" width="7.85546875" style="6" bestFit="1" customWidth="1"/>
    <col min="11" max="11" width="11.42578125" style="6" customWidth="1"/>
    <col min="12" max="12" width="8.42578125" style="6" bestFit="1" customWidth="1"/>
    <col min="13" max="13" width="11.42578125" style="6" customWidth="1"/>
    <col min="14" max="15" width="0" style="6" hidden="1" customWidth="1"/>
    <col min="16" max="16384" width="11.42578125" style="6"/>
  </cols>
  <sheetData>
    <row r="1" spans="1:16" ht="15.75">
      <c r="A1" s="5" t="s">
        <v>16</v>
      </c>
    </row>
    <row r="2" spans="1:16" ht="15.75">
      <c r="A2" s="5" t="s">
        <v>17</v>
      </c>
    </row>
    <row r="3" spans="1:16" ht="15.75">
      <c r="A3" s="5" t="s">
        <v>18</v>
      </c>
    </row>
    <row r="4" spans="1:16" ht="13.5" thickBot="1"/>
    <row r="5" spans="1:16" ht="22.5">
      <c r="A5" s="7" t="s">
        <v>19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9" t="s">
        <v>31</v>
      </c>
      <c r="N5" s="8" t="s">
        <v>32</v>
      </c>
      <c r="O5" s="9" t="s">
        <v>33</v>
      </c>
    </row>
    <row r="6" spans="1:16">
      <c r="A6" s="10">
        <v>2005</v>
      </c>
      <c r="B6" s="11">
        <v>4373</v>
      </c>
      <c r="C6" s="12">
        <v>0.6803109993139721</v>
      </c>
      <c r="D6" s="13">
        <f>+B6*C6</f>
        <v>2975</v>
      </c>
      <c r="E6" s="12">
        <v>0.16739495798319326</v>
      </c>
      <c r="F6" s="11">
        <f t="shared" ref="F6:F21" si="0">D6*(1-E6)</f>
        <v>2477</v>
      </c>
      <c r="G6" s="12">
        <v>0.10617682680662091</v>
      </c>
      <c r="H6" s="11">
        <f>+F6*G6</f>
        <v>263</v>
      </c>
      <c r="I6" s="13">
        <f t="shared" ref="I6:I21" si="1">+F6-H6</f>
        <v>2214</v>
      </c>
      <c r="J6" s="12">
        <v>0.44037940379403795</v>
      </c>
      <c r="K6" s="11">
        <v>975</v>
      </c>
      <c r="L6" s="12">
        <f>+M6/$I$6</f>
        <v>0.46883468834688347</v>
      </c>
      <c r="M6" s="14">
        <v>1038</v>
      </c>
      <c r="N6" s="11">
        <v>975</v>
      </c>
      <c r="O6" s="14">
        <v>838</v>
      </c>
    </row>
    <row r="7" spans="1:16">
      <c r="A7" s="10">
        <v>2006</v>
      </c>
      <c r="B7" s="11">
        <v>4274</v>
      </c>
      <c r="C7" s="12">
        <v>0.5868039307440337</v>
      </c>
      <c r="D7" s="11">
        <f t="shared" ref="D7:D21" si="2">+B7*C7</f>
        <v>2508</v>
      </c>
      <c r="E7" s="12">
        <v>3.0701754385964897E-2</v>
      </c>
      <c r="F7" s="11">
        <f t="shared" si="0"/>
        <v>2431</v>
      </c>
      <c r="G7" s="12">
        <v>6.3348416289592757E-2</v>
      </c>
      <c r="H7" s="11">
        <f t="shared" ref="H7:H21" si="3">+F7*G7</f>
        <v>154</v>
      </c>
      <c r="I7" s="13">
        <f t="shared" si="1"/>
        <v>2277</v>
      </c>
      <c r="J7" s="12">
        <v>0.51251646903820813</v>
      </c>
      <c r="K7" s="11">
        <v>1167</v>
      </c>
      <c r="L7" s="12">
        <f>+M7/$I$7</f>
        <v>0.48748353096179181</v>
      </c>
      <c r="M7" s="14">
        <v>1110</v>
      </c>
      <c r="N7" s="11">
        <v>1108</v>
      </c>
      <c r="O7" s="14">
        <v>905</v>
      </c>
    </row>
    <row r="8" spans="1:16">
      <c r="A8" s="10">
        <v>2007</v>
      </c>
      <c r="B8" s="11">
        <v>3696</v>
      </c>
      <c r="C8" s="15">
        <v>0.64962121212121215</v>
      </c>
      <c r="D8" s="11">
        <f t="shared" si="2"/>
        <v>2401</v>
      </c>
      <c r="E8" s="12">
        <v>3.0403998334027516E-2</v>
      </c>
      <c r="F8" s="11">
        <f t="shared" si="0"/>
        <v>2328</v>
      </c>
      <c r="G8" s="12">
        <v>4.9828178694158079E-2</v>
      </c>
      <c r="H8" s="11">
        <f t="shared" si="3"/>
        <v>116.00000000000001</v>
      </c>
      <c r="I8" s="13">
        <f t="shared" si="1"/>
        <v>2212</v>
      </c>
      <c r="J8" s="12">
        <v>0.5</v>
      </c>
      <c r="K8" s="11">
        <v>1106</v>
      </c>
      <c r="L8" s="12">
        <f>+M8/$I$8</f>
        <v>0.5</v>
      </c>
      <c r="M8" s="14">
        <v>1106</v>
      </c>
      <c r="N8" s="11">
        <v>1106</v>
      </c>
      <c r="O8" s="14">
        <v>906</v>
      </c>
    </row>
    <row r="9" spans="1:16" s="20" customFormat="1">
      <c r="A9" s="16">
        <v>2008</v>
      </c>
      <c r="B9" s="11">
        <v>5472</v>
      </c>
      <c r="C9" s="17">
        <v>0.6</v>
      </c>
      <c r="D9" s="18">
        <f t="shared" si="2"/>
        <v>3283.2</v>
      </c>
      <c r="E9" s="17">
        <v>0.06</v>
      </c>
      <c r="F9" s="13">
        <f t="shared" si="0"/>
        <v>3086.2079999999996</v>
      </c>
      <c r="G9" s="17">
        <f>H9/F9</f>
        <v>8.9754157853262004E-2</v>
      </c>
      <c r="H9" s="18">
        <v>277</v>
      </c>
      <c r="I9" s="18">
        <f t="shared" si="1"/>
        <v>2809.2079999999996</v>
      </c>
      <c r="J9" s="17">
        <v>0.49</v>
      </c>
      <c r="K9" s="18">
        <f>J9*I9</f>
        <v>1376.5119199999997</v>
      </c>
      <c r="L9" s="17">
        <v>0.51</v>
      </c>
      <c r="M9" s="35">
        <f>L9*I9</f>
        <v>1432.6960799999999</v>
      </c>
      <c r="N9" s="18">
        <f>1249-43</f>
        <v>1206</v>
      </c>
      <c r="O9" s="19">
        <v>1162</v>
      </c>
    </row>
    <row r="10" spans="1:16">
      <c r="A10" s="10" t="s">
        <v>34</v>
      </c>
      <c r="B10" s="11">
        <v>5011</v>
      </c>
      <c r="C10" s="12">
        <v>0.62</v>
      </c>
      <c r="D10" s="18">
        <f t="shared" si="2"/>
        <v>3106.82</v>
      </c>
      <c r="E10" s="17">
        <v>0.06</v>
      </c>
      <c r="F10" s="13">
        <f t="shared" si="0"/>
        <v>2920.4108000000001</v>
      </c>
      <c r="G10" s="12">
        <v>6.9559228650137736E-2</v>
      </c>
      <c r="H10" s="13">
        <f t="shared" si="3"/>
        <v>203.14152258953166</v>
      </c>
      <c r="I10" s="13">
        <f t="shared" si="1"/>
        <v>2717.2692774104685</v>
      </c>
      <c r="J10" s="12">
        <v>0.49740932642487046</v>
      </c>
      <c r="K10" s="13">
        <v>1306</v>
      </c>
      <c r="L10" s="12">
        <v>0.49740932642487046</v>
      </c>
      <c r="M10" s="14">
        <v>1344</v>
      </c>
      <c r="N10" s="13">
        <v>1259</v>
      </c>
      <c r="O10" s="14">
        <v>1262</v>
      </c>
    </row>
    <row r="11" spans="1:16">
      <c r="A11" s="21">
        <v>2010</v>
      </c>
      <c r="B11" s="11">
        <f t="shared" ref="B11:B21" si="4">4200+150</f>
        <v>4350</v>
      </c>
      <c r="C11" s="22">
        <v>0.63</v>
      </c>
      <c r="D11" s="18">
        <f t="shared" si="2"/>
        <v>2740.5</v>
      </c>
      <c r="E11" s="17">
        <v>0.06</v>
      </c>
      <c r="F11" s="13">
        <f t="shared" si="0"/>
        <v>2576.0699999999997</v>
      </c>
      <c r="G11" s="22">
        <v>6.9729015201586253E-2</v>
      </c>
      <c r="H11" s="23">
        <f t="shared" si="3"/>
        <v>179.62682419035028</v>
      </c>
      <c r="I11" s="23">
        <f t="shared" si="1"/>
        <v>2396.4431758096493</v>
      </c>
      <c r="J11" s="22">
        <v>0.5</v>
      </c>
      <c r="K11" s="23">
        <v>1331</v>
      </c>
      <c r="L11" s="22">
        <v>0.5</v>
      </c>
      <c r="M11" s="24">
        <f>+K11</f>
        <v>1331</v>
      </c>
      <c r="N11" s="23">
        <v>1319</v>
      </c>
      <c r="O11" s="25">
        <v>1312</v>
      </c>
      <c r="P11" s="26"/>
    </row>
    <row r="12" spans="1:16">
      <c r="A12" s="21">
        <v>2011</v>
      </c>
      <c r="B12" s="11">
        <f t="shared" si="4"/>
        <v>4350</v>
      </c>
      <c r="C12" s="22">
        <v>0.63</v>
      </c>
      <c r="D12" s="18">
        <f t="shared" si="2"/>
        <v>2740.5</v>
      </c>
      <c r="E12" s="22">
        <v>0.06</v>
      </c>
      <c r="F12" s="13">
        <f t="shared" si="0"/>
        <v>2576.0699999999997</v>
      </c>
      <c r="G12" s="22">
        <v>7.0000000000000007E-2</v>
      </c>
      <c r="H12" s="23">
        <f t="shared" si="3"/>
        <v>180.32489999999999</v>
      </c>
      <c r="I12" s="23">
        <f t="shared" si="1"/>
        <v>2395.7450999999996</v>
      </c>
      <c r="J12" s="22">
        <v>0.5</v>
      </c>
      <c r="K12" s="23">
        <v>1393</v>
      </c>
      <c r="L12" s="22">
        <v>0.5</v>
      </c>
      <c r="M12" s="25">
        <v>1472</v>
      </c>
      <c r="N12" s="23">
        <v>1380</v>
      </c>
      <c r="O12" s="25">
        <v>1472</v>
      </c>
      <c r="P12" s="26"/>
    </row>
    <row r="13" spans="1:16">
      <c r="A13" s="21">
        <v>2012</v>
      </c>
      <c r="B13" s="11">
        <f t="shared" si="4"/>
        <v>4350</v>
      </c>
      <c r="C13" s="22">
        <v>0.63</v>
      </c>
      <c r="D13" s="18">
        <f t="shared" si="2"/>
        <v>2740.5</v>
      </c>
      <c r="E13" s="22">
        <v>0.06</v>
      </c>
      <c r="F13" s="13">
        <f t="shared" si="0"/>
        <v>2576.0699999999997</v>
      </c>
      <c r="G13" s="22">
        <v>7.0000000000000007E-2</v>
      </c>
      <c r="H13" s="23">
        <f t="shared" si="3"/>
        <v>180.32489999999999</v>
      </c>
      <c r="I13" s="23">
        <f t="shared" si="1"/>
        <v>2395.7450999999996</v>
      </c>
      <c r="J13" s="22">
        <v>0.5</v>
      </c>
      <c r="K13" s="23">
        <v>1413</v>
      </c>
      <c r="L13" s="22">
        <v>0.5</v>
      </c>
      <c r="M13" s="24">
        <f>+K13</f>
        <v>1413</v>
      </c>
      <c r="N13" s="23">
        <v>1398</v>
      </c>
      <c r="O13" s="25">
        <v>1472</v>
      </c>
    </row>
    <row r="14" spans="1:16">
      <c r="A14" s="21">
        <v>2013</v>
      </c>
      <c r="B14" s="11">
        <f t="shared" si="4"/>
        <v>4350</v>
      </c>
      <c r="C14" s="22">
        <v>0.63</v>
      </c>
      <c r="D14" s="18">
        <f t="shared" si="2"/>
        <v>2740.5</v>
      </c>
      <c r="E14" s="22">
        <v>0.06</v>
      </c>
      <c r="F14" s="13">
        <f t="shared" si="0"/>
        <v>2576.0699999999997</v>
      </c>
      <c r="G14" s="22">
        <v>7.0000000000000007E-2</v>
      </c>
      <c r="H14" s="23">
        <f t="shared" si="3"/>
        <v>180.32489999999999</v>
      </c>
      <c r="I14" s="23">
        <f t="shared" si="1"/>
        <v>2395.7450999999996</v>
      </c>
      <c r="J14" s="22">
        <v>0.5</v>
      </c>
      <c r="K14" s="23">
        <v>1432</v>
      </c>
      <c r="L14" s="22">
        <v>0.5</v>
      </c>
      <c r="M14" s="25">
        <v>1511</v>
      </c>
      <c r="N14" s="23">
        <v>1416</v>
      </c>
      <c r="O14" s="25">
        <v>1472</v>
      </c>
    </row>
    <row r="15" spans="1:16">
      <c r="A15" s="21">
        <v>2014</v>
      </c>
      <c r="B15" s="11">
        <f t="shared" si="4"/>
        <v>4350</v>
      </c>
      <c r="C15" s="22">
        <v>0.63</v>
      </c>
      <c r="D15" s="18">
        <f t="shared" si="2"/>
        <v>2740.5</v>
      </c>
      <c r="E15" s="22">
        <v>0.06</v>
      </c>
      <c r="F15" s="13">
        <f t="shared" si="0"/>
        <v>2576.0699999999997</v>
      </c>
      <c r="G15" s="22">
        <v>7.0000000000000007E-2</v>
      </c>
      <c r="H15" s="23">
        <f t="shared" si="3"/>
        <v>180.32489999999999</v>
      </c>
      <c r="I15" s="23">
        <f t="shared" si="1"/>
        <v>2395.7450999999996</v>
      </c>
      <c r="J15" s="22">
        <v>0.5</v>
      </c>
      <c r="K15" s="23">
        <v>1452</v>
      </c>
      <c r="L15" s="22">
        <v>0.5</v>
      </c>
      <c r="M15" s="24">
        <f>+K15</f>
        <v>1452</v>
      </c>
      <c r="N15" s="23">
        <v>1434</v>
      </c>
      <c r="O15" s="25">
        <v>1472</v>
      </c>
    </row>
    <row r="16" spans="1:16">
      <c r="A16" s="21">
        <v>2015</v>
      </c>
      <c r="B16" s="11">
        <f t="shared" si="4"/>
        <v>4350</v>
      </c>
      <c r="C16" s="22">
        <v>0.63</v>
      </c>
      <c r="D16" s="18">
        <f t="shared" si="2"/>
        <v>2740.5</v>
      </c>
      <c r="E16" s="22">
        <v>0.06</v>
      </c>
      <c r="F16" s="13">
        <f t="shared" si="0"/>
        <v>2576.0699999999997</v>
      </c>
      <c r="G16" s="22">
        <v>7.0000000000000007E-2</v>
      </c>
      <c r="H16" s="23">
        <f t="shared" si="3"/>
        <v>180.32489999999999</v>
      </c>
      <c r="I16" s="23">
        <f t="shared" si="1"/>
        <v>2395.7450999999996</v>
      </c>
      <c r="J16" s="22">
        <v>0.5</v>
      </c>
      <c r="K16" s="23">
        <v>1472</v>
      </c>
      <c r="L16" s="22">
        <v>0.5</v>
      </c>
      <c r="M16" s="24">
        <f>+K16</f>
        <v>1472</v>
      </c>
      <c r="N16" s="23">
        <v>1452</v>
      </c>
      <c r="O16" s="25">
        <v>1472</v>
      </c>
    </row>
    <row r="17" spans="1:15">
      <c r="A17" s="21">
        <v>2016</v>
      </c>
      <c r="B17" s="11">
        <f t="shared" si="4"/>
        <v>4350</v>
      </c>
      <c r="C17" s="22">
        <v>0.63</v>
      </c>
      <c r="D17" s="18">
        <f t="shared" si="2"/>
        <v>2740.5</v>
      </c>
      <c r="E17" s="22">
        <v>0.06</v>
      </c>
      <c r="F17" s="13">
        <f t="shared" si="0"/>
        <v>2576.0699999999997</v>
      </c>
      <c r="G17" s="22">
        <v>7.0000000000000007E-2</v>
      </c>
      <c r="H17" s="23">
        <f t="shared" si="3"/>
        <v>180.32489999999999</v>
      </c>
      <c r="I17" s="23">
        <f t="shared" si="1"/>
        <v>2395.7450999999996</v>
      </c>
      <c r="J17" s="22">
        <v>0.5</v>
      </c>
      <c r="K17" s="23">
        <v>1491</v>
      </c>
      <c r="L17" s="22">
        <v>0.5</v>
      </c>
      <c r="M17" s="25">
        <v>1570</v>
      </c>
      <c r="N17" s="23">
        <v>1470</v>
      </c>
      <c r="O17" s="25">
        <v>1472</v>
      </c>
    </row>
    <row r="18" spans="1:15">
      <c r="A18" s="21">
        <v>2017</v>
      </c>
      <c r="B18" s="27">
        <f t="shared" si="4"/>
        <v>4350</v>
      </c>
      <c r="C18" s="22">
        <v>0.63</v>
      </c>
      <c r="D18" s="28">
        <f>+B18*C18</f>
        <v>2740.5</v>
      </c>
      <c r="E18" s="22">
        <v>0.06</v>
      </c>
      <c r="F18" s="23">
        <f t="shared" si="0"/>
        <v>2576.0699999999997</v>
      </c>
      <c r="G18" s="22">
        <v>7.0000000000000007E-2</v>
      </c>
      <c r="H18" s="23">
        <f>+F18*G18</f>
        <v>180.32489999999999</v>
      </c>
      <c r="I18" s="23">
        <f>+F18-H18</f>
        <v>2395.7450999999996</v>
      </c>
      <c r="J18" s="22">
        <v>0.5</v>
      </c>
      <c r="K18" s="23">
        <v>1511</v>
      </c>
      <c r="L18" s="22">
        <v>0.5</v>
      </c>
      <c r="M18" s="25">
        <v>1570</v>
      </c>
      <c r="N18" s="23">
        <v>1470</v>
      </c>
      <c r="O18" s="25">
        <v>1472</v>
      </c>
    </row>
    <row r="19" spans="1:15">
      <c r="A19" s="21">
        <v>2018</v>
      </c>
      <c r="B19" s="27">
        <f t="shared" si="4"/>
        <v>4350</v>
      </c>
      <c r="C19" s="22">
        <v>0.63</v>
      </c>
      <c r="D19" s="28">
        <f>+B19*C19</f>
        <v>2740.5</v>
      </c>
      <c r="E19" s="22">
        <v>0.06</v>
      </c>
      <c r="F19" s="23">
        <f t="shared" si="0"/>
        <v>2576.0699999999997</v>
      </c>
      <c r="G19" s="22">
        <v>7.0000000000000007E-2</v>
      </c>
      <c r="H19" s="23">
        <f>+F19*G19</f>
        <v>180.32489999999999</v>
      </c>
      <c r="I19" s="23">
        <f>+F19-H19</f>
        <v>2395.7450999999996</v>
      </c>
      <c r="J19" s="22">
        <v>0.5</v>
      </c>
      <c r="K19" s="23">
        <v>1530</v>
      </c>
      <c r="L19" s="22">
        <v>0.5</v>
      </c>
      <c r="M19" s="25">
        <v>1570</v>
      </c>
      <c r="N19" s="23">
        <v>1470</v>
      </c>
      <c r="O19" s="25">
        <v>1472</v>
      </c>
    </row>
    <row r="20" spans="1:15">
      <c r="A20" s="21">
        <v>2019</v>
      </c>
      <c r="B20" s="27">
        <f t="shared" si="4"/>
        <v>4350</v>
      </c>
      <c r="C20" s="22">
        <v>0.63</v>
      </c>
      <c r="D20" s="28">
        <f>+B20*C20</f>
        <v>2740.5</v>
      </c>
      <c r="E20" s="22">
        <v>0.06</v>
      </c>
      <c r="F20" s="23">
        <f t="shared" si="0"/>
        <v>2576.0699999999997</v>
      </c>
      <c r="G20" s="22">
        <v>7.0000000000000007E-2</v>
      </c>
      <c r="H20" s="23">
        <f>+F20*G20</f>
        <v>180.32489999999999</v>
      </c>
      <c r="I20" s="23">
        <f>+F20-H20</f>
        <v>2395.7450999999996</v>
      </c>
      <c r="J20" s="22">
        <v>0.5</v>
      </c>
      <c r="K20" s="23">
        <v>1550</v>
      </c>
      <c r="L20" s="22">
        <v>0.5</v>
      </c>
      <c r="M20" s="25">
        <v>1570</v>
      </c>
      <c r="N20" s="23">
        <v>1470</v>
      </c>
      <c r="O20" s="25">
        <v>1472</v>
      </c>
    </row>
    <row r="21" spans="1:15" ht="13.5" thickBot="1">
      <c r="A21" s="29">
        <v>2020</v>
      </c>
      <c r="B21" s="30">
        <f t="shared" si="4"/>
        <v>4350</v>
      </c>
      <c r="C21" s="31">
        <v>0.63</v>
      </c>
      <c r="D21" s="32">
        <f t="shared" si="2"/>
        <v>2740.5</v>
      </c>
      <c r="E21" s="31">
        <v>0.06</v>
      </c>
      <c r="F21" s="33">
        <f t="shared" si="0"/>
        <v>2576.0699999999997</v>
      </c>
      <c r="G21" s="31">
        <v>7.0000000000000007E-2</v>
      </c>
      <c r="H21" s="33">
        <f t="shared" si="3"/>
        <v>180.32489999999999</v>
      </c>
      <c r="I21" s="33">
        <f t="shared" si="1"/>
        <v>2395.7450999999996</v>
      </c>
      <c r="J21" s="31">
        <v>0.5</v>
      </c>
      <c r="K21" s="33">
        <v>1570</v>
      </c>
      <c r="L21" s="31">
        <v>0.5</v>
      </c>
      <c r="M21" s="34">
        <v>1570</v>
      </c>
      <c r="N21" s="33">
        <v>1470</v>
      </c>
      <c r="O21" s="34">
        <v>1472</v>
      </c>
    </row>
  </sheetData>
  <phoneticPr fontId="25" type="noConversion"/>
  <printOptions horizontalCentered="1"/>
  <pageMargins left="0.75" right="0.75" top="1.1811023622047245" bottom="1" header="0" footer="0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26</vt:i4>
      </vt:variant>
    </vt:vector>
  </HeadingPairs>
  <TitlesOfParts>
    <vt:vector size="44" baseType="lpstr">
      <vt:lpstr>PG08</vt:lpstr>
      <vt:lpstr>RESVTA</vt:lpstr>
      <vt:lpstr>CBV</vt:lpstr>
      <vt:lpstr>RESUMEN T.I.R</vt:lpstr>
      <vt:lpstr>I.I</vt:lpstr>
      <vt:lpstr>ANEXO MANT</vt:lpstr>
      <vt:lpstr>PG08 (2)</vt:lpstr>
      <vt:lpstr>Inf w Inv</vt:lpstr>
      <vt:lpstr>Inf wo Inv</vt:lpstr>
      <vt:lpstr>2009</vt:lpstr>
      <vt:lpstr>2010</vt:lpstr>
      <vt:lpstr>2011</vt:lpstr>
      <vt:lpstr>2012 </vt:lpstr>
      <vt:lpstr>2013</vt:lpstr>
      <vt:lpstr>2014</vt:lpstr>
      <vt:lpstr>2015</vt:lpstr>
      <vt:lpstr>2016</vt:lpstr>
      <vt:lpstr>2017</vt:lpstr>
      <vt:lpstr>'2009'!Área_de_impresión</vt:lpstr>
      <vt:lpstr>'2010'!Área_de_impresión</vt:lpstr>
      <vt:lpstr>'2011'!Área_de_impresión</vt:lpstr>
      <vt:lpstr>'2012 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'ANEXO MANT'!Área_de_impresión</vt:lpstr>
      <vt:lpstr>CBV!Área_de_impresión</vt:lpstr>
      <vt:lpstr>I.I!Área_de_impresión</vt:lpstr>
      <vt:lpstr>'Inf w Inv'!Área_de_impresión</vt:lpstr>
      <vt:lpstr>'Inf wo Inv'!Área_de_impresión</vt:lpstr>
      <vt:lpstr>'RESUMEN T.I.R'!Área_de_impresión</vt:lpstr>
      <vt:lpstr>RESVTA!Área_de_impresión</vt:lpstr>
      <vt:lpstr>'2009'!Títulos_a_imprimir</vt:lpstr>
      <vt:lpstr>'2010'!Títulos_a_imprimir</vt:lpstr>
      <vt:lpstr>'2011'!Títulos_a_imprimir</vt:lpstr>
      <vt:lpstr>'2012 '!Títulos_a_imprimir</vt:lpstr>
      <vt:lpstr>'2013'!Títulos_a_imprimir</vt:lpstr>
      <vt:lpstr>'2014'!Títulos_a_imprimir</vt:lpstr>
      <vt:lpstr>'2015'!Títulos_a_imprimir</vt:lpstr>
      <vt:lpstr>'2016'!Títulos_a_imprimir</vt:lpstr>
      <vt:lpstr>'2017'!Títulos_a_imprimir</vt:lpstr>
      <vt:lpstr>RESVTA!Títulos_a_imprimir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cbalda</dc:creator>
  <cp:lastModifiedBy>USER</cp:lastModifiedBy>
  <cp:lastPrinted>2009-08-25T10:59:01Z</cp:lastPrinted>
  <dcterms:created xsi:type="dcterms:W3CDTF">2009-07-21T09:00:36Z</dcterms:created>
  <dcterms:modified xsi:type="dcterms:W3CDTF">2009-10-06T05:25:35Z</dcterms:modified>
</cp:coreProperties>
</file>