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65" windowHeight="5775" activeTab="6"/>
  </bookViews>
  <sheets>
    <sheet name="FLUJO CAJ" sheetId="1" r:id="rId1"/>
    <sheet name="PyG" sheetId="2" r:id="rId2"/>
    <sheet name="BG" sheetId="3" r:id="rId3"/>
    <sheet name="payback" sheetId="4" r:id="rId4"/>
    <sheet name="Prest" sheetId="5" r:id="rId5"/>
    <sheet name="Dep" sheetId="6" r:id="rId6"/>
    <sheet name="P. Eq.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Candy</author>
  </authors>
  <commentList>
    <comment ref="C9" authorId="0">
      <text>
        <r>
          <rPr>
            <b/>
            <sz val="8"/>
            <rFont val="Tahoma"/>
            <family val="0"/>
          </rPr>
          <t>Candy:</t>
        </r>
        <r>
          <rPr>
            <sz val="8"/>
            <rFont val="Tahoma"/>
            <family val="0"/>
          </rPr>
          <t xml:space="preserve">
Capital de Trabajo </t>
        </r>
      </text>
    </comment>
    <comment ref="C29" authorId="0">
      <text>
        <r>
          <rPr>
            <b/>
            <sz val="8"/>
            <rFont val="Tahoma"/>
            <family val="0"/>
          </rPr>
          <t>Candy:</t>
        </r>
        <r>
          <rPr>
            <sz val="8"/>
            <rFont val="Tahoma"/>
            <family val="0"/>
          </rPr>
          <t xml:space="preserve">
CFN </t>
        </r>
      </text>
    </comment>
  </commentList>
</comments>
</file>

<file path=xl/comments5.xml><?xml version="1.0" encoding="utf-8"?>
<comments xmlns="http://schemas.openxmlformats.org/spreadsheetml/2006/main">
  <authors>
    <author>Candy</author>
  </authors>
  <commentList>
    <comment ref="E8" authorId="0">
      <text>
        <r>
          <rPr>
            <b/>
            <sz val="8"/>
            <rFont val="Tahoma"/>
            <family val="0"/>
          </rPr>
          <t>Candy:</t>
        </r>
        <r>
          <rPr>
            <sz val="8"/>
            <rFont val="Tahoma"/>
            <family val="0"/>
          </rPr>
          <t xml:space="preserve">
CFN
</t>
        </r>
      </text>
    </comment>
  </commentList>
</comments>
</file>

<file path=xl/comments6.xml><?xml version="1.0" encoding="utf-8"?>
<comments xmlns="http://schemas.openxmlformats.org/spreadsheetml/2006/main">
  <authors>
    <author>windowsxp</author>
  </authors>
  <commentList>
    <comment ref="C27" authorId="0">
      <text>
        <r>
          <rPr>
            <b/>
            <sz val="8"/>
            <rFont val="Tahoma"/>
            <family val="0"/>
          </rPr>
          <t>windowsxp:</t>
        </r>
        <r>
          <rPr>
            <sz val="8"/>
            <rFont val="Tahoma"/>
            <family val="0"/>
          </rPr>
          <t xml:space="preserve">
Menos el seguros  puesto que no se debe amortizar</t>
        </r>
      </text>
    </comment>
  </commentList>
</comments>
</file>

<file path=xl/sharedStrings.xml><?xml version="1.0" encoding="utf-8"?>
<sst xmlns="http://schemas.openxmlformats.org/spreadsheetml/2006/main" count="252" uniqueCount="188">
  <si>
    <t>DATOS  IMPORTANTES</t>
  </si>
  <si>
    <t>Inflación</t>
  </si>
  <si>
    <t>Crecimiento País</t>
  </si>
  <si>
    <t>Tasa de Hoy</t>
  </si>
  <si>
    <t>Años</t>
  </si>
  <si>
    <t>Ingresos</t>
  </si>
  <si>
    <t xml:space="preserve">Total Ingresos </t>
  </si>
  <si>
    <t>Costos Variables</t>
  </si>
  <si>
    <t>Margen Bruto</t>
  </si>
  <si>
    <t>Costos Fijos</t>
  </si>
  <si>
    <t xml:space="preserve">Sueldos del Personal </t>
  </si>
  <si>
    <t>Diseñador de Jardines</t>
  </si>
  <si>
    <t>Jardinero de Planta</t>
  </si>
  <si>
    <t>Choferes</t>
  </si>
  <si>
    <t>Conserje</t>
  </si>
  <si>
    <t xml:space="preserve">Fiscalizador </t>
  </si>
  <si>
    <t xml:space="preserve">Asistente del Local </t>
  </si>
  <si>
    <t>Administradores</t>
  </si>
  <si>
    <t>Gastos de Publicidad</t>
  </si>
  <si>
    <t>Gastos de Suministros de Oficina</t>
  </si>
  <si>
    <t>Gastos de Constitución</t>
  </si>
  <si>
    <t>Gastos de Transportación</t>
  </si>
  <si>
    <t xml:space="preserve">Transporte Local </t>
  </si>
  <si>
    <t xml:space="preserve">Gastos de Arriendo </t>
  </si>
  <si>
    <t>Arriendo del local</t>
  </si>
  <si>
    <t>Gastos de Uso de Internet</t>
  </si>
  <si>
    <t xml:space="preserve">Gastos de Servicios Básicos </t>
  </si>
  <si>
    <t xml:space="preserve">Agua </t>
  </si>
  <si>
    <t xml:space="preserve">Luz </t>
  </si>
  <si>
    <t>Teléfono</t>
  </si>
  <si>
    <t>Depreciaciones</t>
  </si>
  <si>
    <t>Depreciación de Muebles y enseres</t>
  </si>
  <si>
    <t>Depreciación de Equipo de Computación</t>
  </si>
  <si>
    <t>Depreciación de Herramientas de Jardinería</t>
  </si>
  <si>
    <t>Depreciaciòn del Vehículo</t>
  </si>
  <si>
    <t>Amortizaciones</t>
  </si>
  <si>
    <t>Total Costos Fijos</t>
  </si>
  <si>
    <t>Intereses</t>
  </si>
  <si>
    <t>Utilidad antes de Intereses e Impuestos</t>
  </si>
  <si>
    <t>15% Participación de Trabajadores</t>
  </si>
  <si>
    <t xml:space="preserve">Utilidad antes del Impuesto a la Renta </t>
  </si>
  <si>
    <t>25% IR (60%)</t>
  </si>
  <si>
    <t>15 Reinversion(40%)</t>
  </si>
  <si>
    <t>Total Impuesto</t>
  </si>
  <si>
    <t xml:space="preserve">Utilidad despuès del Impuesto a la Renta </t>
  </si>
  <si>
    <t>(+)Depreciación</t>
  </si>
  <si>
    <t>Más Depreciación de Muebles y enseres</t>
  </si>
  <si>
    <t>Más Depreciación de Equipo de Computación</t>
  </si>
  <si>
    <t>Más Depreciación de Herramientas de Jardinería</t>
  </si>
  <si>
    <t>Más Depreciaciòn del Vehículo</t>
  </si>
  <si>
    <t>(+)Amortización</t>
  </si>
  <si>
    <t xml:space="preserve">(-) Desembolsos del Capital </t>
  </si>
  <si>
    <t>(-) Inversiones Adicionales en activos fijos</t>
  </si>
  <si>
    <t xml:space="preserve">Herramientas de Jardinería </t>
  </si>
  <si>
    <t xml:space="preserve">Equipos de Computo </t>
  </si>
  <si>
    <t>Flujo Neto de Efectivo</t>
  </si>
  <si>
    <t xml:space="preserve">Valor de desecho </t>
  </si>
  <si>
    <t>Inversión Inicial</t>
  </si>
  <si>
    <t>Inversión en Capital de Trabajo</t>
  </si>
  <si>
    <t>Flujo Neto de Efectivo Total</t>
  </si>
  <si>
    <t>FLUJO NETO EFECTIVO</t>
  </si>
  <si>
    <t>TIR</t>
  </si>
  <si>
    <t>TASA PATRIMONIAL</t>
  </si>
  <si>
    <t>Crecimiento</t>
  </si>
  <si>
    <t>Venta de Flores</t>
  </si>
  <si>
    <t xml:space="preserve">Venta de Plantas </t>
  </si>
  <si>
    <t>Jardines</t>
  </si>
  <si>
    <t xml:space="preserve">Asesorìa </t>
  </si>
  <si>
    <t xml:space="preserve">Remodelaciòn </t>
  </si>
  <si>
    <t xml:space="preserve">Mantenimiento </t>
  </si>
  <si>
    <t xml:space="preserve">Remodelación </t>
  </si>
  <si>
    <t>Sueldos y Salarios</t>
  </si>
  <si>
    <t xml:space="preserve">Gastos de Transporte </t>
  </si>
  <si>
    <t>Gastos de Arriendo</t>
  </si>
  <si>
    <t xml:space="preserve">Gastos de Suministros de Oficina </t>
  </si>
  <si>
    <t>Gastos de Internet</t>
  </si>
  <si>
    <t xml:space="preserve">Depreciaciones </t>
  </si>
  <si>
    <t>Financiero</t>
  </si>
  <si>
    <t>Caracteristicas</t>
  </si>
  <si>
    <t>Préstamo</t>
  </si>
  <si>
    <t>Valor</t>
  </si>
  <si>
    <t>VN</t>
  </si>
  <si>
    <t>Tasa</t>
  </si>
  <si>
    <t>Porcentaje</t>
  </si>
  <si>
    <t>plazo</t>
  </si>
  <si>
    <t>Descuento</t>
  </si>
  <si>
    <t>precio</t>
  </si>
  <si>
    <t>desfase</t>
  </si>
  <si>
    <t>PERIODO</t>
  </si>
  <si>
    <t>Pago</t>
  </si>
  <si>
    <t>Capital</t>
  </si>
  <si>
    <t>Saldo</t>
  </si>
  <si>
    <t>Plazo (años)</t>
  </si>
  <si>
    <t>Elaborado por: Autoras</t>
  </si>
  <si>
    <t>Fuente: CFN</t>
  </si>
  <si>
    <t>ACTIVOS</t>
  </si>
  <si>
    <t>Circulantes</t>
  </si>
  <si>
    <t xml:space="preserve">Caja Bancos </t>
  </si>
  <si>
    <t>Total Activo Circulante</t>
  </si>
  <si>
    <t xml:space="preserve">Fijos </t>
  </si>
  <si>
    <t>Muebles de Oficina</t>
  </si>
  <si>
    <t xml:space="preserve">Equipo de Computación </t>
  </si>
  <si>
    <t xml:space="preserve">Vehículo </t>
  </si>
  <si>
    <t>Total Activo Fijo</t>
  </si>
  <si>
    <t>Diferido</t>
  </si>
  <si>
    <t>Gastos Constitucionales</t>
  </si>
  <si>
    <t xml:space="preserve">Puesta en Marcha </t>
  </si>
  <si>
    <t>Total Activo Diferido</t>
  </si>
  <si>
    <t>TOTAL ACTIVOS</t>
  </si>
  <si>
    <t>PASIVOS</t>
  </si>
  <si>
    <t xml:space="preserve">Circulante </t>
  </si>
  <si>
    <t xml:space="preserve">Préstamo Bancario </t>
  </si>
  <si>
    <t>Total Pasivo Circulante</t>
  </si>
  <si>
    <t xml:space="preserve">PATRIMONIO </t>
  </si>
  <si>
    <t>Acciones Ordinarias</t>
  </si>
  <si>
    <t xml:space="preserve">Total Patrimonio </t>
  </si>
  <si>
    <t>Total Pasivos más Patrimonio</t>
  </si>
  <si>
    <t>poltica dividendo</t>
  </si>
  <si>
    <t>cantidad</t>
  </si>
  <si>
    <t>precio unitario</t>
  </si>
  <si>
    <t>t</t>
  </si>
  <si>
    <t>Inversion Acumulada</t>
  </si>
  <si>
    <t>Flujo</t>
  </si>
  <si>
    <t>Rentabilidad del Flujo (flujo *ke)</t>
  </si>
  <si>
    <t>Saldo del Flujo</t>
  </si>
  <si>
    <t>DEPRECIACIÓN</t>
  </si>
  <si>
    <t>Activo</t>
  </si>
  <si>
    <t>%</t>
  </si>
  <si>
    <t>Período</t>
  </si>
  <si>
    <t>Herramientas en jardinería</t>
  </si>
  <si>
    <t>anual</t>
  </si>
  <si>
    <t>Muebles y enseres 
de Oficina</t>
  </si>
  <si>
    <t>Vehículo</t>
  </si>
  <si>
    <t>Equipo de computación</t>
  </si>
  <si>
    <t>Valor de compra</t>
  </si>
  <si>
    <t>Vida últil</t>
  </si>
  <si>
    <t>Depreciación anual</t>
  </si>
  <si>
    <t xml:space="preserve">Herramientas en Jardinería </t>
  </si>
  <si>
    <t xml:space="preserve">Muebles y enseres </t>
  </si>
  <si>
    <t>Concepto</t>
  </si>
  <si>
    <t>Amortización</t>
  </si>
  <si>
    <t>Amortización
Anual</t>
  </si>
  <si>
    <t>Puesta en Marcha
 y constitución</t>
  </si>
  <si>
    <t xml:space="preserve">VD  =  </t>
  </si>
  <si>
    <t>Valor Fl.  -  Depreciaciones</t>
  </si>
  <si>
    <t xml:space="preserve">Tasa i </t>
  </si>
  <si>
    <t>5,342,99 - 1,457</t>
  </si>
  <si>
    <t xml:space="preserve"> VD   = </t>
  </si>
  <si>
    <t xml:space="preserve">Valor de Desecho </t>
  </si>
  <si>
    <t xml:space="preserve">COSTOS  FIJOS </t>
  </si>
  <si>
    <t xml:space="preserve">PRECIO </t>
  </si>
  <si>
    <t xml:space="preserve">Sueldos del personal </t>
  </si>
  <si>
    <t>Flores</t>
  </si>
  <si>
    <t>Silvestres</t>
  </si>
  <si>
    <t xml:space="preserve">Ornamentales </t>
  </si>
  <si>
    <t>De campo</t>
  </si>
  <si>
    <t xml:space="preserve">Para jardín </t>
  </si>
  <si>
    <t xml:space="preserve">Plantas </t>
  </si>
  <si>
    <t xml:space="preserve">Arboles y arbustos </t>
  </si>
  <si>
    <t>De asfalto</t>
  </si>
  <si>
    <t>Total Activos Fijos</t>
  </si>
  <si>
    <t>Combos de Jardines</t>
  </si>
  <si>
    <t>Asesoramiento</t>
  </si>
  <si>
    <t xml:space="preserve">Total </t>
  </si>
  <si>
    <t>COSTOS VARIABLES</t>
  </si>
  <si>
    <t>Gastos de Suministros de Ofic.</t>
  </si>
  <si>
    <t>ANEXO 24: FLUJO DE CAJA</t>
  </si>
  <si>
    <t>ANEXO 25: ESTADO DE RESULTADO</t>
  </si>
  <si>
    <t>Tabla A26.1 Balance General</t>
  </si>
  <si>
    <t>Tabla A25.1  Estado de Resultado (Con Préstamo Bancario)</t>
  </si>
  <si>
    <t>Tabla A24.1  Flujo de Caja con Deuda</t>
  </si>
  <si>
    <t>ANEXO 27: PAYBACK</t>
  </si>
  <si>
    <t>Tabla A27.1 Periodo de la Recuperación de la Inversión</t>
  </si>
  <si>
    <t>ANEXO 28 : PRÉSTAMO BANCARIO</t>
  </si>
  <si>
    <t xml:space="preserve">Tabla A28.1 Costo del Préstamo </t>
  </si>
  <si>
    <t>Tabla A28.2 Características del Préstamo Bancario</t>
  </si>
  <si>
    <t>Tabla A28.3 Amortización de Préstamo Bancario</t>
  </si>
  <si>
    <t>ANEXO 29: DEPRECIACIÓN</t>
  </si>
  <si>
    <t>Tabla A29.3 Amortización Gastos de Constitución</t>
  </si>
  <si>
    <t xml:space="preserve">Tabla A29.2 Método de Línea Recta </t>
  </si>
  <si>
    <t>Tabla A29.1 Porcentajes de Depreciación</t>
  </si>
  <si>
    <t>ANEXO 30: PUNTO DE EQUILIBRIO OPERATIVO</t>
  </si>
  <si>
    <t>Tabla A30.3 Detalle de Precios</t>
  </si>
  <si>
    <t>Tabla A30.1 Detalle de Costos Fijos</t>
  </si>
  <si>
    <t>Tabla A30.2 Detalle de Costos Variables</t>
  </si>
  <si>
    <t>ANEXO 26: BALANCE GENERAL</t>
  </si>
  <si>
    <t>VALOR PRESENTE DE LA EMPRESA</t>
  </si>
  <si>
    <t>Amortizaciones y Constitución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</si>
</sst>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1409]#,##0.00"/>
    <numFmt numFmtId="165" formatCode="[$$-300A]\ #,##0.00"/>
    <numFmt numFmtId="166" formatCode="0.0%"/>
    <numFmt numFmtId="167" formatCode="[$$-300A]\ #,##0"/>
    <numFmt numFmtId="168" formatCode="[$$-300A]\ #,##0.00;[Red][$$-300A]\ \-#,##0.00"/>
    <numFmt numFmtId="169" formatCode="&quot;$&quot;\ #,##0.00;[Red]&quot;$&quot;\ \-#,##0.00"/>
    <numFmt numFmtId="170" formatCode="[$$-240A]\ #,##0.00;[Red][$$-240A]\ \-#,##0.00"/>
    <numFmt numFmtId="171" formatCode="#,##0.00000"/>
    <numFmt numFmtId="172" formatCode="#,##0.0000"/>
    <numFmt numFmtId="173" formatCode="#,##0.000"/>
    <numFmt numFmtId="174" formatCode="&quot;$&quot;\ #,##0;&quot;$&quot;\ \-#,##0"/>
    <numFmt numFmtId="175" formatCode="&quot;$&quot;\ #,##0;[Red]&quot;$&quot;\ \-#,##0"/>
    <numFmt numFmtId="176" formatCode="&quot;$&quot;\ #,##0.00;&quot;$&quot;\ \-#,##0.00"/>
    <numFmt numFmtId="177" formatCode="_ &quot;$&quot;\ * #,##0_ ;_ &quot;$&quot;\ * \-#,##0_ ;_ &quot;$&quot;\ * &quot;-&quot;_ ;_ @_ "/>
    <numFmt numFmtId="178" formatCode="_ * #,##0_ ;_ * \-#,##0_ ;_ * &quot;-&quot;_ ;_ @_ 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$-409]#,##0.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0.0"/>
    <numFmt numFmtId="200" formatCode="#,##0.00\ &quot;€&quot;"/>
    <numFmt numFmtId="201" formatCode="0.00000000"/>
    <numFmt numFmtId="202" formatCode="0.0000000"/>
    <numFmt numFmtId="203" formatCode="#,##0.00\ _€"/>
    <numFmt numFmtId="204" formatCode="[$$-409]#,##0"/>
    <numFmt numFmtId="205" formatCode="[$-C0A]dddd\,\ dd&quot; de &quot;mmmm&quot; de &quot;yyyy"/>
    <numFmt numFmtId="206" formatCode="#,##0.0"/>
    <numFmt numFmtId="207" formatCode="[$$-300A]\ #,##0.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[$$-300A]\ #,##0.000"/>
    <numFmt numFmtId="215" formatCode="0.0000000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6"/>
      <color indexed="4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6" fontId="11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165" fontId="11" fillId="0" borderId="1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6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5" fontId="13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 horizontal="right"/>
    </xf>
    <xf numFmtId="165" fontId="11" fillId="0" borderId="0" xfId="17" applyNumberFormat="1" applyFont="1" applyFill="1" applyAlignment="1">
      <alignment/>
    </xf>
    <xf numFmtId="0" fontId="21" fillId="0" borderId="0" xfId="0" applyFont="1" applyFill="1" applyBorder="1" applyAlignment="1">
      <alignment horizontal="center"/>
    </xf>
    <xf numFmtId="8" fontId="11" fillId="0" borderId="0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0" fontId="11" fillId="0" borderId="0" xfId="21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indent="1"/>
    </xf>
    <xf numFmtId="0" fontId="11" fillId="0" borderId="0" xfId="0" applyFont="1" applyAlignment="1">
      <alignment/>
    </xf>
    <xf numFmtId="169" fontId="11" fillId="0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65" fontId="11" fillId="0" borderId="5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10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65" fontId="11" fillId="0" borderId="7" xfId="0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168" fontId="11" fillId="0" borderId="9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9" fontId="11" fillId="0" borderId="11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/>
    </xf>
    <xf numFmtId="165" fontId="0" fillId="0" borderId="16" xfId="0" applyNumberForma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6" fillId="0" borderId="14" xfId="0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9" xfId="0" applyFill="1" applyBorder="1" applyAlignment="1">
      <alignment/>
    </xf>
    <xf numFmtId="9" fontId="0" fillId="0" borderId="12" xfId="21" applyFill="1" applyBorder="1" applyAlignment="1">
      <alignment/>
    </xf>
    <xf numFmtId="0" fontId="0" fillId="0" borderId="13" xfId="0" applyFill="1" applyBorder="1" applyAlignment="1">
      <alignment/>
    </xf>
    <xf numFmtId="9" fontId="0" fillId="0" borderId="0" xfId="21" applyFill="1" applyBorder="1" applyAlignment="1">
      <alignment/>
    </xf>
    <xf numFmtId="0" fontId="0" fillId="0" borderId="14" xfId="0" applyFill="1" applyBorder="1" applyAlignment="1">
      <alignment horizontal="center"/>
    </xf>
    <xf numFmtId="9" fontId="0" fillId="0" borderId="0" xfId="21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9" fontId="0" fillId="0" borderId="8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6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9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9" fontId="0" fillId="0" borderId="1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26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165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0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/>
    </xf>
    <xf numFmtId="0" fontId="0" fillId="0" borderId="4" xfId="0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5" fontId="13" fillId="0" borderId="30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165" fontId="11" fillId="0" borderId="1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15" xfId="0" applyNumberFormat="1" applyFont="1" applyBorder="1" applyAlignment="1">
      <alignment/>
    </xf>
    <xf numFmtId="0" fontId="13" fillId="0" borderId="31" xfId="0" applyFont="1" applyBorder="1" applyAlignment="1">
      <alignment/>
    </xf>
    <xf numFmtId="165" fontId="13" fillId="0" borderId="30" xfId="0" applyNumberFormat="1" applyFont="1" applyBorder="1" applyAlignment="1">
      <alignment/>
    </xf>
    <xf numFmtId="0" fontId="13" fillId="0" borderId="3" xfId="0" applyFont="1" applyBorder="1" applyAlignment="1">
      <alignment/>
    </xf>
    <xf numFmtId="165" fontId="11" fillId="0" borderId="12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2" xfId="0" applyNumberFormat="1" applyFont="1" applyFill="1" applyBorder="1" applyAlignment="1">
      <alignment/>
    </xf>
    <xf numFmtId="173" fontId="11" fillId="0" borderId="2" xfId="0" applyNumberFormat="1" applyFont="1" applyBorder="1" applyAlignment="1">
      <alignment/>
    </xf>
    <xf numFmtId="165" fontId="11" fillId="0" borderId="19" xfId="0" applyNumberFormat="1" applyFont="1" applyBorder="1" applyAlignment="1">
      <alignment/>
    </xf>
    <xf numFmtId="165" fontId="13" fillId="0" borderId="22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1" fillId="0" borderId="2" xfId="0" applyNumberFormat="1" applyFont="1" applyBorder="1" applyAlignment="1">
      <alignment/>
    </xf>
    <xf numFmtId="0" fontId="11" fillId="0" borderId="31" xfId="0" applyFont="1" applyBorder="1" applyAlignment="1">
      <alignment/>
    </xf>
    <xf numFmtId="165" fontId="13" fillId="0" borderId="2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9" fillId="0" borderId="0" xfId="0" applyFont="1" applyFill="1" applyAlignment="1">
      <alignment/>
    </xf>
    <xf numFmtId="10" fontId="0" fillId="0" borderId="1" xfId="0" applyNumberFormat="1" applyFill="1" applyBorder="1" applyAlignment="1">
      <alignment/>
    </xf>
    <xf numFmtId="0" fontId="6" fillId="0" borderId="0" xfId="0" applyFont="1" applyFill="1" applyAlignment="1">
      <alignment/>
    </xf>
    <xf numFmtId="166" fontId="0" fillId="0" borderId="1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0" fontId="29" fillId="0" borderId="0" xfId="0" applyFont="1" applyFill="1" applyAlignment="1">
      <alignment horizontal="center"/>
    </xf>
    <xf numFmtId="167" fontId="0" fillId="0" borderId="0" xfId="0" applyNumberFormat="1" applyFill="1" applyAlignment="1">
      <alignment/>
    </xf>
    <xf numFmtId="165" fontId="30" fillId="0" borderId="0" xfId="0" applyNumberFormat="1" applyFont="1" applyFill="1" applyBorder="1" applyAlignment="1">
      <alignment/>
    </xf>
    <xf numFmtId="165" fontId="32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65" fontId="1" fillId="0" borderId="3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0" fillId="0" borderId="1" xfId="0" applyNumberFormat="1" applyFill="1" applyBorder="1" applyAlignment="1">
      <alignment/>
    </xf>
    <xf numFmtId="0" fontId="33" fillId="0" borderId="0" xfId="0" applyFont="1" applyFill="1" applyAlignment="1">
      <alignment/>
    </xf>
    <xf numFmtId="10" fontId="0" fillId="0" borderId="1" xfId="21" applyNumberFormat="1" applyFill="1" applyBorder="1" applyAlignment="1">
      <alignment/>
    </xf>
    <xf numFmtId="0" fontId="31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3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351</xdr:row>
      <xdr:rowOff>47625</xdr:rowOff>
    </xdr:from>
    <xdr:to>
      <xdr:col>8</xdr:col>
      <xdr:colOff>428625</xdr:colOff>
      <xdr:row>351</xdr:row>
      <xdr:rowOff>47625</xdr:rowOff>
    </xdr:to>
    <xdr:sp>
      <xdr:nvSpPr>
        <xdr:cNvPr id="1" name="Line 8"/>
        <xdr:cNvSpPr>
          <a:spLocks/>
        </xdr:cNvSpPr>
      </xdr:nvSpPr>
      <xdr:spPr>
        <a:xfrm>
          <a:off x="7524750" y="54054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66675</xdr:rowOff>
    </xdr:from>
    <xdr:to>
      <xdr:col>1</xdr:col>
      <xdr:colOff>0</xdr:colOff>
      <xdr:row>39</xdr:row>
      <xdr:rowOff>66675</xdr:rowOff>
    </xdr:to>
    <xdr:sp>
      <xdr:nvSpPr>
        <xdr:cNvPr id="1" name="Line 1"/>
        <xdr:cNvSpPr>
          <a:spLocks/>
        </xdr:cNvSpPr>
      </xdr:nvSpPr>
      <xdr:spPr>
        <a:xfrm>
          <a:off x="23717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dor\Escritorio\Flujo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INIC"/>
      <sheetName val="UtcJardDema"/>
      <sheetName val="DEM REAL"/>
      <sheetName val="PROYDEM"/>
      <sheetName val="DEMAN"/>
      <sheetName val="EQUI OPERA"/>
      <sheetName val="EQUIL FINANC"/>
      <sheetName val="PRECIOS"/>
      <sheetName val="COMB"/>
      <sheetName val="D GASTS"/>
      <sheetName val="Salarios"/>
      <sheetName val="PUBLIC"/>
      <sheetName val="Weyer"/>
      <sheetName val="Deltic "/>
      <sheetName val="BETA"/>
      <sheetName val="GAST CONST"/>
      <sheetName val="GRBASI"/>
      <sheetName val="EST RES"/>
      <sheetName val="K JOB"/>
      <sheetName val="PREST"/>
      <sheetName val="BALANC"/>
      <sheetName val="FLUJO CAJ"/>
      <sheetName val="DEPRE"/>
      <sheetName val="PAYBAK"/>
    </sheetNames>
    <sheetDataSet>
      <sheetData sheetId="0">
        <row r="13">
          <cell r="E13">
            <v>2594</v>
          </cell>
        </row>
        <row r="48">
          <cell r="E48">
            <v>11612.53</v>
          </cell>
        </row>
      </sheetData>
      <sheetData sheetId="1">
        <row r="19">
          <cell r="E19">
            <v>395</v>
          </cell>
        </row>
      </sheetData>
      <sheetData sheetId="4">
        <row r="18">
          <cell r="H18">
            <v>13.666319999999999</v>
          </cell>
          <cell r="I18">
            <v>14.71529800978761</v>
          </cell>
          <cell r="J18">
            <v>15.50500023210943</v>
          </cell>
          <cell r="K18">
            <v>16.337082133016438</v>
          </cell>
          <cell r="L18">
            <v>17.21381803453308</v>
          </cell>
          <cell r="M18">
            <v>18.13760431106466</v>
          </cell>
          <cell r="N18">
            <v>19.110965939386062</v>
          </cell>
          <cell r="O18">
            <v>20.136563400138243</v>
          </cell>
          <cell r="P18">
            <v>21.217199949696163</v>
          </cell>
          <cell r="Q18">
            <v>21.217199949696163</v>
          </cell>
        </row>
        <row r="19">
          <cell r="H19">
            <v>18.930383999999997</v>
          </cell>
          <cell r="I19">
            <v>20.383412798742835</v>
          </cell>
          <cell r="J19">
            <v>21.47729661781084</v>
          </cell>
          <cell r="K19">
            <v>22.629884139807952</v>
          </cell>
          <cell r="L19">
            <v>23.844325721908785</v>
          </cell>
          <cell r="M19">
            <v>25.12394078643771</v>
          </cell>
          <cell r="N19">
            <v>26.47222689381625</v>
          </cell>
          <cell r="O19">
            <v>27.892869302413715</v>
          </cell>
          <cell r="P19">
            <v>29.38975104143098</v>
          </cell>
          <cell r="Q19">
            <v>29.38975104143098</v>
          </cell>
        </row>
        <row r="20">
          <cell r="H20">
            <v>3.7961999999999994</v>
          </cell>
          <cell r="I20">
            <v>4.087582780496557</v>
          </cell>
          <cell r="J20">
            <v>4.306944508919286</v>
          </cell>
          <cell r="K20">
            <v>4.538078370282343</v>
          </cell>
          <cell r="L20">
            <v>4.781616120703633</v>
          </cell>
          <cell r="M20">
            <v>5.0382234197401825</v>
          </cell>
          <cell r="N20">
            <v>5.308601649829462</v>
          </cell>
          <cell r="O20">
            <v>5.593489833371734</v>
          </cell>
          <cell r="P20">
            <v>5.893666652693378</v>
          </cell>
          <cell r="Q20">
            <v>5.893666652693378</v>
          </cell>
        </row>
        <row r="21">
          <cell r="H21">
            <v>14.223096</v>
          </cell>
          <cell r="I21">
            <v>15.314810150927105</v>
          </cell>
          <cell r="J21">
            <v>16.136685426750926</v>
          </cell>
          <cell r="K21">
            <v>17.002666960657848</v>
          </cell>
          <cell r="L21">
            <v>17.91512173223628</v>
          </cell>
          <cell r="M21">
            <v>18.876543745959886</v>
          </cell>
          <cell r="N21">
            <v>19.889560848027717</v>
          </cell>
          <cell r="O21">
            <v>20.956941909032768</v>
          </cell>
          <cell r="P21">
            <v>22.081604392091194</v>
          </cell>
          <cell r="Q21">
            <v>22.081604392091194</v>
          </cell>
        </row>
        <row r="23">
          <cell r="H23">
            <v>14.61034392</v>
          </cell>
          <cell r="I23">
            <v>15.731781840926343</v>
          </cell>
          <cell r="J23">
            <v>16.576034065556684</v>
          </cell>
          <cell r="K23">
            <v>17.46559341597865</v>
          </cell>
          <cell r="L23">
            <v>18.402891316815847</v>
          </cell>
          <cell r="M23">
            <v>19.39048967604515</v>
          </cell>
          <cell r="N23">
            <v>20.431087887436874</v>
          </cell>
          <cell r="O23">
            <v>21.527530208783663</v>
          </cell>
          <cell r="P23">
            <v>22.682813536084893</v>
          </cell>
          <cell r="Q23">
            <v>22.682813536084893</v>
          </cell>
        </row>
        <row r="24">
          <cell r="H24">
            <v>7.61885352</v>
          </cell>
          <cell r="I24">
            <v>8.203649558895103</v>
          </cell>
          <cell r="J24">
            <v>8.643901620627043</v>
          </cell>
          <cell r="K24">
            <v>9.107779981418656</v>
          </cell>
          <cell r="L24">
            <v>9.596552555848382</v>
          </cell>
          <cell r="M24">
            <v>10.111555301626346</v>
          </cell>
          <cell r="N24">
            <v>10.65419587115563</v>
          </cell>
          <cell r="O24">
            <v>11.225957459056017</v>
          </cell>
          <cell r="P24">
            <v>11.82840285616658</v>
          </cell>
          <cell r="Q24">
            <v>11.82840285616658</v>
          </cell>
        </row>
        <row r="25">
          <cell r="H25">
            <v>15.953275199999998</v>
          </cell>
          <cell r="I25">
            <v>17.1777917391188</v>
          </cell>
          <cell r="J25">
            <v>18.099644650418373</v>
          </cell>
          <cell r="K25">
            <v>19.07096915870653</v>
          </cell>
          <cell r="L25">
            <v>20.094420176582236</v>
          </cell>
          <cell r="M25">
            <v>21.172795093567316</v>
          </cell>
          <cell r="N25">
            <v>22.30904142218625</v>
          </cell>
          <cell r="O25">
            <v>23.506264854375804</v>
          </cell>
          <cell r="P25">
            <v>24.76773775024506</v>
          </cell>
          <cell r="Q25">
            <v>24.76773775024506</v>
          </cell>
        </row>
        <row r="27">
          <cell r="H27">
            <v>133.2</v>
          </cell>
          <cell r="I27">
            <v>143.42395721040555</v>
          </cell>
          <cell r="J27">
            <v>151.1208599620802</v>
          </cell>
          <cell r="K27">
            <v>159.23082000990678</v>
          </cell>
          <cell r="L27">
            <v>167.7760042352152</v>
          </cell>
          <cell r="M27">
            <v>176.7797691136906</v>
          </cell>
          <cell r="N27">
            <v>186.26672455541973</v>
          </cell>
          <cell r="O27">
            <v>196.26280117093805</v>
          </cell>
          <cell r="P27">
            <v>206.79532114713612</v>
          </cell>
          <cell r="Q27">
            <v>206.79532114713612</v>
          </cell>
        </row>
        <row r="28">
          <cell r="H28">
            <v>26.64</v>
          </cell>
          <cell r="I28">
            <v>28.68479144208111</v>
          </cell>
          <cell r="J28">
            <v>30.224171992416043</v>
          </cell>
          <cell r="K28">
            <v>31.846164001981357</v>
          </cell>
          <cell r="L28">
            <v>33.55520084704304</v>
          </cell>
          <cell r="M28">
            <v>35.35595382273812</v>
          </cell>
          <cell r="N28">
            <v>37.25334491108395</v>
          </cell>
          <cell r="O28">
            <v>39.25256023418761</v>
          </cell>
          <cell r="P28">
            <v>41.359064229427226</v>
          </cell>
          <cell r="Q28">
            <v>41.359064229427226</v>
          </cell>
        </row>
        <row r="29">
          <cell r="H29">
            <v>25.308</v>
          </cell>
          <cell r="I29">
            <v>27.250551869977055</v>
          </cell>
          <cell r="J29">
            <v>28.71296339279524</v>
          </cell>
          <cell r="K29">
            <v>30.25385580188229</v>
          </cell>
          <cell r="L29">
            <v>31.877440804690888</v>
          </cell>
          <cell r="M29">
            <v>33.58815613160122</v>
          </cell>
          <cell r="N29">
            <v>35.39067766552975</v>
          </cell>
          <cell r="O29">
            <v>37.28993222247823</v>
          </cell>
          <cell r="P29">
            <v>39.29111101795586</v>
          </cell>
          <cell r="Q29">
            <v>39.29111101795586</v>
          </cell>
        </row>
        <row r="30">
          <cell r="H30">
            <v>21.311999999999998</v>
          </cell>
          <cell r="I30">
            <v>22.947833153664888</v>
          </cell>
          <cell r="J30">
            <v>24.179337593932832</v>
          </cell>
          <cell r="K30">
            <v>25.476931201585085</v>
          </cell>
          <cell r="L30">
            <v>26.84416067763443</v>
          </cell>
          <cell r="M30">
            <v>28.284763058190496</v>
          </cell>
          <cell r="N30">
            <v>29.802675928867156</v>
          </cell>
          <cell r="O30">
            <v>31.40204818735009</v>
          </cell>
          <cell r="P30">
            <v>33.08725138354178</v>
          </cell>
          <cell r="Q30">
            <v>33.08725138354178</v>
          </cell>
        </row>
        <row r="31">
          <cell r="H31">
            <v>18.648</v>
          </cell>
          <cell r="I31">
            <v>20.07935400945678</v>
          </cell>
          <cell r="J31">
            <v>21.15692039469123</v>
          </cell>
          <cell r="K31">
            <v>22.29231480138695</v>
          </cell>
          <cell r="L31">
            <v>23.48864059293013</v>
          </cell>
          <cell r="M31">
            <v>24.749167675916688</v>
          </cell>
          <cell r="N31">
            <v>26.077341437758765</v>
          </cell>
          <cell r="O31">
            <v>27.47679216393133</v>
          </cell>
          <cell r="P31">
            <v>28.95134496059906</v>
          </cell>
          <cell r="Q31">
            <v>28.95134496059906</v>
          </cell>
        </row>
        <row r="32">
          <cell r="H32">
            <v>15.983999999999998</v>
          </cell>
          <cell r="I32">
            <v>17.210874865248666</v>
          </cell>
          <cell r="J32">
            <v>18.134503195449625</v>
          </cell>
          <cell r="K32">
            <v>19.107698401188813</v>
          </cell>
          <cell r="L32">
            <v>20.133120508225822</v>
          </cell>
          <cell r="M32">
            <v>21.213572293642873</v>
          </cell>
          <cell r="N32">
            <v>22.352006946650366</v>
          </cell>
          <cell r="O32">
            <v>23.551536140512564</v>
          </cell>
          <cell r="P32">
            <v>24.815438537656334</v>
          </cell>
          <cell r="Q32">
            <v>24.815438537656334</v>
          </cell>
        </row>
        <row r="33">
          <cell r="H33">
            <v>11.987999999999998</v>
          </cell>
          <cell r="I33">
            <v>12.908156148936499</v>
          </cell>
          <cell r="J33">
            <v>13.600877396587217</v>
          </cell>
          <cell r="K33">
            <v>14.33077380089161</v>
          </cell>
          <cell r="L33">
            <v>15.099840381169367</v>
          </cell>
          <cell r="M33">
            <v>15.910179220232154</v>
          </cell>
          <cell r="N33">
            <v>16.764005209987776</v>
          </cell>
          <cell r="O33">
            <v>17.663652105384422</v>
          </cell>
          <cell r="P33">
            <v>18.61157890324225</v>
          </cell>
          <cell r="Q33">
            <v>18.61157890324225</v>
          </cell>
        </row>
        <row r="34">
          <cell r="H34">
            <v>7.991999999999999</v>
          </cell>
          <cell r="I34">
            <v>8.605437432624333</v>
          </cell>
          <cell r="J34">
            <v>9.067251597724812</v>
          </cell>
          <cell r="K34">
            <v>9.553849200594406</v>
          </cell>
          <cell r="L34">
            <v>10.066560254112911</v>
          </cell>
          <cell r="M34">
            <v>10.606786146821436</v>
          </cell>
          <cell r="N34">
            <v>11.176003473325183</v>
          </cell>
          <cell r="O34">
            <v>11.775768070256282</v>
          </cell>
          <cell r="P34">
            <v>12.407719268828167</v>
          </cell>
          <cell r="Q34">
            <v>12.407719268828167</v>
          </cell>
        </row>
        <row r="35">
          <cell r="H35">
            <v>5.327999999999999</v>
          </cell>
          <cell r="I35">
            <v>5.736958288416222</v>
          </cell>
          <cell r="J35">
            <v>6.044834398483208</v>
          </cell>
          <cell r="K35">
            <v>6.369232800396271</v>
          </cell>
          <cell r="L35">
            <v>6.711040169408608</v>
          </cell>
          <cell r="M35">
            <v>7.071190764547624</v>
          </cell>
          <cell r="N35">
            <v>7.450668982216789</v>
          </cell>
          <cell r="O35">
            <v>7.8505120468375225</v>
          </cell>
          <cell r="P35">
            <v>8.271812845885446</v>
          </cell>
          <cell r="Q35">
            <v>8.271812845885446</v>
          </cell>
        </row>
        <row r="36">
          <cell r="H36">
            <v>85.10000000000001</v>
          </cell>
          <cell r="I36">
            <v>91.63197266220355</v>
          </cell>
          <cell r="J36">
            <v>96.5494383091068</v>
          </cell>
          <cell r="K36">
            <v>101.73080167299601</v>
          </cell>
          <cell r="L36">
            <v>107.19022492805416</v>
          </cell>
          <cell r="M36">
            <v>112.94263026708012</v>
          </cell>
          <cell r="N36">
            <v>119.00374068818483</v>
          </cell>
          <cell r="O36">
            <v>125.39012297032154</v>
          </cell>
          <cell r="P36">
            <v>132.11923295511477</v>
          </cell>
          <cell r="Q36">
            <v>132.11923295511477</v>
          </cell>
        </row>
        <row r="37">
          <cell r="H37">
            <v>22.2</v>
          </cell>
          <cell r="I37">
            <v>23.903992868400923</v>
          </cell>
          <cell r="J37">
            <v>25.186809993680036</v>
          </cell>
          <cell r="K37">
            <v>26.53847000165113</v>
          </cell>
          <cell r="L37">
            <v>27.96266737253587</v>
          </cell>
          <cell r="M37">
            <v>29.46329485228177</v>
          </cell>
          <cell r="N37">
            <v>31.044454092569953</v>
          </cell>
          <cell r="O37">
            <v>32.71046686182301</v>
          </cell>
          <cell r="P37">
            <v>34.46588685785602</v>
          </cell>
          <cell r="Q37">
            <v>34.46588685785602</v>
          </cell>
        </row>
        <row r="38">
          <cell r="H38">
            <v>40.7</v>
          </cell>
          <cell r="I38">
            <v>43.82398692540169</v>
          </cell>
          <cell r="J38">
            <v>46.17581832174673</v>
          </cell>
          <cell r="K38">
            <v>48.65386166969375</v>
          </cell>
          <cell r="L38">
            <v>51.26489018298243</v>
          </cell>
          <cell r="M38">
            <v>54.01604056251658</v>
          </cell>
          <cell r="N38">
            <v>56.91483250304491</v>
          </cell>
          <cell r="O38">
            <v>59.96918924667552</v>
          </cell>
          <cell r="P38">
            <v>63.187459239402706</v>
          </cell>
          <cell r="Q38">
            <v>63.187459239402706</v>
          </cell>
        </row>
      </sheetData>
      <sheetData sheetId="7">
        <row r="8">
          <cell r="E8">
            <v>3.2243902439024392</v>
          </cell>
          <cell r="K8">
            <v>1.9643551401869161</v>
          </cell>
        </row>
        <row r="28">
          <cell r="E28">
            <v>3.2899628079962806</v>
          </cell>
          <cell r="K28">
            <v>1.6339230064161319</v>
          </cell>
        </row>
        <row r="35">
          <cell r="E35">
            <v>2.3136986301369866</v>
          </cell>
          <cell r="K35">
            <v>0.9352941176470588</v>
          </cell>
        </row>
        <row r="46">
          <cell r="E46">
            <v>0.7989770354906054</v>
          </cell>
          <cell r="K46">
            <v>0.4549781659388646</v>
          </cell>
        </row>
        <row r="61">
          <cell r="E61">
            <v>5.856880733944954</v>
          </cell>
          <cell r="K61">
            <v>4.83220583520359</v>
          </cell>
        </row>
        <row r="71">
          <cell r="E71">
            <v>3.723622047244095</v>
          </cell>
          <cell r="K71">
            <v>1.35256880733945</v>
          </cell>
        </row>
        <row r="80">
          <cell r="E80">
            <v>10.476133909287258</v>
          </cell>
          <cell r="K80">
            <v>0.9444920993227992</v>
          </cell>
        </row>
        <row r="83">
          <cell r="C83">
            <v>150.512</v>
          </cell>
        </row>
        <row r="84">
          <cell r="C84">
            <v>291.264</v>
          </cell>
          <cell r="I84">
            <v>94.07</v>
          </cell>
        </row>
        <row r="85">
          <cell r="C85">
            <v>729.7280000000001</v>
          </cell>
          <cell r="I85">
            <v>182.04</v>
          </cell>
        </row>
        <row r="86">
          <cell r="C86">
            <v>720.8960000000001</v>
          </cell>
          <cell r="I86">
            <v>456.08000000000004</v>
          </cell>
        </row>
        <row r="87">
          <cell r="C87">
            <v>836.8000000000001</v>
          </cell>
          <cell r="I87">
            <v>450.56</v>
          </cell>
        </row>
        <row r="88">
          <cell r="C88">
            <v>992</v>
          </cell>
          <cell r="I88">
            <v>523</v>
          </cell>
        </row>
        <row r="89">
          <cell r="C89">
            <v>1024</v>
          </cell>
          <cell r="I89">
            <v>620</v>
          </cell>
        </row>
        <row r="90">
          <cell r="C90">
            <v>1273.6000000000001</v>
          </cell>
          <cell r="I90">
            <v>640</v>
          </cell>
        </row>
        <row r="91">
          <cell r="I91">
            <v>796</v>
          </cell>
        </row>
        <row r="92">
          <cell r="C92">
            <v>25</v>
          </cell>
        </row>
        <row r="97">
          <cell r="E97">
            <v>154.390243902439</v>
          </cell>
          <cell r="K97">
            <v>79.09090909090908</v>
          </cell>
        </row>
        <row r="102">
          <cell r="E102">
            <v>29.666666666666664</v>
          </cell>
          <cell r="K102">
            <v>16.11111111111111</v>
          </cell>
        </row>
      </sheetData>
      <sheetData sheetId="9">
        <row r="8">
          <cell r="F8">
            <v>2700</v>
          </cell>
        </row>
        <row r="9">
          <cell r="F9">
            <v>2400</v>
          </cell>
        </row>
        <row r="10">
          <cell r="F10">
            <v>5040</v>
          </cell>
        </row>
        <row r="12">
          <cell r="F12">
            <v>2220</v>
          </cell>
        </row>
        <row r="14">
          <cell r="F14">
            <v>2160</v>
          </cell>
        </row>
        <row r="15">
          <cell r="G15">
            <v>1980</v>
          </cell>
        </row>
        <row r="16">
          <cell r="F16">
            <v>14520</v>
          </cell>
          <cell r="G16">
            <v>1980</v>
          </cell>
          <cell r="H16">
            <v>2040</v>
          </cell>
        </row>
        <row r="22">
          <cell r="F22">
            <v>360</v>
          </cell>
        </row>
        <row r="40">
          <cell r="G40">
            <v>834</v>
          </cell>
          <cell r="K40">
            <v>623.8</v>
          </cell>
        </row>
        <row r="47">
          <cell r="E47">
            <v>384</v>
          </cell>
        </row>
        <row r="53">
          <cell r="H53">
            <v>7200</v>
          </cell>
        </row>
        <row r="54">
          <cell r="H54">
            <v>7200</v>
          </cell>
        </row>
      </sheetData>
      <sheetData sheetId="11">
        <row r="12">
          <cell r="F12">
            <v>10620</v>
          </cell>
        </row>
        <row r="18">
          <cell r="F18">
            <v>1600</v>
          </cell>
        </row>
      </sheetData>
      <sheetData sheetId="15">
        <row r="16">
          <cell r="E16">
            <v>1620.8201999999999</v>
          </cell>
        </row>
      </sheetData>
      <sheetData sheetId="16">
        <row r="10">
          <cell r="F10">
            <v>300</v>
          </cell>
        </row>
        <row r="11">
          <cell r="F11">
            <v>348</v>
          </cell>
        </row>
        <row r="12">
          <cell r="F12">
            <v>540</v>
          </cell>
        </row>
        <row r="13">
          <cell r="F13">
            <v>1188</v>
          </cell>
        </row>
      </sheetData>
      <sheetData sheetId="17">
        <row r="9">
          <cell r="D9">
            <v>87783.19590201399</v>
          </cell>
          <cell r="E9">
            <v>94521.12111744069</v>
          </cell>
          <cell r="F9">
            <v>99593.63404603684</v>
          </cell>
          <cell r="G9">
            <v>104938.36536462443</v>
          </cell>
          <cell r="H9">
            <v>110569.92377955724</v>
          </cell>
          <cell r="I9">
            <v>116503.70197912841</v>
          </cell>
          <cell r="J9">
            <v>122755.91870626793</v>
          </cell>
          <cell r="K9">
            <v>129343.66308908767</v>
          </cell>
          <cell r="L9">
            <v>136284.94135044256</v>
          </cell>
          <cell r="M9">
            <v>136284.94135044256</v>
          </cell>
        </row>
        <row r="16">
          <cell r="D16">
            <v>52992.421968342875</v>
          </cell>
          <cell r="E16">
            <v>57059.9313878631</v>
          </cell>
          <cell r="F16">
            <v>60122.07491989046</v>
          </cell>
          <cell r="G16">
            <v>63348.54958205883</v>
          </cell>
          <cell r="H16">
            <v>66748.1742687313</v>
          </cell>
          <cell r="I16">
            <v>70330.2411436856</v>
          </cell>
          <cell r="J16">
            <v>74104.54103830254</v>
          </cell>
          <cell r="K16">
            <v>78081.39021275773</v>
          </cell>
          <cell r="L16">
            <v>82271.6585533635</v>
          </cell>
          <cell r="M16">
            <v>82271.6585533635</v>
          </cell>
        </row>
        <row r="25">
          <cell r="D25">
            <v>10620</v>
          </cell>
          <cell r="E25">
            <v>1600</v>
          </cell>
          <cell r="F25">
            <v>1680.6707199999998</v>
          </cell>
          <cell r="G25">
            <v>1765.4087931658237</v>
          </cell>
          <cell r="H25">
            <v>1854.4192921902097</v>
          </cell>
          <cell r="I25">
            <v>1947.9176293670062</v>
          </cell>
          <cell r="J25">
            <v>2046.1300779055869</v>
          </cell>
          <cell r="K25">
            <v>2149.294319529524</v>
          </cell>
          <cell r="L25">
            <v>2257.6600196847467</v>
          </cell>
          <cell r="M25">
            <v>2371.489431749236</v>
          </cell>
        </row>
        <row r="27">
          <cell r="D27">
            <v>360</v>
          </cell>
          <cell r="E27">
            <v>378.15091199999995</v>
          </cell>
          <cell r="F27">
            <v>397.2169784623103</v>
          </cell>
          <cell r="G27">
            <v>417.2443407427972</v>
          </cell>
          <cell r="H27">
            <v>438.28146660757636</v>
          </cell>
          <cell r="I27">
            <v>460.37926752875705</v>
          </cell>
          <cell r="J27">
            <v>483.5912218941429</v>
          </cell>
          <cell r="K27">
            <v>507.97350442906804</v>
          </cell>
          <cell r="L27">
            <v>533.585122143578</v>
          </cell>
          <cell r="M27">
            <v>560.4880571339595</v>
          </cell>
        </row>
        <row r="29">
          <cell r="D29">
            <v>834</v>
          </cell>
          <cell r="F29">
            <v>920.2193334376855</v>
          </cell>
          <cell r="G29">
            <v>966.6160560541467</v>
          </cell>
          <cell r="H29">
            <v>1015.3520643075518</v>
          </cell>
          <cell r="I29">
            <v>1066.545303108287</v>
          </cell>
          <cell r="J29">
            <v>1120.3196640547642</v>
          </cell>
          <cell r="K29">
            <v>1176.805285260674</v>
          </cell>
          <cell r="L29">
            <v>1236.1388662992888</v>
          </cell>
          <cell r="M29">
            <v>1298.4639990270057</v>
          </cell>
        </row>
      </sheetData>
      <sheetData sheetId="18">
        <row r="36">
          <cell r="N36">
            <v>-315.22606632889165</v>
          </cell>
        </row>
      </sheetData>
      <sheetData sheetId="19">
        <row r="15">
          <cell r="D15">
            <v>872.5317119983425</v>
          </cell>
          <cell r="E15">
            <v>0</v>
          </cell>
        </row>
        <row r="16">
          <cell r="D16">
            <v>872.5317119983425</v>
          </cell>
          <cell r="E16">
            <v>0</v>
          </cell>
        </row>
        <row r="17">
          <cell r="D17">
            <v>872.5317119983425</v>
          </cell>
          <cell r="E17">
            <v>546.9995850064271</v>
          </cell>
        </row>
        <row r="18">
          <cell r="D18">
            <v>803.2815645365289</v>
          </cell>
          <cell r="E18">
            <v>616.2497324682407</v>
          </cell>
        </row>
        <row r="19">
          <cell r="D19">
            <v>725.2643484060495</v>
          </cell>
          <cell r="E19">
            <v>694.2669485987201</v>
          </cell>
        </row>
        <row r="20">
          <cell r="D20">
            <v>637.3701527134516</v>
          </cell>
          <cell r="E20">
            <v>782.161144291318</v>
          </cell>
        </row>
        <row r="21">
          <cell r="D21">
            <v>538.3485518461707</v>
          </cell>
          <cell r="E21">
            <v>881.1827451585989</v>
          </cell>
        </row>
        <row r="22">
          <cell r="D22">
            <v>426.7908163090922</v>
          </cell>
          <cell r="E22">
            <v>992.7404806956774</v>
          </cell>
        </row>
        <row r="23">
          <cell r="D23">
            <v>301.1098714530194</v>
          </cell>
          <cell r="E23">
            <v>1118.4214255517502</v>
          </cell>
        </row>
        <row r="24">
          <cell r="D24">
            <v>159.51771897816786</v>
          </cell>
          <cell r="E24">
            <v>1260.0135780266019</v>
          </cell>
        </row>
      </sheetData>
      <sheetData sheetId="20">
        <row r="26">
          <cell r="D26">
            <v>6892.035639797335</v>
          </cell>
        </row>
        <row r="39">
          <cell r="B39">
            <v>0.5</v>
          </cell>
        </row>
      </sheetData>
      <sheetData sheetId="21">
        <row r="19">
          <cell r="B19">
            <v>0.0258</v>
          </cell>
        </row>
        <row r="20">
          <cell r="B20">
            <v>0.024</v>
          </cell>
        </row>
        <row r="49">
          <cell r="D49">
            <v>-384</v>
          </cell>
          <cell r="E49">
            <v>-403.36097279999996</v>
          </cell>
          <cell r="F49">
            <v>-423.6981103597977</v>
          </cell>
          <cell r="G49">
            <v>-445.06063012565033</v>
          </cell>
          <cell r="H49">
            <v>-467.50023104808145</v>
          </cell>
          <cell r="I49">
            <v>-491.07121869734084</v>
          </cell>
          <cell r="J49">
            <v>-515.8306366870858</v>
          </cell>
          <cell r="K49">
            <v>-541.8384047243392</v>
          </cell>
          <cell r="L49">
            <v>-569.1574636198166</v>
          </cell>
          <cell r="M49">
            <v>-597.8539276095568</v>
          </cell>
        </row>
        <row r="54">
          <cell r="D54">
            <v>-1188</v>
          </cell>
          <cell r="E54">
            <v>-1247.8980096</v>
          </cell>
          <cell r="F54">
            <v>-1310.816028925624</v>
          </cell>
          <cell r="G54">
            <v>-1376.9063244512308</v>
          </cell>
          <cell r="H54">
            <v>-1446.3288398050022</v>
          </cell>
          <cell r="I54">
            <v>-1519.2515828448982</v>
          </cell>
          <cell r="J54">
            <v>-1595.8510322506718</v>
          </cell>
          <cell r="K54">
            <v>-1676.3125646159247</v>
          </cell>
          <cell r="L54">
            <v>-1760.8309030738073</v>
          </cell>
          <cell r="M54">
            <v>-1849.6105885420661</v>
          </cell>
        </row>
        <row r="60">
          <cell r="D60">
            <v>-1456.8166666666666</v>
          </cell>
          <cell r="E60">
            <v>-1456.8166666666666</v>
          </cell>
          <cell r="F60">
            <v>-1456.8166666666666</v>
          </cell>
          <cell r="G60">
            <v>-1463.4551946666666</v>
          </cell>
          <cell r="H60">
            <v>-1463.4551946666666</v>
          </cell>
          <cell r="I60">
            <v>-1489.6126756266665</v>
          </cell>
          <cell r="J60">
            <v>-1496.585912897604</v>
          </cell>
          <cell r="K60">
            <v>-1496.585912897604</v>
          </cell>
          <cell r="L60">
            <v>-1496.585912897604</v>
          </cell>
          <cell r="M60">
            <v>-1496.585912897604</v>
          </cell>
        </row>
        <row r="62">
          <cell r="D62">
            <v>-45</v>
          </cell>
          <cell r="E62">
            <v>-45</v>
          </cell>
          <cell r="F62">
            <v>-45</v>
          </cell>
          <cell r="G62">
            <v>-45</v>
          </cell>
          <cell r="H62">
            <v>-45</v>
          </cell>
          <cell r="I62">
            <v>-45</v>
          </cell>
          <cell r="J62">
            <v>-45</v>
          </cell>
          <cell r="K62">
            <v>-45</v>
          </cell>
          <cell r="L62">
            <v>-45</v>
          </cell>
          <cell r="M62">
            <v>-45</v>
          </cell>
        </row>
      </sheetData>
      <sheetData sheetId="22">
        <row r="14">
          <cell r="E14">
            <v>131.66666666666666</v>
          </cell>
        </row>
        <row r="15">
          <cell r="E15">
            <v>306.35</v>
          </cell>
        </row>
        <row r="16">
          <cell r="E16">
            <v>500</v>
          </cell>
        </row>
        <row r="17">
          <cell r="E17">
            <v>518.8</v>
          </cell>
        </row>
        <row r="18">
          <cell r="E18">
            <v>1456.8166666666666</v>
          </cell>
        </row>
        <row r="24">
          <cell r="E24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X85"/>
  <sheetViews>
    <sheetView showGridLines="0" zoomScale="75" zoomScaleNormal="75" workbookViewId="0" topLeftCell="A54">
      <selection activeCell="C63" sqref="C63"/>
    </sheetView>
  </sheetViews>
  <sheetFormatPr defaultColWidth="11.421875" defaultRowHeight="12.75"/>
  <cols>
    <col min="1" max="1" width="2.28125" style="1" customWidth="1"/>
    <col min="2" max="2" width="40.140625" style="185" customWidth="1"/>
    <col min="3" max="3" width="9.7109375" style="1" customWidth="1"/>
    <col min="4" max="4" width="13.140625" style="1" customWidth="1"/>
    <col min="5" max="5" width="12.57421875" style="1" customWidth="1"/>
    <col min="6" max="6" width="11.7109375" style="1" customWidth="1"/>
    <col min="7" max="7" width="12.00390625" style="1" customWidth="1"/>
    <col min="8" max="10" width="11.7109375" style="1" customWidth="1"/>
    <col min="11" max="11" width="12.00390625" style="1" customWidth="1"/>
    <col min="12" max="12" width="11.7109375" style="1" customWidth="1"/>
    <col min="13" max="13" width="12.140625" style="1" customWidth="1"/>
    <col min="14" max="14" width="13.00390625" style="1" customWidth="1"/>
    <col min="15" max="15" width="18.57421875" style="1" customWidth="1"/>
    <col min="16" max="16" width="11.421875" style="1" customWidth="1"/>
    <col min="17" max="17" width="8.00390625" style="1" customWidth="1"/>
    <col min="18" max="16384" width="11.421875" style="1" customWidth="1"/>
  </cols>
  <sheetData>
    <row r="6" ht="12.75">
      <c r="B6" s="183"/>
    </row>
    <row r="7" spans="2:15" ht="21" customHeight="1">
      <c r="B7" s="197" t="s">
        <v>166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78"/>
    </row>
    <row r="8" spans="2:13" ht="12.75" customHeight="1">
      <c r="B8" s="2"/>
      <c r="C8" s="3"/>
      <c r="D8" s="4"/>
      <c r="E8" s="5"/>
      <c r="F8" s="198" t="s">
        <v>170</v>
      </c>
      <c r="G8" s="198"/>
      <c r="H8" s="198"/>
      <c r="I8" s="198"/>
      <c r="J8" s="163"/>
      <c r="K8" s="3"/>
      <c r="L8" s="3"/>
      <c r="M8" s="3"/>
    </row>
    <row r="9" spans="2:13" ht="13.5" customHeight="1">
      <c r="B9" s="184"/>
      <c r="C9" s="3"/>
      <c r="D9" s="3"/>
      <c r="E9" s="3"/>
      <c r="F9" s="3"/>
      <c r="G9" s="3"/>
      <c r="H9" s="6"/>
      <c r="I9" s="6"/>
      <c r="J9" s="6"/>
      <c r="K9" s="3"/>
      <c r="L9" s="3"/>
      <c r="M9" s="3"/>
    </row>
    <row r="10" spans="2:10" ht="17.25" customHeight="1">
      <c r="B10" s="194" t="s">
        <v>0</v>
      </c>
      <c r="C10" s="194"/>
      <c r="D10" s="165"/>
      <c r="E10" s="165"/>
      <c r="F10" s="165"/>
      <c r="G10" s="165"/>
      <c r="H10" s="165"/>
      <c r="I10" s="165"/>
      <c r="J10" s="165"/>
    </row>
    <row r="11" spans="2:10" ht="14.25" customHeight="1">
      <c r="B11" s="186" t="s">
        <v>1</v>
      </c>
      <c r="C11" s="166">
        <v>0.0258</v>
      </c>
      <c r="D11" s="165"/>
      <c r="E11" s="167"/>
      <c r="F11" s="165"/>
      <c r="G11" s="165"/>
      <c r="H11" s="165"/>
      <c r="I11" s="165"/>
      <c r="J11" s="165"/>
    </row>
    <row r="12" spans="2:15" ht="15" customHeight="1">
      <c r="B12" s="186" t="s">
        <v>2</v>
      </c>
      <c r="C12" s="168">
        <v>0.024</v>
      </c>
      <c r="D12" s="165"/>
      <c r="E12" s="165"/>
      <c r="F12" s="165"/>
      <c r="G12" s="165"/>
      <c r="H12" s="165"/>
      <c r="I12" s="165"/>
      <c r="J12" s="165"/>
      <c r="O12" s="3"/>
    </row>
    <row r="13" spans="2:15" ht="15" customHeight="1">
      <c r="B13" s="186" t="s">
        <v>3</v>
      </c>
      <c r="C13" s="169">
        <f>+C11+C12+C12*C11</f>
        <v>0.0504192</v>
      </c>
      <c r="D13" s="195"/>
      <c r="E13" s="196"/>
      <c r="F13" s="196"/>
      <c r="G13" s="170"/>
      <c r="H13" s="170"/>
      <c r="I13" s="170"/>
      <c r="J13" s="170"/>
      <c r="O13" s="3"/>
    </row>
    <row r="14" spans="2:15" s="181" customFormat="1" ht="15" customHeight="1">
      <c r="B14" s="162" t="s">
        <v>4</v>
      </c>
      <c r="D14" s="180">
        <v>0</v>
      </c>
      <c r="E14" s="180">
        <v>1</v>
      </c>
      <c r="F14" s="180">
        <v>2</v>
      </c>
      <c r="G14" s="180">
        <v>3</v>
      </c>
      <c r="H14" s="180">
        <v>4</v>
      </c>
      <c r="I14" s="180">
        <v>5</v>
      </c>
      <c r="J14" s="180">
        <v>6</v>
      </c>
      <c r="K14" s="180">
        <v>7</v>
      </c>
      <c r="L14" s="180">
        <v>8</v>
      </c>
      <c r="M14" s="180">
        <v>9</v>
      </c>
      <c r="N14" s="180">
        <v>10</v>
      </c>
      <c r="O14" s="182"/>
    </row>
    <row r="15" spans="2:15" ht="14.25" customHeight="1">
      <c r="B15" s="176" t="s">
        <v>5</v>
      </c>
      <c r="O15" s="3"/>
    </row>
    <row r="16" spans="2:15" ht="15" customHeight="1">
      <c r="B16" s="9" t="s">
        <v>6</v>
      </c>
      <c r="C16" s="10"/>
      <c r="D16" s="10"/>
      <c r="E16" s="10">
        <f>+'[1]EST RES'!D9</f>
        <v>87783.19590201399</v>
      </c>
      <c r="F16" s="10">
        <f>+'[1]EST RES'!E9</f>
        <v>94521.12111744069</v>
      </c>
      <c r="G16" s="10">
        <f>+'[1]EST RES'!F9</f>
        <v>99593.63404603684</v>
      </c>
      <c r="H16" s="10">
        <f>+'[1]EST RES'!G9</f>
        <v>104938.36536462443</v>
      </c>
      <c r="I16" s="10">
        <f>+'[1]EST RES'!H9</f>
        <v>110569.92377955724</v>
      </c>
      <c r="J16" s="10">
        <f>+'[1]EST RES'!I9</f>
        <v>116503.70197912841</v>
      </c>
      <c r="K16" s="10">
        <f>+'[1]EST RES'!J9</f>
        <v>122755.91870626793</v>
      </c>
      <c r="L16" s="10">
        <f>+'[1]EST RES'!K9</f>
        <v>129343.66308908767</v>
      </c>
      <c r="M16" s="10">
        <f>+'[1]EST RES'!L9</f>
        <v>136284.94135044256</v>
      </c>
      <c r="N16" s="10">
        <f>+'[1]EST RES'!M9</f>
        <v>136284.94135044256</v>
      </c>
      <c r="O16" s="3"/>
    </row>
    <row r="17" spans="2:15" s="11" customFormat="1" ht="23.25">
      <c r="B17" s="9" t="s">
        <v>7</v>
      </c>
      <c r="C17" s="10"/>
      <c r="D17" s="10"/>
      <c r="E17" s="10">
        <f>+'[1]EST RES'!D16</f>
        <v>52992.421968342875</v>
      </c>
      <c r="F17" s="10">
        <f>+'[1]EST RES'!E16</f>
        <v>57059.9313878631</v>
      </c>
      <c r="G17" s="10">
        <f>+'[1]EST RES'!F16</f>
        <v>60122.07491989046</v>
      </c>
      <c r="H17" s="10">
        <f>+'[1]EST RES'!G16</f>
        <v>63348.54958205883</v>
      </c>
      <c r="I17" s="10">
        <f>+'[1]EST RES'!H16</f>
        <v>66748.1742687313</v>
      </c>
      <c r="J17" s="10">
        <f>+'[1]EST RES'!I16</f>
        <v>70330.2411436856</v>
      </c>
      <c r="K17" s="10">
        <f>+'[1]EST RES'!J16</f>
        <v>74104.54103830254</v>
      </c>
      <c r="L17" s="10">
        <f>+'[1]EST RES'!K16</f>
        <v>78081.39021275773</v>
      </c>
      <c r="M17" s="10">
        <f>+'[1]EST RES'!L16</f>
        <v>82271.6585533635</v>
      </c>
      <c r="N17" s="10">
        <f>+'[1]EST RES'!M16</f>
        <v>82271.6585533635</v>
      </c>
      <c r="O17" s="12"/>
    </row>
    <row r="18" spans="2:16" ht="19.5" customHeight="1">
      <c r="B18" s="9" t="s">
        <v>8</v>
      </c>
      <c r="C18" s="15"/>
      <c r="D18" s="15"/>
      <c r="E18" s="15">
        <f aca="true" t="shared" si="0" ref="E18:N18">+E16-E17</f>
        <v>34790.77393367112</v>
      </c>
      <c r="F18" s="15">
        <f t="shared" si="0"/>
        <v>37461.18972957759</v>
      </c>
      <c r="G18" s="15">
        <f t="shared" si="0"/>
        <v>39471.55912614638</v>
      </c>
      <c r="H18" s="15">
        <f t="shared" si="0"/>
        <v>41589.8157825656</v>
      </c>
      <c r="I18" s="15">
        <f t="shared" si="0"/>
        <v>43821.749510825946</v>
      </c>
      <c r="J18" s="15">
        <f t="shared" si="0"/>
        <v>46173.460835442806</v>
      </c>
      <c r="K18" s="15">
        <f t="shared" si="0"/>
        <v>48651.37766796538</v>
      </c>
      <c r="L18" s="15">
        <f t="shared" si="0"/>
        <v>51262.27287632994</v>
      </c>
      <c r="M18" s="15">
        <f t="shared" si="0"/>
        <v>54013.28279707907</v>
      </c>
      <c r="N18" s="15">
        <f t="shared" si="0"/>
        <v>54013.28279707907</v>
      </c>
      <c r="O18" s="13"/>
      <c r="P18" s="10"/>
    </row>
    <row r="19" spans="2:16" ht="13.5" customHeight="1">
      <c r="B19" s="176" t="s">
        <v>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/>
      <c r="P19" s="10"/>
    </row>
    <row r="20" spans="2:16" s="9" customFormat="1" ht="12.75">
      <c r="B20" s="190" t="s">
        <v>10</v>
      </c>
      <c r="C20" s="10"/>
      <c r="D20" s="10"/>
      <c r="E20" s="171">
        <f aca="true" t="shared" si="1" ref="E20:N20">+SUM(E21:E27)</f>
        <v>-14520</v>
      </c>
      <c r="F20" s="171">
        <f t="shared" si="1"/>
        <v>-17232.086784</v>
      </c>
      <c r="G20" s="171">
        <f t="shared" si="1"/>
        <v>-20140.91481397985</v>
      </c>
      <c r="H20" s="171">
        <f t="shared" si="1"/>
        <v>-21156.40362616886</v>
      </c>
      <c r="I20" s="171">
        <f t="shared" si="1"/>
        <v>-22223.09257187739</v>
      </c>
      <c r="J20" s="171">
        <f t="shared" si="1"/>
        <v>-23343.56312087739</v>
      </c>
      <c r="K20" s="171">
        <f t="shared" si="1"/>
        <v>-24520.526898581527</v>
      </c>
      <c r="L20" s="171">
        <f t="shared" si="1"/>
        <v>-25756.832248386487</v>
      </c>
      <c r="M20" s="171">
        <f t="shared" si="1"/>
        <v>-27055.47112488433</v>
      </c>
      <c r="N20" s="171">
        <f t="shared" si="1"/>
        <v>-28419.586334624095</v>
      </c>
      <c r="O20" s="13"/>
      <c r="P20" s="15"/>
    </row>
    <row r="21" spans="2:16" ht="12.75" hidden="1">
      <c r="B21" s="188" t="s">
        <v>11</v>
      </c>
      <c r="C21" s="10"/>
      <c r="D21" s="10"/>
      <c r="E21" s="171">
        <f>+-'[1]D GASTS'!F8</f>
        <v>-2700</v>
      </c>
      <c r="F21" s="171">
        <f aca="true" t="shared" si="2" ref="F21:N21">+(E21*(1+$C$13))</f>
        <v>-2836.1318399999996</v>
      </c>
      <c r="G21" s="171">
        <f t="shared" si="2"/>
        <v>-2979.1273384673273</v>
      </c>
      <c r="H21" s="171">
        <f t="shared" si="2"/>
        <v>-3129.332555570979</v>
      </c>
      <c r="I21" s="171">
        <f t="shared" si="2"/>
        <v>-3287.1109995568227</v>
      </c>
      <c r="J21" s="171">
        <f t="shared" si="2"/>
        <v>-3452.8445064656776</v>
      </c>
      <c r="K21" s="171">
        <f t="shared" si="2"/>
        <v>-3626.9341642060713</v>
      </c>
      <c r="L21" s="171">
        <f t="shared" si="2"/>
        <v>-3809.8012832180098</v>
      </c>
      <c r="M21" s="171">
        <f t="shared" si="2"/>
        <v>-4001.888416076835</v>
      </c>
      <c r="N21" s="171">
        <f t="shared" si="2"/>
        <v>-4203.660428504695</v>
      </c>
      <c r="O21" s="14"/>
      <c r="P21" s="10"/>
    </row>
    <row r="22" spans="2:16" ht="12.75" hidden="1">
      <c r="B22" s="188" t="s">
        <v>12</v>
      </c>
      <c r="C22" s="10"/>
      <c r="D22" s="10"/>
      <c r="E22" s="171">
        <f>+-'[1]D GASTS'!F14</f>
        <v>-2160</v>
      </c>
      <c r="F22" s="171">
        <f aca="true" t="shared" si="3" ref="F22:N22">+(E22*(1+$C$13))</f>
        <v>-2268.905472</v>
      </c>
      <c r="G22" s="171">
        <f t="shared" si="3"/>
        <v>-2383.301870773862</v>
      </c>
      <c r="H22" s="171">
        <f t="shared" si="3"/>
        <v>-2503.466044456783</v>
      </c>
      <c r="I22" s="171">
        <f t="shared" si="3"/>
        <v>-2629.6887996454584</v>
      </c>
      <c r="J22" s="171">
        <f t="shared" si="3"/>
        <v>-2762.2756051725423</v>
      </c>
      <c r="K22" s="171">
        <f t="shared" si="3"/>
        <v>-2901.5473313648577</v>
      </c>
      <c r="L22" s="171">
        <f t="shared" si="3"/>
        <v>-3047.8410265744083</v>
      </c>
      <c r="M22" s="171">
        <f t="shared" si="3"/>
        <v>-3201.510732861468</v>
      </c>
      <c r="N22" s="171">
        <f t="shared" si="3"/>
        <v>-3362.9283428037565</v>
      </c>
      <c r="O22" s="14"/>
      <c r="P22" s="10"/>
    </row>
    <row r="23" spans="2:16" ht="12.75" hidden="1">
      <c r="B23" s="189" t="s">
        <v>13</v>
      </c>
      <c r="C23" s="10"/>
      <c r="D23" s="10"/>
      <c r="E23" s="171">
        <f>+-'[1]D GASTS'!$F$12</f>
        <v>-2220</v>
      </c>
      <c r="F23" s="171">
        <f aca="true" t="shared" si="4" ref="F23:N23">+(E23*(1+$C$13))</f>
        <v>-2331.9306239999996</v>
      </c>
      <c r="G23" s="171">
        <f t="shared" si="4"/>
        <v>-2449.50470051758</v>
      </c>
      <c r="H23" s="171">
        <f t="shared" si="4"/>
        <v>-2573.006767913916</v>
      </c>
      <c r="I23" s="171">
        <f t="shared" si="4"/>
        <v>-2702.735710746721</v>
      </c>
      <c r="J23" s="171">
        <f t="shared" si="4"/>
        <v>-2839.0054830940016</v>
      </c>
      <c r="K23" s="171">
        <f t="shared" si="4"/>
        <v>-2982.145868347214</v>
      </c>
      <c r="L23" s="171">
        <f t="shared" si="4"/>
        <v>-3132.503277312586</v>
      </c>
      <c r="M23" s="171">
        <f t="shared" si="4"/>
        <v>-3290.441586552064</v>
      </c>
      <c r="N23" s="171">
        <f t="shared" si="4"/>
        <v>-3456.3430189927494</v>
      </c>
      <c r="O23" s="14"/>
      <c r="P23" s="10"/>
    </row>
    <row r="24" spans="2:16" ht="12.75" hidden="1">
      <c r="B24" s="188" t="s">
        <v>14</v>
      </c>
      <c r="C24" s="10"/>
      <c r="D24" s="10"/>
      <c r="E24" s="171">
        <f>+-'[1]D GASTS'!F15</f>
        <v>0</v>
      </c>
      <c r="F24" s="171">
        <f>+-'[1]D GASTS'!G15</f>
        <v>-1980</v>
      </c>
      <c r="G24" s="171">
        <f aca="true" t="shared" si="5" ref="G24:N24">+(F24*(1+$C$13))</f>
        <v>-2079.830016</v>
      </c>
      <c r="H24" s="171">
        <f t="shared" si="5"/>
        <v>-2184.693381542707</v>
      </c>
      <c r="I24" s="171">
        <f t="shared" si="5"/>
        <v>-2294.843874085385</v>
      </c>
      <c r="J24" s="171">
        <f t="shared" si="5"/>
        <v>-2410.5480663416706</v>
      </c>
      <c r="K24" s="171">
        <f t="shared" si="5"/>
        <v>-2532.0859714081644</v>
      </c>
      <c r="L24" s="171">
        <f t="shared" si="5"/>
        <v>-2659.7517204177866</v>
      </c>
      <c r="M24" s="171">
        <f t="shared" si="5"/>
        <v>-2793.8542743598746</v>
      </c>
      <c r="N24" s="171">
        <f t="shared" si="5"/>
        <v>-2934.7181717896797</v>
      </c>
      <c r="O24" s="14"/>
      <c r="P24" s="10"/>
    </row>
    <row r="25" spans="2:16" ht="12.75" hidden="1">
      <c r="B25" s="188" t="s">
        <v>15</v>
      </c>
      <c r="C25" s="10"/>
      <c r="D25" s="10"/>
      <c r="E25" s="171">
        <v>0</v>
      </c>
      <c r="F25" s="171">
        <v>0</v>
      </c>
      <c r="G25" s="171">
        <f>+-'[1]D GASTS'!H16</f>
        <v>-2040</v>
      </c>
      <c r="H25" s="171">
        <f aca="true" t="shared" si="6" ref="H25:N27">+(G25*(1+$C$13))</f>
        <v>-2142.8551679999996</v>
      </c>
      <c r="I25" s="171">
        <f t="shared" si="6"/>
        <v>-2250.896211286425</v>
      </c>
      <c r="J25" s="171">
        <f t="shared" si="6"/>
        <v>-2364.3845975425174</v>
      </c>
      <c r="K25" s="171">
        <f t="shared" si="6"/>
        <v>-2483.5949774429328</v>
      </c>
      <c r="L25" s="171">
        <f t="shared" si="6"/>
        <v>-2608.8158493296232</v>
      </c>
      <c r="M25" s="171">
        <f t="shared" si="6"/>
        <v>-2740.350257400143</v>
      </c>
      <c r="N25" s="171">
        <f t="shared" si="6"/>
        <v>-2878.516525098052</v>
      </c>
      <c r="O25" s="14"/>
      <c r="P25" s="10"/>
    </row>
    <row r="26" spans="2:16" ht="12.75" hidden="1">
      <c r="B26" s="188" t="s">
        <v>16</v>
      </c>
      <c r="C26" s="10"/>
      <c r="D26" s="10"/>
      <c r="E26" s="171">
        <f>+-'[1]D GASTS'!F9</f>
        <v>-2400</v>
      </c>
      <c r="F26" s="171">
        <f>+(E26*(1+$C$13))</f>
        <v>-2521.0060799999997</v>
      </c>
      <c r="G26" s="171">
        <f>+(F26*(1+$C$13))</f>
        <v>-2648.1131897487353</v>
      </c>
      <c r="H26" s="171">
        <f t="shared" si="6"/>
        <v>-2781.6289382853142</v>
      </c>
      <c r="I26" s="171">
        <f t="shared" si="6"/>
        <v>-2921.876444050509</v>
      </c>
      <c r="J26" s="171">
        <f t="shared" si="6"/>
        <v>-3069.19511685838</v>
      </c>
      <c r="K26" s="171">
        <f t="shared" si="6"/>
        <v>-3223.9414792942857</v>
      </c>
      <c r="L26" s="171">
        <f t="shared" si="6"/>
        <v>-3386.49002952712</v>
      </c>
      <c r="M26" s="171">
        <f t="shared" si="6"/>
        <v>-3557.2341476238535</v>
      </c>
      <c r="N26" s="171">
        <f t="shared" si="6"/>
        <v>-3736.58704755973</v>
      </c>
      <c r="O26" s="14"/>
      <c r="P26" s="10"/>
    </row>
    <row r="27" spans="2:16" ht="12.75" hidden="1">
      <c r="B27" s="188" t="s">
        <v>17</v>
      </c>
      <c r="C27" s="10"/>
      <c r="D27" s="10"/>
      <c r="E27" s="171">
        <f>+-'[1]D GASTS'!F10</f>
        <v>-5040</v>
      </c>
      <c r="F27" s="171">
        <f>+(E27*(1+$C$13))</f>
        <v>-5294.112767999999</v>
      </c>
      <c r="G27" s="171">
        <f>+(F27*(1+$C$13))</f>
        <v>-5561.037698472344</v>
      </c>
      <c r="H27" s="171">
        <f t="shared" si="6"/>
        <v>-5841.420770399161</v>
      </c>
      <c r="I27" s="171">
        <f t="shared" si="6"/>
        <v>-6135.940532506069</v>
      </c>
      <c r="J27" s="171">
        <f t="shared" si="6"/>
        <v>-6445.309745402598</v>
      </c>
      <c r="K27" s="171">
        <f t="shared" si="6"/>
        <v>-6770.277106518</v>
      </c>
      <c r="L27" s="171">
        <f t="shared" si="6"/>
        <v>-7111.629062006952</v>
      </c>
      <c r="M27" s="171">
        <f t="shared" si="6"/>
        <v>-7470.191710010093</v>
      </c>
      <c r="N27" s="171">
        <f t="shared" si="6"/>
        <v>-7846.832799875433</v>
      </c>
      <c r="O27" s="14"/>
      <c r="P27" s="10"/>
    </row>
    <row r="28" spans="2:16" ht="12.75">
      <c r="B28" s="190" t="s">
        <v>18</v>
      </c>
      <c r="C28" s="10"/>
      <c r="D28" s="10"/>
      <c r="E28" s="171">
        <f>-'[1]EST RES'!D25</f>
        <v>-10620</v>
      </c>
      <c r="F28" s="171">
        <f>-'[1]EST RES'!E25</f>
        <v>-1600</v>
      </c>
      <c r="G28" s="171">
        <f>-'[1]EST RES'!F25</f>
        <v>-1680.6707199999998</v>
      </c>
      <c r="H28" s="171">
        <f>-'[1]EST RES'!G25</f>
        <v>-1765.4087931658237</v>
      </c>
      <c r="I28" s="171">
        <f>-'[1]EST RES'!H25</f>
        <v>-1854.4192921902097</v>
      </c>
      <c r="J28" s="171">
        <f>-'[1]EST RES'!I25</f>
        <v>-1947.9176293670062</v>
      </c>
      <c r="K28" s="171">
        <f>-'[1]EST RES'!J25</f>
        <v>-2046.1300779055869</v>
      </c>
      <c r="L28" s="171">
        <f>-'[1]EST RES'!K25</f>
        <v>-2149.294319529524</v>
      </c>
      <c r="M28" s="171">
        <f>-'[1]EST RES'!L25</f>
        <v>-2257.6600196847467</v>
      </c>
      <c r="N28" s="187">
        <f>-'[1]EST RES'!M25</f>
        <v>-2371.489431749236</v>
      </c>
      <c r="O28" s="14"/>
      <c r="P28" s="10"/>
    </row>
    <row r="29" spans="2:16" ht="12.75">
      <c r="B29" s="191" t="s">
        <v>19</v>
      </c>
      <c r="C29" s="10"/>
      <c r="D29" s="10"/>
      <c r="E29" s="187">
        <f>-'[1]EST RES'!D29</f>
        <v>-834</v>
      </c>
      <c r="F29" s="187">
        <f>+'[1]D GASTS'!K40</f>
        <v>623.8</v>
      </c>
      <c r="G29" s="187">
        <f>-'[1]EST RES'!F29</f>
        <v>-920.2193334376855</v>
      </c>
      <c r="H29" s="187">
        <f>-'[1]EST RES'!G29</f>
        <v>-966.6160560541467</v>
      </c>
      <c r="I29" s="187">
        <f>-'[1]EST RES'!H29</f>
        <v>-1015.3520643075518</v>
      </c>
      <c r="J29" s="187">
        <f>-'[1]EST RES'!I29</f>
        <v>-1066.545303108287</v>
      </c>
      <c r="K29" s="187">
        <f>-'[1]EST RES'!J29</f>
        <v>-1120.3196640547642</v>
      </c>
      <c r="L29" s="187">
        <f>-'[1]EST RES'!K29</f>
        <v>-1176.805285260674</v>
      </c>
      <c r="M29" s="187">
        <f>-'[1]EST RES'!L29</f>
        <v>-1236.1388662992888</v>
      </c>
      <c r="N29" s="187">
        <f>-'[1]EST RES'!M29</f>
        <v>-1298.4639990270057</v>
      </c>
      <c r="O29" s="14"/>
      <c r="P29" s="10"/>
    </row>
    <row r="30" spans="2:16" ht="12.75">
      <c r="B30" s="190" t="s">
        <v>20</v>
      </c>
      <c r="C30" s="10"/>
      <c r="D30" s="10">
        <f>+-'[1]GAST CONST'!E16</f>
        <v>-1620.8201999999999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71"/>
      <c r="O30" s="14"/>
      <c r="P30" s="10"/>
    </row>
    <row r="31" spans="2:16" ht="12.75">
      <c r="B31" s="192" t="s">
        <v>21</v>
      </c>
      <c r="C31" s="10"/>
      <c r="D31" s="10"/>
      <c r="E31" s="171">
        <f aca="true" t="shared" si="7" ref="E31:N31">+SUM(E32:E32)</f>
        <v>-360</v>
      </c>
      <c r="F31" s="171">
        <f t="shared" si="7"/>
        <v>-378.15091199999995</v>
      </c>
      <c r="G31" s="171">
        <f t="shared" si="7"/>
        <v>-397.2169784623103</v>
      </c>
      <c r="H31" s="171">
        <f t="shared" si="7"/>
        <v>-417.2443407427972</v>
      </c>
      <c r="I31" s="171">
        <f t="shared" si="7"/>
        <v>-438.28146660757636</v>
      </c>
      <c r="J31" s="171">
        <f t="shared" si="7"/>
        <v>-460.37926752875705</v>
      </c>
      <c r="K31" s="171">
        <f t="shared" si="7"/>
        <v>-483.5912218941429</v>
      </c>
      <c r="L31" s="171">
        <f t="shared" si="7"/>
        <v>-507.97350442906804</v>
      </c>
      <c r="M31" s="171">
        <f t="shared" si="7"/>
        <v>-533.585122143578</v>
      </c>
      <c r="N31" s="171">
        <f t="shared" si="7"/>
        <v>-560.4880571339595</v>
      </c>
      <c r="O31" s="14"/>
      <c r="P31" s="10"/>
    </row>
    <row r="32" spans="2:16" ht="12.75" hidden="1">
      <c r="B32" s="185" t="s">
        <v>22</v>
      </c>
      <c r="C32" s="10"/>
      <c r="D32" s="10"/>
      <c r="E32" s="187">
        <f>+-'[1]EST RES'!D27</f>
        <v>-360</v>
      </c>
      <c r="F32" s="187">
        <f>+-'[1]EST RES'!E27</f>
        <v>-378.15091199999995</v>
      </c>
      <c r="G32" s="187">
        <f>+-'[1]EST RES'!F27</f>
        <v>-397.2169784623103</v>
      </c>
      <c r="H32" s="187">
        <f>+-'[1]EST RES'!G27</f>
        <v>-417.2443407427972</v>
      </c>
      <c r="I32" s="187">
        <f>+-'[1]EST RES'!H27</f>
        <v>-438.28146660757636</v>
      </c>
      <c r="J32" s="187">
        <f>+-'[1]EST RES'!I27</f>
        <v>-460.37926752875705</v>
      </c>
      <c r="K32" s="187">
        <f>+-'[1]EST RES'!J27</f>
        <v>-483.5912218941429</v>
      </c>
      <c r="L32" s="187">
        <f>+-'[1]EST RES'!K27</f>
        <v>-507.97350442906804</v>
      </c>
      <c r="M32" s="187">
        <f>+-'[1]EST RES'!L27</f>
        <v>-533.585122143578</v>
      </c>
      <c r="N32" s="171">
        <f>+-'[1]EST RES'!M27</f>
        <v>-560.4880571339595</v>
      </c>
      <c r="O32" s="14"/>
      <c r="P32" s="10"/>
    </row>
    <row r="33" spans="2:16" ht="12.75">
      <c r="B33" s="192" t="s">
        <v>23</v>
      </c>
      <c r="C33" s="10"/>
      <c r="D33" s="10"/>
      <c r="E33" s="171">
        <f>+SUM(E34:E35)</f>
        <v>-7584</v>
      </c>
      <c r="F33" s="171">
        <f aca="true" t="shared" si="8" ref="F33:N33">+SUM(F34:F35)</f>
        <v>-7966.3792128</v>
      </c>
      <c r="G33" s="171">
        <f t="shared" si="8"/>
        <v>-8368.037679606005</v>
      </c>
      <c r="H33" s="171">
        <f t="shared" si="8"/>
        <v>-8789.947444981593</v>
      </c>
      <c r="I33" s="171">
        <f t="shared" si="8"/>
        <v>-9233.129563199609</v>
      </c>
      <c r="J33" s="171">
        <f t="shared" si="8"/>
        <v>-9698.656569272482</v>
      </c>
      <c r="K33" s="171">
        <f t="shared" si="8"/>
        <v>-10187.655074569942</v>
      </c>
      <c r="L33" s="171">
        <f t="shared" si="8"/>
        <v>-10701.308493305698</v>
      </c>
      <c r="M33" s="171">
        <f t="shared" si="8"/>
        <v>-11240.859906491374</v>
      </c>
      <c r="N33" s="171">
        <f t="shared" si="8"/>
        <v>-11807.615070288743</v>
      </c>
      <c r="O33" s="14"/>
      <c r="P33" s="10"/>
    </row>
    <row r="34" spans="2:16" ht="12.75" hidden="1">
      <c r="B34" s="185" t="s">
        <v>24</v>
      </c>
      <c r="C34" s="10"/>
      <c r="D34" s="10"/>
      <c r="E34" s="171">
        <f>+-'[1]D GASTS'!$H$53</f>
        <v>-7200</v>
      </c>
      <c r="F34" s="171">
        <f aca="true" t="shared" si="9" ref="F34:N34">+(E34*(1+$C$13))</f>
        <v>-7563.018239999999</v>
      </c>
      <c r="G34" s="171">
        <f t="shared" si="9"/>
        <v>-7944.339569246206</v>
      </c>
      <c r="H34" s="171">
        <f t="shared" si="9"/>
        <v>-8344.886814855943</v>
      </c>
      <c r="I34" s="171">
        <f t="shared" si="9"/>
        <v>-8765.629332151528</v>
      </c>
      <c r="J34" s="171">
        <f t="shared" si="9"/>
        <v>-9207.58535057514</v>
      </c>
      <c r="K34" s="171">
        <f t="shared" si="9"/>
        <v>-9671.824437882857</v>
      </c>
      <c r="L34" s="171">
        <f t="shared" si="9"/>
        <v>-10159.470088581358</v>
      </c>
      <c r="M34" s="171">
        <f t="shared" si="9"/>
        <v>-10671.702442871558</v>
      </c>
      <c r="N34" s="171">
        <f t="shared" si="9"/>
        <v>-11209.761142679186</v>
      </c>
      <c r="O34" s="14"/>
      <c r="P34" s="10"/>
    </row>
    <row r="35" spans="2:16" ht="12.75" hidden="1">
      <c r="B35" s="185" t="s">
        <v>25</v>
      </c>
      <c r="E35" s="171">
        <f>+-'[1]D GASTS'!$E$47</f>
        <v>-384</v>
      </c>
      <c r="F35" s="171">
        <f aca="true" t="shared" si="10" ref="F35:N35">+(E35*(1+$C$13))</f>
        <v>-403.36097279999996</v>
      </c>
      <c r="G35" s="171">
        <f t="shared" si="10"/>
        <v>-423.6981103597977</v>
      </c>
      <c r="H35" s="171">
        <f t="shared" si="10"/>
        <v>-445.06063012565033</v>
      </c>
      <c r="I35" s="171">
        <f t="shared" si="10"/>
        <v>-467.50023104808145</v>
      </c>
      <c r="J35" s="171">
        <f t="shared" si="10"/>
        <v>-491.07121869734084</v>
      </c>
      <c r="K35" s="171">
        <f t="shared" si="10"/>
        <v>-515.8306366870858</v>
      </c>
      <c r="L35" s="171">
        <f t="shared" si="10"/>
        <v>-541.8384047243392</v>
      </c>
      <c r="M35" s="171">
        <f t="shared" si="10"/>
        <v>-569.1574636198166</v>
      </c>
      <c r="N35" s="171">
        <f t="shared" si="10"/>
        <v>-597.8539276095568</v>
      </c>
      <c r="O35" s="14"/>
      <c r="P35" s="10"/>
    </row>
    <row r="36" spans="2:16" ht="12.75">
      <c r="B36" s="9" t="s">
        <v>26</v>
      </c>
      <c r="C36" s="10"/>
      <c r="D36" s="10"/>
      <c r="E36" s="171">
        <f aca="true" t="shared" si="11" ref="E36:N36">+SUM(E37:E39)</f>
        <v>-1188</v>
      </c>
      <c r="F36" s="171">
        <f t="shared" si="11"/>
        <v>-1247.8980096</v>
      </c>
      <c r="G36" s="171">
        <f t="shared" si="11"/>
        <v>-1310.816028925624</v>
      </c>
      <c r="H36" s="171">
        <f t="shared" si="11"/>
        <v>-1376.9063244512308</v>
      </c>
      <c r="I36" s="171">
        <f t="shared" si="11"/>
        <v>-1446.3288398050022</v>
      </c>
      <c r="J36" s="171">
        <f t="shared" si="11"/>
        <v>-1519.2515828448982</v>
      </c>
      <c r="K36" s="171">
        <f t="shared" si="11"/>
        <v>-1595.8510322506718</v>
      </c>
      <c r="L36" s="171">
        <f t="shared" si="11"/>
        <v>-1676.3125646159247</v>
      </c>
      <c r="M36" s="171">
        <f t="shared" si="11"/>
        <v>-1760.8309030738073</v>
      </c>
      <c r="N36" s="171">
        <f t="shared" si="11"/>
        <v>-1849.6105885420661</v>
      </c>
      <c r="O36" s="14"/>
      <c r="P36" s="10"/>
    </row>
    <row r="37" spans="2:16" ht="12.75" hidden="1">
      <c r="B37" s="189" t="s">
        <v>27</v>
      </c>
      <c r="C37" s="10"/>
      <c r="D37" s="10"/>
      <c r="E37" s="171">
        <f>+-'[1]GRBASI'!F10</f>
        <v>-300</v>
      </c>
      <c r="F37" s="171">
        <f aca="true" t="shared" si="12" ref="F37:N37">+(E37*(1+$C$13))</f>
        <v>-315.12575999999996</v>
      </c>
      <c r="G37" s="171">
        <f t="shared" si="12"/>
        <v>-331.0141487185919</v>
      </c>
      <c r="H37" s="171">
        <f t="shared" si="12"/>
        <v>-347.7036172856643</v>
      </c>
      <c r="I37" s="171">
        <f t="shared" si="12"/>
        <v>-365.2345555063136</v>
      </c>
      <c r="J37" s="171">
        <f t="shared" si="12"/>
        <v>-383.6493896072975</v>
      </c>
      <c r="K37" s="171">
        <f t="shared" si="12"/>
        <v>-402.9926849117857</v>
      </c>
      <c r="L37" s="171">
        <f t="shared" si="12"/>
        <v>-423.31125369089</v>
      </c>
      <c r="M37" s="171">
        <f t="shared" si="12"/>
        <v>-444.6542684529817</v>
      </c>
      <c r="N37" s="171">
        <f t="shared" si="12"/>
        <v>-467.07338094496623</v>
      </c>
      <c r="O37" s="14"/>
      <c r="P37" s="10"/>
    </row>
    <row r="38" spans="2:14" ht="12.75" hidden="1">
      <c r="B38" s="189" t="s">
        <v>28</v>
      </c>
      <c r="C38" s="10"/>
      <c r="D38" s="10"/>
      <c r="E38" s="171">
        <f>+-'[1]GRBASI'!F11</f>
        <v>-348</v>
      </c>
      <c r="F38" s="171">
        <f aca="true" t="shared" si="13" ref="F38:N38">+(E38*(1+$C$13))</f>
        <v>-365.5458816</v>
      </c>
      <c r="G38" s="171">
        <f t="shared" si="13"/>
        <v>-383.97641251356663</v>
      </c>
      <c r="H38" s="171">
        <f t="shared" si="13"/>
        <v>-403.3361960513706</v>
      </c>
      <c r="I38" s="171">
        <f t="shared" si="13"/>
        <v>-423.6720843873238</v>
      </c>
      <c r="J38" s="171">
        <f t="shared" si="13"/>
        <v>-445.03329194446513</v>
      </c>
      <c r="K38" s="171">
        <f t="shared" si="13"/>
        <v>-467.4715144976715</v>
      </c>
      <c r="L38" s="171">
        <f t="shared" si="13"/>
        <v>-491.0410542814324</v>
      </c>
      <c r="M38" s="171">
        <f t="shared" si="13"/>
        <v>-515.7989514054588</v>
      </c>
      <c r="N38" s="171">
        <f t="shared" si="13"/>
        <v>-541.8051218961608</v>
      </c>
    </row>
    <row r="39" spans="2:16" ht="12.75" hidden="1">
      <c r="B39" s="189" t="s">
        <v>29</v>
      </c>
      <c r="C39" s="10"/>
      <c r="D39" s="10"/>
      <c r="E39" s="171">
        <f>+-'[1]GRBASI'!F12</f>
        <v>-540</v>
      </c>
      <c r="F39" s="171">
        <f aca="true" t="shared" si="14" ref="F39:N39">+(E39*(1+$C$13))</f>
        <v>-567.226368</v>
      </c>
      <c r="G39" s="171">
        <f t="shared" si="14"/>
        <v>-595.8254676934655</v>
      </c>
      <c r="H39" s="171">
        <f t="shared" si="14"/>
        <v>-625.8665111141958</v>
      </c>
      <c r="I39" s="171">
        <f t="shared" si="14"/>
        <v>-657.4221999113646</v>
      </c>
      <c r="J39" s="171">
        <f t="shared" si="14"/>
        <v>-690.5689012931356</v>
      </c>
      <c r="K39" s="171">
        <f t="shared" si="14"/>
        <v>-725.3868328412144</v>
      </c>
      <c r="L39" s="171">
        <f t="shared" si="14"/>
        <v>-761.9602566436021</v>
      </c>
      <c r="M39" s="171">
        <f t="shared" si="14"/>
        <v>-800.377683215367</v>
      </c>
      <c r="N39" s="171">
        <f t="shared" si="14"/>
        <v>-840.7320857009391</v>
      </c>
      <c r="O39" s="14"/>
      <c r="P39" s="10"/>
    </row>
    <row r="40" spans="2:16" ht="12.75">
      <c r="B40" s="9" t="s">
        <v>30</v>
      </c>
      <c r="C40" s="10"/>
      <c r="D40" s="10"/>
      <c r="E40" s="171">
        <f aca="true" t="shared" si="15" ref="E40:N40">+SUM(E41:E44)</f>
        <v>-1456.8166666666666</v>
      </c>
      <c r="F40" s="171">
        <f t="shared" si="15"/>
        <v>-1456.8166666666666</v>
      </c>
      <c r="G40" s="171">
        <f t="shared" si="15"/>
        <v>-1456.8166666666666</v>
      </c>
      <c r="H40" s="171">
        <f t="shared" si="15"/>
        <v>-1463.4551946666666</v>
      </c>
      <c r="I40" s="171">
        <f t="shared" si="15"/>
        <v>-1463.4551946666666</v>
      </c>
      <c r="J40" s="171">
        <f t="shared" si="15"/>
        <v>-1489.6126756266665</v>
      </c>
      <c r="K40" s="171">
        <f t="shared" si="15"/>
        <v>-1496.585912897604</v>
      </c>
      <c r="L40" s="171">
        <f t="shared" si="15"/>
        <v>-1496.585912897604</v>
      </c>
      <c r="M40" s="171">
        <f t="shared" si="15"/>
        <v>-1496.585912897604</v>
      </c>
      <c r="N40" s="171">
        <f t="shared" si="15"/>
        <v>-1496.585912897604</v>
      </c>
      <c r="O40" s="14"/>
      <c r="P40" s="10"/>
    </row>
    <row r="41" spans="2:24" ht="12.75" hidden="1">
      <c r="B41" s="185" t="s">
        <v>31</v>
      </c>
      <c r="C41" s="14"/>
      <c r="D41" s="172"/>
      <c r="E41" s="171">
        <f>+-'[1]DEPRE'!$E$15</f>
        <v>-306.35</v>
      </c>
      <c r="F41" s="171">
        <f>+-'[1]DEPRE'!$E$15</f>
        <v>-306.35</v>
      </c>
      <c r="G41" s="171">
        <f>+-'[1]DEPRE'!$E$15</f>
        <v>-306.35</v>
      </c>
      <c r="H41" s="171">
        <f>+-'[1]DEPRE'!$E$15</f>
        <v>-306.35</v>
      </c>
      <c r="I41" s="171">
        <f>+-'[1]DEPRE'!$E$15</f>
        <v>-306.35</v>
      </c>
      <c r="J41" s="171">
        <f>+-'[1]DEPRE'!$E$15</f>
        <v>-306.35</v>
      </c>
      <c r="K41" s="171">
        <f>+-'[1]DEPRE'!$E$15</f>
        <v>-306.35</v>
      </c>
      <c r="L41" s="171">
        <f>+-'[1]DEPRE'!$E$15</f>
        <v>-306.35</v>
      </c>
      <c r="M41" s="171">
        <f>+-'[1]DEPRE'!$E$15</f>
        <v>-306.35</v>
      </c>
      <c r="N41" s="171">
        <f>+-'[1]DEPRE'!$E$15</f>
        <v>-306.35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ht="12.75" hidden="1">
      <c r="B42" s="185" t="s">
        <v>32</v>
      </c>
      <c r="C42" s="14"/>
      <c r="D42" s="14"/>
      <c r="E42" s="171">
        <f>+-'[1]DEPRE'!$E$17</f>
        <v>-518.8</v>
      </c>
      <c r="F42" s="171">
        <f>+-'[1]DEPRE'!$E$17</f>
        <v>-518.8</v>
      </c>
      <c r="G42" s="171">
        <f>+-'[1]DEPRE'!$E$17</f>
        <v>-518.8</v>
      </c>
      <c r="H42" s="171">
        <f>+-'[1]DEPRE'!$E$17</f>
        <v>-518.8</v>
      </c>
      <c r="I42" s="171">
        <f>+-'[1]DEPRE'!$E$17</f>
        <v>-518.8</v>
      </c>
      <c r="J42" s="171">
        <f>+(I42*(1+$C$13))</f>
        <v>-544.9574809599999</v>
      </c>
      <c r="K42" s="171">
        <f>+J42</f>
        <v>-544.9574809599999</v>
      </c>
      <c r="L42" s="171">
        <f>+K42</f>
        <v>-544.9574809599999</v>
      </c>
      <c r="M42" s="171">
        <f>+L42</f>
        <v>-544.9574809599999</v>
      </c>
      <c r="N42" s="171">
        <f>+M42</f>
        <v>-544.9574809599999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16" ht="12.75" hidden="1">
      <c r="B43" s="185" t="s">
        <v>33</v>
      </c>
      <c r="C43" s="14"/>
      <c r="D43" s="14"/>
      <c r="E43" s="171">
        <f>+-'[1]DEPRE'!$E$14</f>
        <v>-131.66666666666666</v>
      </c>
      <c r="F43" s="171">
        <f>+-'[1]DEPRE'!$E$14</f>
        <v>-131.66666666666666</v>
      </c>
      <c r="G43" s="171">
        <f>+-'[1]DEPRE'!$E$14</f>
        <v>-131.66666666666666</v>
      </c>
      <c r="H43" s="171">
        <f>+G43*(1+$C$13)</f>
        <v>-138.30519466666664</v>
      </c>
      <c r="I43" s="171">
        <f>+H43</f>
        <v>-138.30519466666664</v>
      </c>
      <c r="J43" s="171">
        <f>+I43</f>
        <v>-138.30519466666664</v>
      </c>
      <c r="K43" s="171">
        <f>+J43*(1+$C$13)</f>
        <v>-145.2784319376042</v>
      </c>
      <c r="L43" s="171">
        <f>+K43</f>
        <v>-145.2784319376042</v>
      </c>
      <c r="M43" s="171">
        <f>+L43</f>
        <v>-145.2784319376042</v>
      </c>
      <c r="N43" s="171">
        <f>+M43</f>
        <v>-145.2784319376042</v>
      </c>
      <c r="O43" s="14"/>
      <c r="P43" s="10"/>
    </row>
    <row r="44" spans="2:18" ht="12.75" hidden="1">
      <c r="B44" s="185" t="s">
        <v>34</v>
      </c>
      <c r="C44" s="14"/>
      <c r="D44" s="14"/>
      <c r="E44" s="171">
        <f>+-'[1]DEPRE'!$E$16</f>
        <v>-500</v>
      </c>
      <c r="F44" s="171">
        <f>+-'[1]DEPRE'!$E$16</f>
        <v>-500</v>
      </c>
      <c r="G44" s="171">
        <f>+-'[1]DEPRE'!$E$16</f>
        <v>-500</v>
      </c>
      <c r="H44" s="171">
        <f>+-'[1]DEPRE'!$E$16</f>
        <v>-500</v>
      </c>
      <c r="I44" s="171">
        <f>+-'[1]DEPRE'!$E$16</f>
        <v>-500</v>
      </c>
      <c r="J44" s="171">
        <f>+-'[1]DEPRE'!$E$16</f>
        <v>-500</v>
      </c>
      <c r="K44" s="171">
        <f>+-'[1]DEPRE'!$E$16</f>
        <v>-500</v>
      </c>
      <c r="L44" s="171">
        <f>+-'[1]DEPRE'!$E$16</f>
        <v>-500</v>
      </c>
      <c r="M44" s="171">
        <f>+-'[1]DEPRE'!$E$16</f>
        <v>-500</v>
      </c>
      <c r="N44" s="171">
        <f>+-'[1]DEPRE'!$E$16</f>
        <v>-500</v>
      </c>
      <c r="O44" s="14"/>
      <c r="P44" s="10"/>
      <c r="R44" s="9"/>
    </row>
    <row r="45" spans="2:18" ht="12.75">
      <c r="B45" s="9" t="s">
        <v>187</v>
      </c>
      <c r="C45" s="14"/>
      <c r="D45" s="14"/>
      <c r="E45" s="171">
        <f>+-'[1]DEPRE'!$E$24</f>
        <v>-45</v>
      </c>
      <c r="F45" s="171">
        <f>+-'[1]DEPRE'!$E$24</f>
        <v>-45</v>
      </c>
      <c r="G45" s="171">
        <f>+-'[1]DEPRE'!$E$24</f>
        <v>-45</v>
      </c>
      <c r="H45" s="171">
        <f>+-'[1]DEPRE'!$E$24</f>
        <v>-45</v>
      </c>
      <c r="I45" s="171">
        <f>+-'[1]DEPRE'!$E$24</f>
        <v>-45</v>
      </c>
      <c r="J45" s="171">
        <f>+-'[1]DEPRE'!$E$24</f>
        <v>-45</v>
      </c>
      <c r="K45" s="171">
        <f>+-'[1]DEPRE'!$E$24</f>
        <v>-45</v>
      </c>
      <c r="L45" s="171">
        <f>+-'[1]DEPRE'!$E$24</f>
        <v>-45</v>
      </c>
      <c r="M45" s="171">
        <f>+-'[1]DEPRE'!$E$24</f>
        <v>-45</v>
      </c>
      <c r="N45" s="171">
        <f>+-'[1]DEPRE'!$E$24</f>
        <v>-45</v>
      </c>
      <c r="O45" s="14"/>
      <c r="P45" s="10"/>
      <c r="R45" s="9"/>
    </row>
    <row r="46" spans="2:18" ht="12.75">
      <c r="B46" s="9" t="s">
        <v>36</v>
      </c>
      <c r="C46" s="14"/>
      <c r="D46" s="14"/>
      <c r="E46" s="171">
        <f>E20+E28+E29+E31+E33+E36+E40+E45</f>
        <v>-36607.816666666666</v>
      </c>
      <c r="F46" s="171">
        <f aca="true" t="shared" si="16" ref="F46:N46">F20+F28+F29+F31+F33+F36+F40+F45</f>
        <v>-29302.531585066667</v>
      </c>
      <c r="G46" s="171">
        <f t="shared" si="16"/>
        <v>-34319.69222107814</v>
      </c>
      <c r="H46" s="171">
        <f t="shared" si="16"/>
        <v>-35980.981780231115</v>
      </c>
      <c r="I46" s="171">
        <f t="shared" si="16"/>
        <v>-37719.058992654005</v>
      </c>
      <c r="J46" s="171">
        <f t="shared" si="16"/>
        <v>-39570.92614862548</v>
      </c>
      <c r="K46" s="171">
        <f t="shared" si="16"/>
        <v>-41495.659882154236</v>
      </c>
      <c r="L46" s="171">
        <f t="shared" si="16"/>
        <v>-43510.11232842498</v>
      </c>
      <c r="M46" s="171">
        <f t="shared" si="16"/>
        <v>-45626.13185547473</v>
      </c>
      <c r="N46" s="171">
        <f t="shared" si="16"/>
        <v>-47848.83939426271</v>
      </c>
      <c r="O46" s="14"/>
      <c r="P46" s="10"/>
      <c r="R46" s="9"/>
    </row>
    <row r="47" spans="2:18" ht="12.75">
      <c r="B47" s="185" t="s">
        <v>37</v>
      </c>
      <c r="C47" s="10"/>
      <c r="D47" s="10"/>
      <c r="E47" s="171">
        <f>+-'[1]PREST'!D15</f>
        <v>-872.5317119983425</v>
      </c>
      <c r="F47" s="171">
        <f>+'[1]PREST'!D16</f>
        <v>872.5317119983425</v>
      </c>
      <c r="G47" s="171">
        <f>+-'[1]PREST'!D17</f>
        <v>-872.5317119983425</v>
      </c>
      <c r="H47" s="171">
        <f>+-'[1]PREST'!D18</f>
        <v>-803.2815645365289</v>
      </c>
      <c r="I47" s="171">
        <f>+-'[1]PREST'!D19</f>
        <v>-725.2643484060495</v>
      </c>
      <c r="J47" s="171">
        <f>+-'[1]PREST'!D20</f>
        <v>-637.3701527134516</v>
      </c>
      <c r="K47" s="171">
        <f>+-'[1]PREST'!D21</f>
        <v>-538.3485518461707</v>
      </c>
      <c r="L47" s="171">
        <f>+-'[1]PREST'!D22</f>
        <v>-426.7908163090922</v>
      </c>
      <c r="M47" s="171">
        <f>+-'[1]PREST'!D23</f>
        <v>-301.1098714530194</v>
      </c>
      <c r="N47" s="171">
        <f>+-'[1]PREST'!D24</f>
        <v>-159.51771897816786</v>
      </c>
      <c r="O47" s="14"/>
      <c r="P47" s="10"/>
      <c r="R47" s="9"/>
    </row>
    <row r="48" spans="2:18" ht="12.75">
      <c r="B48" s="9" t="s">
        <v>38</v>
      </c>
      <c r="C48" s="10"/>
      <c r="D48" s="10"/>
      <c r="E48" s="171">
        <f aca="true" t="shared" si="17" ref="E48:N48">+E18+E46+E47</f>
        <v>-2689.5744449938916</v>
      </c>
      <c r="F48" s="171">
        <f t="shared" si="17"/>
        <v>9031.189856509269</v>
      </c>
      <c r="G48" s="171">
        <f t="shared" si="17"/>
        <v>4279.335193069894</v>
      </c>
      <c r="H48" s="171">
        <f t="shared" si="17"/>
        <v>4805.552437797957</v>
      </c>
      <c r="I48" s="171">
        <f t="shared" si="17"/>
        <v>5377.426169765891</v>
      </c>
      <c r="J48" s="171">
        <f t="shared" si="17"/>
        <v>5965.16453410387</v>
      </c>
      <c r="K48" s="171">
        <f t="shared" si="17"/>
        <v>6617.369233964975</v>
      </c>
      <c r="L48" s="171">
        <f t="shared" si="17"/>
        <v>7325.369731595869</v>
      </c>
      <c r="M48" s="171">
        <f t="shared" si="17"/>
        <v>8086.041070151321</v>
      </c>
      <c r="N48" s="171">
        <f t="shared" si="17"/>
        <v>6004.925683838192</v>
      </c>
      <c r="O48" s="14"/>
      <c r="P48" s="10"/>
      <c r="R48" s="9"/>
    </row>
    <row r="49" spans="2:17" ht="12.75">
      <c r="B49" s="185" t="s">
        <v>39</v>
      </c>
      <c r="C49" s="10"/>
      <c r="D49" s="10"/>
      <c r="E49" s="171">
        <f aca="true" t="shared" si="18" ref="E49:N49">+E48*0.15</f>
        <v>-403.4361667490837</v>
      </c>
      <c r="F49" s="171">
        <f t="shared" si="18"/>
        <v>1354.6784784763902</v>
      </c>
      <c r="G49" s="171">
        <f t="shared" si="18"/>
        <v>641.900278960484</v>
      </c>
      <c r="H49" s="171">
        <f t="shared" si="18"/>
        <v>720.8328656696935</v>
      </c>
      <c r="I49" s="171">
        <f t="shared" si="18"/>
        <v>806.6139254648837</v>
      </c>
      <c r="J49" s="171">
        <f t="shared" si="18"/>
        <v>894.7746801155805</v>
      </c>
      <c r="K49" s="171">
        <f t="shared" si="18"/>
        <v>992.6053850947462</v>
      </c>
      <c r="L49" s="171">
        <f t="shared" si="18"/>
        <v>1098.8054597393802</v>
      </c>
      <c r="M49" s="171">
        <f t="shared" si="18"/>
        <v>1212.9061605226982</v>
      </c>
      <c r="N49" s="171">
        <f t="shared" si="18"/>
        <v>900.7388525757287</v>
      </c>
      <c r="O49" s="14"/>
      <c r="P49" s="10"/>
      <c r="Q49" s="9"/>
    </row>
    <row r="50" spans="2:16" ht="12.75">
      <c r="B50" s="9" t="s">
        <v>40</v>
      </c>
      <c r="C50" s="10"/>
      <c r="D50" s="173"/>
      <c r="E50" s="171">
        <f aca="true" t="shared" si="19" ref="E50:N50">+E48-E49</f>
        <v>-2286.1382782448077</v>
      </c>
      <c r="F50" s="171">
        <f t="shared" si="19"/>
        <v>7676.511378032878</v>
      </c>
      <c r="G50" s="171">
        <f t="shared" si="19"/>
        <v>3637.43491410941</v>
      </c>
      <c r="H50" s="171">
        <f t="shared" si="19"/>
        <v>4084.7195721282637</v>
      </c>
      <c r="I50" s="171">
        <f t="shared" si="19"/>
        <v>4570.812244301008</v>
      </c>
      <c r="J50" s="171">
        <f t="shared" si="19"/>
        <v>5070.389853988289</v>
      </c>
      <c r="K50" s="171">
        <f t="shared" si="19"/>
        <v>5624.763848870229</v>
      </c>
      <c r="L50" s="171">
        <f t="shared" si="19"/>
        <v>6226.564271856489</v>
      </c>
      <c r="M50" s="171">
        <f t="shared" si="19"/>
        <v>6873.134909628623</v>
      </c>
      <c r="N50" s="171">
        <f t="shared" si="19"/>
        <v>5104.186831262463</v>
      </c>
      <c r="O50" s="14"/>
      <c r="P50" s="10"/>
    </row>
    <row r="51" spans="2:14" ht="12.75">
      <c r="B51" s="185" t="s">
        <v>41</v>
      </c>
      <c r="C51" s="10"/>
      <c r="D51" s="10">
        <f>+E50*-0.25*'[1]BALANC'!B39</f>
        <v>285.76728478060096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</row>
    <row r="52" spans="2:17" ht="12.75">
      <c r="B52" s="185" t="s">
        <v>42</v>
      </c>
      <c r="C52" s="10"/>
      <c r="D52" s="10">
        <f>+E50*(1-'[1]BALANC'!B39)*-0.15</f>
        <v>171.46037086836057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4"/>
      <c r="P52" s="10"/>
      <c r="Q52" s="9"/>
    </row>
    <row r="53" spans="2:16" ht="12.75">
      <c r="B53" s="185" t="s">
        <v>43</v>
      </c>
      <c r="C53" s="10"/>
      <c r="D53" s="10"/>
      <c r="E53" s="171">
        <f aca="true" t="shared" si="20" ref="E53:N53">+$D$51+$D$52</f>
        <v>457.22765564896156</v>
      </c>
      <c r="F53" s="171">
        <f t="shared" si="20"/>
        <v>457.22765564896156</v>
      </c>
      <c r="G53" s="171">
        <f t="shared" si="20"/>
        <v>457.22765564896156</v>
      </c>
      <c r="H53" s="171">
        <f t="shared" si="20"/>
        <v>457.22765564896156</v>
      </c>
      <c r="I53" s="171">
        <f t="shared" si="20"/>
        <v>457.22765564896156</v>
      </c>
      <c r="J53" s="171">
        <f t="shared" si="20"/>
        <v>457.22765564896156</v>
      </c>
      <c r="K53" s="171">
        <f t="shared" si="20"/>
        <v>457.22765564896156</v>
      </c>
      <c r="L53" s="171">
        <f t="shared" si="20"/>
        <v>457.22765564896156</v>
      </c>
      <c r="M53" s="171">
        <f t="shared" si="20"/>
        <v>457.22765564896156</v>
      </c>
      <c r="N53" s="171">
        <f t="shared" si="20"/>
        <v>457.22765564896156</v>
      </c>
      <c r="O53" s="14"/>
      <c r="P53" s="10"/>
    </row>
    <row r="54" spans="2:16" ht="12.75">
      <c r="B54" s="9" t="s">
        <v>44</v>
      </c>
      <c r="C54" s="10"/>
      <c r="D54" s="10"/>
      <c r="E54" s="171">
        <f aca="true" t="shared" si="21" ref="E54:N54">+E50+E53</f>
        <v>-1828.9106225958462</v>
      </c>
      <c r="F54" s="171">
        <f t="shared" si="21"/>
        <v>8133.73903368184</v>
      </c>
      <c r="G54" s="171">
        <f t="shared" si="21"/>
        <v>4094.6625697583713</v>
      </c>
      <c r="H54" s="171">
        <f t="shared" si="21"/>
        <v>4541.947227777226</v>
      </c>
      <c r="I54" s="171">
        <f t="shared" si="21"/>
        <v>5028.039899949969</v>
      </c>
      <c r="J54" s="171">
        <f t="shared" si="21"/>
        <v>5527.617509637251</v>
      </c>
      <c r="K54" s="171">
        <f t="shared" si="21"/>
        <v>6081.99150451919</v>
      </c>
      <c r="L54" s="171">
        <f t="shared" si="21"/>
        <v>6683.79192750545</v>
      </c>
      <c r="M54" s="171">
        <f t="shared" si="21"/>
        <v>7330.3625652775845</v>
      </c>
      <c r="N54" s="171">
        <f t="shared" si="21"/>
        <v>5561.414486911424</v>
      </c>
      <c r="O54" s="14"/>
      <c r="P54" s="10"/>
    </row>
    <row r="55" spans="2:16" ht="12.75">
      <c r="B55" s="9" t="s">
        <v>45</v>
      </c>
      <c r="C55" s="10"/>
      <c r="D55" s="10"/>
      <c r="E55" s="171">
        <f>+SUM(E56:E59)</f>
        <v>1456.8166666666666</v>
      </c>
      <c r="F55" s="171">
        <f>+SUM(F56:F59)</f>
        <v>1456.8166666666666</v>
      </c>
      <c r="G55" s="171">
        <f aca="true" t="shared" si="22" ref="G55:N55">+SUM(G56:G59)</f>
        <v>1456.8166666666666</v>
      </c>
      <c r="H55" s="171">
        <f t="shared" si="22"/>
        <v>1463.4551946666666</v>
      </c>
      <c r="I55" s="171">
        <f t="shared" si="22"/>
        <v>1463.4551946666666</v>
      </c>
      <c r="J55" s="171">
        <f t="shared" si="22"/>
        <v>1489.6126756266665</v>
      </c>
      <c r="K55" s="171">
        <f t="shared" si="22"/>
        <v>1496.585912897604</v>
      </c>
      <c r="L55" s="171">
        <f t="shared" si="22"/>
        <v>1496.585912897604</v>
      </c>
      <c r="M55" s="171">
        <f t="shared" si="22"/>
        <v>1496.585912897604</v>
      </c>
      <c r="N55" s="171">
        <f t="shared" si="22"/>
        <v>1496.585912897604</v>
      </c>
      <c r="O55" s="14"/>
      <c r="P55" s="10"/>
    </row>
    <row r="56" spans="2:16" ht="12.75" hidden="1">
      <c r="B56" s="185" t="s">
        <v>46</v>
      </c>
      <c r="C56" s="10"/>
      <c r="D56" s="10"/>
      <c r="E56" s="171">
        <f aca="true" t="shared" si="23" ref="E56:N56">-E42</f>
        <v>518.8</v>
      </c>
      <c r="F56" s="171">
        <f t="shared" si="23"/>
        <v>518.8</v>
      </c>
      <c r="G56" s="171">
        <f t="shared" si="23"/>
        <v>518.8</v>
      </c>
      <c r="H56" s="171">
        <f t="shared" si="23"/>
        <v>518.8</v>
      </c>
      <c r="I56" s="171">
        <f t="shared" si="23"/>
        <v>518.8</v>
      </c>
      <c r="J56" s="171">
        <f t="shared" si="23"/>
        <v>544.9574809599999</v>
      </c>
      <c r="K56" s="171">
        <f t="shared" si="23"/>
        <v>544.9574809599999</v>
      </c>
      <c r="L56" s="171">
        <f t="shared" si="23"/>
        <v>544.9574809599999</v>
      </c>
      <c r="M56" s="171">
        <f t="shared" si="23"/>
        <v>544.9574809599999</v>
      </c>
      <c r="N56" s="171">
        <f t="shared" si="23"/>
        <v>544.9574809599999</v>
      </c>
      <c r="O56" s="14"/>
      <c r="P56" s="10"/>
    </row>
    <row r="57" spans="2:16" ht="12.75" hidden="1">
      <c r="B57" s="185" t="s">
        <v>47</v>
      </c>
      <c r="C57" s="10"/>
      <c r="D57" s="10"/>
      <c r="E57" s="171">
        <f aca="true" t="shared" si="24" ref="E57:N57">-E41</f>
        <v>306.35</v>
      </c>
      <c r="F57" s="171">
        <f t="shared" si="24"/>
        <v>306.35</v>
      </c>
      <c r="G57" s="171">
        <f t="shared" si="24"/>
        <v>306.35</v>
      </c>
      <c r="H57" s="171">
        <f t="shared" si="24"/>
        <v>306.35</v>
      </c>
      <c r="I57" s="171">
        <f t="shared" si="24"/>
        <v>306.35</v>
      </c>
      <c r="J57" s="171">
        <f t="shared" si="24"/>
        <v>306.35</v>
      </c>
      <c r="K57" s="171">
        <f t="shared" si="24"/>
        <v>306.35</v>
      </c>
      <c r="L57" s="171">
        <f t="shared" si="24"/>
        <v>306.35</v>
      </c>
      <c r="M57" s="171">
        <f t="shared" si="24"/>
        <v>306.35</v>
      </c>
      <c r="N57" s="171">
        <f t="shared" si="24"/>
        <v>306.35</v>
      </c>
      <c r="O57" s="14"/>
      <c r="P57" s="10"/>
    </row>
    <row r="58" spans="2:16" ht="12.75" hidden="1">
      <c r="B58" s="185" t="s">
        <v>48</v>
      </c>
      <c r="C58" s="10"/>
      <c r="D58" s="10"/>
      <c r="E58" s="171">
        <f aca="true" t="shared" si="25" ref="E58:N58">+-E43</f>
        <v>131.66666666666666</v>
      </c>
      <c r="F58" s="171">
        <f t="shared" si="25"/>
        <v>131.66666666666666</v>
      </c>
      <c r="G58" s="171">
        <f t="shared" si="25"/>
        <v>131.66666666666666</v>
      </c>
      <c r="H58" s="171">
        <f t="shared" si="25"/>
        <v>138.30519466666664</v>
      </c>
      <c r="I58" s="171">
        <f t="shared" si="25"/>
        <v>138.30519466666664</v>
      </c>
      <c r="J58" s="171">
        <f t="shared" si="25"/>
        <v>138.30519466666664</v>
      </c>
      <c r="K58" s="171">
        <f t="shared" si="25"/>
        <v>145.2784319376042</v>
      </c>
      <c r="L58" s="171">
        <f t="shared" si="25"/>
        <v>145.2784319376042</v>
      </c>
      <c r="M58" s="171">
        <f t="shared" si="25"/>
        <v>145.2784319376042</v>
      </c>
      <c r="N58" s="171">
        <f t="shared" si="25"/>
        <v>145.2784319376042</v>
      </c>
      <c r="O58" s="14"/>
      <c r="P58" s="10"/>
    </row>
    <row r="59" spans="2:16" ht="12.75" hidden="1">
      <c r="B59" s="185" t="s">
        <v>49</v>
      </c>
      <c r="C59" s="10"/>
      <c r="D59" s="10"/>
      <c r="E59" s="171">
        <f aca="true" t="shared" si="26" ref="E59:N59">+E44*-1</f>
        <v>500</v>
      </c>
      <c r="F59" s="171">
        <f t="shared" si="26"/>
        <v>500</v>
      </c>
      <c r="G59" s="171">
        <f t="shared" si="26"/>
        <v>500</v>
      </c>
      <c r="H59" s="171">
        <f t="shared" si="26"/>
        <v>500</v>
      </c>
      <c r="I59" s="171">
        <f t="shared" si="26"/>
        <v>500</v>
      </c>
      <c r="J59" s="171">
        <f t="shared" si="26"/>
        <v>500</v>
      </c>
      <c r="K59" s="171">
        <f t="shared" si="26"/>
        <v>500</v>
      </c>
      <c r="L59" s="171">
        <f t="shared" si="26"/>
        <v>500</v>
      </c>
      <c r="M59" s="171">
        <f t="shared" si="26"/>
        <v>500</v>
      </c>
      <c r="N59" s="171">
        <f t="shared" si="26"/>
        <v>500</v>
      </c>
      <c r="O59" s="14"/>
      <c r="P59" s="10"/>
    </row>
    <row r="60" spans="2:16" ht="12.75">
      <c r="B60" s="9" t="s">
        <v>50</v>
      </c>
      <c r="C60" s="10"/>
      <c r="D60" s="10"/>
      <c r="E60" s="171">
        <f aca="true" t="shared" si="27" ref="E60:N60">+E45*-1</f>
        <v>45</v>
      </c>
      <c r="F60" s="171">
        <f t="shared" si="27"/>
        <v>45</v>
      </c>
      <c r="G60" s="171">
        <f t="shared" si="27"/>
        <v>45</v>
      </c>
      <c r="H60" s="171">
        <f t="shared" si="27"/>
        <v>45</v>
      </c>
      <c r="I60" s="171">
        <f t="shared" si="27"/>
        <v>45</v>
      </c>
      <c r="J60" s="171">
        <f t="shared" si="27"/>
        <v>45</v>
      </c>
      <c r="K60" s="171">
        <f t="shared" si="27"/>
        <v>45</v>
      </c>
      <c r="L60" s="171">
        <f t="shared" si="27"/>
        <v>45</v>
      </c>
      <c r="M60" s="171">
        <f t="shared" si="27"/>
        <v>45</v>
      </c>
      <c r="N60" s="171">
        <f t="shared" si="27"/>
        <v>45</v>
      </c>
      <c r="O60" s="14"/>
      <c r="P60" s="10"/>
    </row>
    <row r="61" spans="2:16" ht="12.75">
      <c r="B61" s="174" t="s">
        <v>51</v>
      </c>
      <c r="C61" s="10"/>
      <c r="D61" s="10"/>
      <c r="E61" s="171">
        <f>+-'[1]PREST'!E15</f>
        <v>0</v>
      </c>
      <c r="F61" s="171">
        <f>+-'[1]PREST'!E16</f>
        <v>0</v>
      </c>
      <c r="G61" s="171">
        <f>+-'[1]PREST'!E17</f>
        <v>-546.9995850064271</v>
      </c>
      <c r="H61" s="171">
        <f>+-'[1]PREST'!E18</f>
        <v>-616.2497324682407</v>
      </c>
      <c r="I61" s="171">
        <f>+-'[1]PREST'!E19</f>
        <v>-694.2669485987201</v>
      </c>
      <c r="J61" s="171">
        <f>+-'[1]PREST'!E20</f>
        <v>-782.161144291318</v>
      </c>
      <c r="K61" s="171">
        <f>+-'[1]PREST'!E21</f>
        <v>-881.1827451585989</v>
      </c>
      <c r="L61" s="171">
        <f>+-'[1]PREST'!E22</f>
        <v>-992.7404806956774</v>
      </c>
      <c r="M61" s="171">
        <f>+-'[1]PREST'!E23</f>
        <v>-1118.4214255517502</v>
      </c>
      <c r="N61" s="171">
        <f>+-'[1]PREST'!E24</f>
        <v>-1260.0135780266019</v>
      </c>
      <c r="O61" s="14"/>
      <c r="P61" s="10"/>
    </row>
    <row r="62" spans="2:16" ht="12.75">
      <c r="B62" s="185" t="s">
        <v>52</v>
      </c>
      <c r="C62" s="10"/>
      <c r="D62" s="10"/>
      <c r="E62" s="171">
        <f>+SUM(E63:E64)</f>
        <v>0</v>
      </c>
      <c r="F62" s="171">
        <f>+SUM(F63:F64)</f>
        <v>0</v>
      </c>
      <c r="G62" s="171">
        <f>+G65</f>
        <v>-5000</v>
      </c>
      <c r="H62" s="171">
        <f aca="true" t="shared" si="28" ref="H62:M62">+SUM(H63:H64)</f>
        <v>-414.91558399999997</v>
      </c>
      <c r="I62" s="171">
        <f t="shared" si="28"/>
        <v>0</v>
      </c>
      <c r="J62" s="171">
        <f t="shared" si="28"/>
        <v>-2594</v>
      </c>
      <c r="K62" s="171">
        <f t="shared" si="28"/>
        <v>-435.8352958128127</v>
      </c>
      <c r="L62" s="171">
        <f t="shared" si="28"/>
        <v>0</v>
      </c>
      <c r="M62" s="171">
        <f t="shared" si="28"/>
        <v>0</v>
      </c>
      <c r="N62" s="171">
        <f>+SUM(N63:N65)</f>
        <v>0</v>
      </c>
      <c r="O62" s="14"/>
      <c r="P62" s="10"/>
    </row>
    <row r="63" spans="2:16" ht="12.75">
      <c r="B63" s="189" t="s">
        <v>53</v>
      </c>
      <c r="C63" s="10"/>
      <c r="D63" s="10"/>
      <c r="E63" s="171"/>
      <c r="F63" s="171"/>
      <c r="H63" s="171">
        <f>+(-'[1]UtcJardDema'!E19*(1+$C$13))</f>
        <v>-414.91558399999997</v>
      </c>
      <c r="I63" s="171"/>
      <c r="J63" s="171"/>
      <c r="K63" s="171">
        <f>+(H63*(1+$C$13))</f>
        <v>-435.8352958128127</v>
      </c>
      <c r="L63" s="171"/>
      <c r="M63" s="171"/>
      <c r="O63" s="14"/>
      <c r="P63" s="10"/>
    </row>
    <row r="64" spans="2:16" ht="12.75">
      <c r="B64" s="189" t="s">
        <v>54</v>
      </c>
      <c r="C64" s="10"/>
      <c r="D64" s="10"/>
      <c r="E64" s="171"/>
      <c r="F64" s="171"/>
      <c r="G64" s="171"/>
      <c r="H64" s="171"/>
      <c r="J64" s="171">
        <f>+'[1]INV INIC'!E13*-1</f>
        <v>-2594</v>
      </c>
      <c r="K64" s="171"/>
      <c r="L64" s="171"/>
      <c r="M64" s="171"/>
      <c r="O64" s="14"/>
      <c r="P64" s="10"/>
    </row>
    <row r="65" spans="2:16" ht="12.75">
      <c r="B65" s="189" t="s">
        <v>132</v>
      </c>
      <c r="C65" s="10"/>
      <c r="D65" s="10"/>
      <c r="E65" s="171"/>
      <c r="F65" s="171"/>
      <c r="G65" s="171">
        <f>5000*-1</f>
        <v>-5000</v>
      </c>
      <c r="H65" s="171"/>
      <c r="J65" s="171"/>
      <c r="K65" s="171"/>
      <c r="L65" s="171"/>
      <c r="M65" s="171"/>
      <c r="O65" s="14"/>
      <c r="P65" s="10"/>
    </row>
    <row r="66" spans="2:16" ht="12.75">
      <c r="B66" s="185" t="s">
        <v>55</v>
      </c>
      <c r="C66" s="10"/>
      <c r="D66" s="10"/>
      <c r="E66" s="171">
        <f>+E54+E55+E60+E61+E62</f>
        <v>-327.09395592917963</v>
      </c>
      <c r="F66" s="171">
        <f aca="true" t="shared" si="29" ref="F66:M66">+F54+F55+F60+F61+F62</f>
        <v>9635.555700348506</v>
      </c>
      <c r="G66" s="171">
        <f t="shared" si="29"/>
        <v>49.479651418610956</v>
      </c>
      <c r="H66" s="171">
        <f t="shared" si="29"/>
        <v>5019.2371059756515</v>
      </c>
      <c r="I66" s="171">
        <f t="shared" si="29"/>
        <v>5842.228146017916</v>
      </c>
      <c r="J66" s="171">
        <f t="shared" si="29"/>
        <v>3686.0690409725994</v>
      </c>
      <c r="K66" s="171">
        <f t="shared" si="29"/>
        <v>6306.559376445383</v>
      </c>
      <c r="L66" s="171">
        <f t="shared" si="29"/>
        <v>7232.637359707377</v>
      </c>
      <c r="M66" s="171">
        <f t="shared" si="29"/>
        <v>7753.527052623439</v>
      </c>
      <c r="N66" s="171">
        <f>+N54+N55+N60+N61+N62</f>
        <v>5842.986821782427</v>
      </c>
      <c r="O66" s="14"/>
      <c r="P66" s="10"/>
    </row>
    <row r="67" spans="2:16" ht="12.75">
      <c r="B67" s="185" t="s">
        <v>56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v>15097</v>
      </c>
      <c r="O67" s="14"/>
      <c r="P67" s="10"/>
    </row>
    <row r="68" spans="2:16" ht="12.75">
      <c r="B68" s="185" t="s">
        <v>57</v>
      </c>
      <c r="C68" s="10"/>
      <c r="D68" s="10">
        <f>+-'[1]INV INIC'!E48</f>
        <v>-11612.53</v>
      </c>
      <c r="E68" s="10"/>
      <c r="F68" s="10"/>
      <c r="G68" s="10"/>
      <c r="H68" s="10"/>
      <c r="I68" s="10"/>
      <c r="J68" s="10"/>
      <c r="K68" s="10"/>
      <c r="L68" s="10"/>
      <c r="M68" s="10"/>
      <c r="N68" s="171"/>
      <c r="O68" s="14"/>
      <c r="P68" s="10"/>
    </row>
    <row r="69" spans="2:16" ht="12.75">
      <c r="B69" s="185" t="s">
        <v>58</v>
      </c>
      <c r="C69" s="10"/>
      <c r="D69" s="10">
        <f>+'[1]K JOB'!N36</f>
        <v>-315.22606632889165</v>
      </c>
      <c r="E69" s="10"/>
      <c r="F69" s="10"/>
      <c r="G69" s="10"/>
      <c r="H69" s="10"/>
      <c r="I69" s="10"/>
      <c r="J69" s="10"/>
      <c r="K69" s="10"/>
      <c r="L69" s="10"/>
      <c r="M69" s="10"/>
      <c r="O69" s="14"/>
      <c r="P69" s="10"/>
    </row>
    <row r="70" spans="2:16" ht="13.5" thickBot="1">
      <c r="B70" s="9" t="s">
        <v>59</v>
      </c>
      <c r="C70" s="15"/>
      <c r="D70" s="175">
        <f>SUM(D68:D69)+D30</f>
        <v>-13548.576266328893</v>
      </c>
      <c r="E70" s="175">
        <f aca="true" t="shared" si="30" ref="E70:M70">SUM(E66:E69)</f>
        <v>-327.09395592917963</v>
      </c>
      <c r="F70" s="175">
        <f t="shared" si="30"/>
        <v>9635.555700348506</v>
      </c>
      <c r="G70" s="175">
        <f t="shared" si="30"/>
        <v>49.479651418610956</v>
      </c>
      <c r="H70" s="175">
        <f t="shared" si="30"/>
        <v>5019.2371059756515</v>
      </c>
      <c r="I70" s="175">
        <f t="shared" si="30"/>
        <v>5842.228146017916</v>
      </c>
      <c r="J70" s="175">
        <f t="shared" si="30"/>
        <v>3686.0690409725994</v>
      </c>
      <c r="K70" s="175">
        <f t="shared" si="30"/>
        <v>6306.559376445383</v>
      </c>
      <c r="L70" s="175">
        <f t="shared" si="30"/>
        <v>7232.637359707377</v>
      </c>
      <c r="M70" s="175">
        <f t="shared" si="30"/>
        <v>7753.527052623439</v>
      </c>
      <c r="N70" s="175">
        <f>SUM(N66:N68)</f>
        <v>20939.986821782426</v>
      </c>
      <c r="O70" s="14"/>
      <c r="P70" s="10"/>
    </row>
    <row r="71" spans="2:16" ht="13.5" thickTop="1">
      <c r="B71" s="176" t="s">
        <v>60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4"/>
      <c r="P71" s="10"/>
    </row>
    <row r="72" spans="3:16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4"/>
      <c r="P72" s="10"/>
    </row>
    <row r="73" spans="2:16" ht="12.75">
      <c r="B73" s="18" t="s">
        <v>61</v>
      </c>
      <c r="C73" s="179">
        <v>0.3031552144073517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4"/>
      <c r="P73" s="10"/>
    </row>
    <row r="74" spans="2:16" ht="12.75">
      <c r="B74" s="18" t="s">
        <v>62</v>
      </c>
      <c r="C74" s="179">
        <v>0.25735305172004486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0"/>
    </row>
    <row r="75" spans="2:16" ht="12.75">
      <c r="B75" s="18" t="s">
        <v>186</v>
      </c>
      <c r="C75" s="177">
        <v>2645.820762554733</v>
      </c>
      <c r="D75" s="14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3:16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3:16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</sheetData>
  <mergeCells count="4">
    <mergeCell ref="B10:C10"/>
    <mergeCell ref="D13:F13"/>
    <mergeCell ref="B7:N7"/>
    <mergeCell ref="F8:I8"/>
  </mergeCells>
  <printOptions/>
  <pageMargins left="0.9448818897637796" right="0.4724409448818898" top="0.3937007874015748" bottom="0.9448818897637796" header="0.11811023622047245" footer="0.6299212598425197"/>
  <pageSetup horizontalDpi="300" verticalDpi="300" orientation="landscape" paperSize="9" scale="65" r:id="rId2"/>
  <headerFooter alignWithMargins="0">
    <oddFooter>&amp;R215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5"/>
  <sheetViews>
    <sheetView showGridLines="0" zoomScale="75" zoomScaleNormal="75" workbookViewId="0" topLeftCell="A1">
      <selection activeCell="L45" sqref="L45"/>
    </sheetView>
  </sheetViews>
  <sheetFormatPr defaultColWidth="11.421875" defaultRowHeight="12.75"/>
  <cols>
    <col min="1" max="1" width="35.57421875" style="33" customWidth="1"/>
    <col min="2" max="2" width="10.421875" style="33" customWidth="1"/>
    <col min="3" max="3" width="13.00390625" style="33" customWidth="1"/>
    <col min="4" max="4" width="12.57421875" style="33" customWidth="1"/>
    <col min="5" max="5" width="13.28125" style="33" customWidth="1"/>
    <col min="6" max="8" width="13.00390625" style="33" customWidth="1"/>
    <col min="9" max="10" width="13.140625" style="33" customWidth="1"/>
    <col min="11" max="11" width="13.28125" style="33" customWidth="1"/>
    <col min="12" max="12" width="13.140625" style="33" customWidth="1"/>
    <col min="13" max="13" width="7.57421875" style="33" customWidth="1"/>
    <col min="14" max="14" width="1.421875" style="33" customWidth="1"/>
    <col min="15" max="15" width="5.421875" style="33" customWidth="1"/>
    <col min="16" max="16" width="2.7109375" style="33" customWidth="1"/>
    <col min="17" max="17" width="8.00390625" style="33" customWidth="1"/>
    <col min="18" max="16384" width="11.421875" style="33" customWidth="1"/>
  </cols>
  <sheetData>
    <row r="1" spans="1:13" ht="18.75" customHeight="1">
      <c r="A1" s="199" t="s">
        <v>167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.75" customHeight="1">
      <c r="A2" s="163"/>
      <c r="B2" s="163"/>
      <c r="C2" s="163"/>
      <c r="D2" s="198" t="s">
        <v>169</v>
      </c>
      <c r="E2" s="198"/>
      <c r="F2" s="198"/>
      <c r="G2" s="198"/>
      <c r="H2" s="198"/>
      <c r="I2" s="163"/>
      <c r="J2" s="163"/>
      <c r="K2" s="164"/>
      <c r="L2" s="163"/>
      <c r="M2" s="163"/>
    </row>
    <row r="3" spans="2:9" ht="12.75" customHeight="1">
      <c r="B3" s="32"/>
      <c r="C3" s="32"/>
      <c r="D3" s="32"/>
      <c r="E3" s="32"/>
      <c r="F3" s="32"/>
      <c r="G3" s="32"/>
      <c r="H3" s="32"/>
      <c r="I3" s="32"/>
    </row>
    <row r="4" spans="1:9" ht="15" customHeight="1" hidden="1">
      <c r="A4" s="25" t="s">
        <v>1</v>
      </c>
      <c r="B4" s="34">
        <f>+'[1]FLUJO CAJ'!B19</f>
        <v>0.0258</v>
      </c>
      <c r="C4" s="32"/>
      <c r="D4" s="32"/>
      <c r="E4" s="32"/>
      <c r="F4" s="32"/>
      <c r="G4" s="32"/>
      <c r="H4" s="32"/>
      <c r="I4" s="32"/>
    </row>
    <row r="5" spans="1:9" ht="15" customHeight="1" hidden="1">
      <c r="A5" s="25" t="s">
        <v>63</v>
      </c>
      <c r="B5" s="34">
        <f>+'[1]FLUJO CAJ'!B20</f>
        <v>0.024</v>
      </c>
      <c r="C5" s="32"/>
      <c r="D5" s="32"/>
      <c r="E5" s="32"/>
      <c r="F5" s="32"/>
      <c r="G5" s="32"/>
      <c r="H5" s="32"/>
      <c r="I5" s="32"/>
    </row>
    <row r="6" spans="1:9" ht="12.75" customHeight="1" hidden="1">
      <c r="A6" s="25" t="s">
        <v>3</v>
      </c>
      <c r="B6" s="34">
        <f>+B4+B5+B5*B4</f>
        <v>0.0504192</v>
      </c>
      <c r="C6" s="35"/>
      <c r="D6" s="35"/>
      <c r="E6" s="35"/>
      <c r="F6" s="35"/>
      <c r="G6" s="35"/>
      <c r="H6" s="35"/>
      <c r="I6" s="35"/>
    </row>
    <row r="7" spans="1:9" ht="12.75" customHeight="1" hidden="1">
      <c r="A7" s="26"/>
      <c r="B7" s="40"/>
      <c r="C7" s="35"/>
      <c r="D7" s="35"/>
      <c r="E7" s="35"/>
      <c r="F7" s="35"/>
      <c r="G7" s="35"/>
      <c r="H7" s="35"/>
      <c r="I7" s="35"/>
    </row>
    <row r="8" spans="1:14" s="42" customFormat="1" ht="15.75">
      <c r="A8" s="27" t="s">
        <v>4</v>
      </c>
      <c r="B8" s="27">
        <v>0</v>
      </c>
      <c r="C8" s="27">
        <v>1</v>
      </c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41"/>
      <c r="N8" s="41"/>
    </row>
    <row r="9" spans="1:14" s="39" customFormat="1" ht="12.75">
      <c r="A9" s="28" t="s">
        <v>5</v>
      </c>
      <c r="B9" s="28"/>
      <c r="C9" s="37">
        <f>SUM(C10:C15)</f>
        <v>87783.19590201399</v>
      </c>
      <c r="D9" s="37">
        <f aca="true" t="shared" si="0" ref="D9:K9">SUM(D10:D15)</f>
        <v>94521.12111744069</v>
      </c>
      <c r="E9" s="37">
        <f t="shared" si="0"/>
        <v>99593.63404603684</v>
      </c>
      <c r="F9" s="37">
        <f t="shared" si="0"/>
        <v>104938.36536462443</v>
      </c>
      <c r="G9" s="37">
        <f t="shared" si="0"/>
        <v>110569.92377955724</v>
      </c>
      <c r="H9" s="37">
        <f t="shared" si="0"/>
        <v>116503.70197912841</v>
      </c>
      <c r="I9" s="37">
        <f t="shared" si="0"/>
        <v>122755.91870626793</v>
      </c>
      <c r="J9" s="37">
        <f t="shared" si="0"/>
        <v>129343.66308908767</v>
      </c>
      <c r="K9" s="37">
        <f t="shared" si="0"/>
        <v>136284.94135044256</v>
      </c>
      <c r="L9" s="37">
        <f>SUM(L10:L15)</f>
        <v>136284.94135044256</v>
      </c>
      <c r="M9" s="43"/>
      <c r="N9" s="43"/>
    </row>
    <row r="10" spans="1:14" ht="12.75">
      <c r="A10" s="25" t="s">
        <v>64</v>
      </c>
      <c r="B10" s="25"/>
      <c r="C10" s="36">
        <f>+('[1]PRECIOS'!$E$8*'[1]DEMAN'!H18)+('[1]PRECIOS'!$E$28*'[1]DEMAN'!H19)+('[1]PRECIOS'!$E$35*'[1]DEMAN'!H20)+('[1]PRECIOS'!$E$46*'[1]DEMAN'!H21)</f>
        <v>126.49299799644095</v>
      </c>
      <c r="D10" s="36">
        <f>+('[1]PRECIOS'!$E$8*'[1]DEMAN'!I18)+('[1]PRECIOS'!$E$28*'[1]DEMAN'!I19)+('[1]PRECIOS'!$E$35*'[1]DEMAN'!I20)+('[1]PRECIOS'!$E$46*'[1]DEMAN'!I21)</f>
        <v>136.20214964007104</v>
      </c>
      <c r="E10" s="36">
        <f>+('[1]PRECIOS'!$E$8*'[1]DEMAN'!J18)+('[1]PRECIOS'!$E$28*'[1]DEMAN'!J19)+('[1]PRECIOS'!$E$35*'[1]DEMAN'!J20)+('[1]PRECIOS'!$E$46*'[1]DEMAN'!J21)</f>
        <v>143.51149126429317</v>
      </c>
      <c r="F10" s="36">
        <f>+('[1]PRECIOS'!$E$8*'[1]DEMAN'!K18)+('[1]PRECIOS'!$E$28*'[1]DEMAN'!K19)+('[1]PRECIOS'!$E$35*'[1]DEMAN'!K20)+('[1]PRECIOS'!$E$46*'[1]DEMAN'!K21)</f>
        <v>151.21309156520115</v>
      </c>
      <c r="G10" s="36">
        <f>+('[1]PRECIOS'!$E$8*'[1]DEMAN'!L18)+('[1]PRECIOS'!$E$28*'[1]DEMAN'!L19)+('[1]PRECIOS'!$E$35*'[1]DEMAN'!L20)+('[1]PRECIOS'!$E$46*'[1]DEMAN'!L21)</f>
        <v>159.3280012580777</v>
      </c>
      <c r="H10" s="36">
        <f>+('[1]PRECIOS'!$E$8*'[1]DEMAN'!M18)+('[1]PRECIOS'!$E$28*'[1]DEMAN'!M19)+('[1]PRECIOS'!$E$35*'[1]DEMAN'!M20)+('[1]PRECIOS'!$E$46*'[1]DEMAN'!M21)</f>
        <v>167.8784007530733</v>
      </c>
      <c r="I10" s="36">
        <f>+('[1]PRECIOS'!$E$8*'[1]DEMAN'!N18)+('[1]PRECIOS'!$E$28*'[1]DEMAN'!N19)+('[1]PRECIOS'!$E$35*'[1]DEMAN'!N20)+('[1]PRECIOS'!$E$46*'[1]DEMAN'!N21)</f>
        <v>176.8876607807232</v>
      </c>
      <c r="J10" s="36">
        <f>+('[1]PRECIOS'!$E$8*'[1]DEMAN'!O18)+('[1]PRECIOS'!$E$28*'[1]DEMAN'!O19)+('[1]PRECIOS'!$E$35*'[1]DEMAN'!O20)+('[1]PRECIOS'!$E$46*'[1]DEMAN'!O21)</f>
        <v>186.38040627095614</v>
      </c>
      <c r="K10" s="36">
        <f>+('[1]PRECIOS'!$E$8*'[1]DEMAN'!P18)+('[1]PRECIOS'!$E$28*'[1]DEMAN'!P19)+('[1]PRECIOS'!$E$35*'[1]DEMAN'!P20)+('[1]PRECIOS'!$E$46*'[1]DEMAN'!P21)</f>
        <v>196.3825836601956</v>
      </c>
      <c r="L10" s="36">
        <f>+('[1]PRECIOS'!$E$8*'[1]DEMAN'!Q18)+('[1]PRECIOS'!$E$28*'[1]DEMAN'!Q19)+('[1]PRECIOS'!$E$35*'[1]DEMAN'!Q20)+('[1]PRECIOS'!$E$46*'[1]DEMAN'!Q21)</f>
        <v>196.3825836601956</v>
      </c>
      <c r="M10" s="38"/>
      <c r="N10" s="38"/>
    </row>
    <row r="11" spans="1:14" ht="12.75">
      <c r="A11" s="25" t="s">
        <v>65</v>
      </c>
      <c r="B11" s="25"/>
      <c r="C11" s="36">
        <f>+('[1]PRECIOS'!$E$61*'[1]DEMAN'!H23)+('[1]PRECIOS'!$E$71*'[1]DEMAN'!H24)+('[1]PRECIOS'!$E$80*'[1]DEMAN'!H25)</f>
        <v>281.06942005006454</v>
      </c>
      <c r="D11" s="36">
        <f>+('[1]PRECIOS'!$E$61*'[1]DEMAN'!I23)+('[1]PRECIOS'!$E$71*'[1]DEMAN'!I24)+('[1]PRECIOS'!$E$80*'[1]DEMAN'!I25)</f>
        <v>302.64330686496965</v>
      </c>
      <c r="E11" s="36">
        <f>+('[1]PRECIOS'!$E$61*'[1]DEMAN'!J23)+('[1]PRECIOS'!$E$71*'[1]DEMAN'!J24)+('[1]PRECIOS'!$E$80*'[1]DEMAN'!J25)</f>
        <v>318.8847782808476</v>
      </c>
      <c r="F11" s="36">
        <f>+('[1]PRECIOS'!$E$61*'[1]DEMAN'!K23)+('[1]PRECIOS'!$E$71*'[1]DEMAN'!K24)+('[1]PRECIOS'!$E$80*'[1]DEMAN'!K25)</f>
        <v>335.99785461171706</v>
      </c>
      <c r="G11" s="36">
        <f>+('[1]PRECIOS'!$E$61*'[1]DEMAN'!L23)+('[1]PRECIOS'!$E$71*'[1]DEMAN'!L24)+('[1]PRECIOS'!$E$80*'[1]DEMAN'!L25)</f>
        <v>354.02931087619453</v>
      </c>
      <c r="H11" s="36">
        <f>+('[1]PRECIOS'!$E$61*'[1]DEMAN'!M23)+('[1]PRECIOS'!$E$71*'[1]DEMAN'!M24)+('[1]PRECIOS'!$E$80*'[1]DEMAN'!M25)</f>
        <v>373.02843229256257</v>
      </c>
      <c r="I11" s="36">
        <f>+('[1]PRECIOS'!$E$61*'[1]DEMAN'!N23)+('[1]PRECIOS'!$E$71*'[1]DEMAN'!N24)+('[1]PRECIOS'!$E$80*'[1]DEMAN'!N25)</f>
        <v>393.0471489896167</v>
      </c>
      <c r="J11" s="36">
        <f>+('[1]PRECIOS'!$E$61*'[1]DEMAN'!O23)+('[1]PRECIOS'!$E$71*'[1]DEMAN'!O24)+('[1]PRECIOS'!$E$80*'[1]DEMAN'!O25)</f>
        <v>414.14017794682195</v>
      </c>
      <c r="K11" s="36">
        <f>+('[1]PRECIOS'!$E$61*'[1]DEMAN'!P23)+('[1]PRECIOS'!$E$71*'[1]DEMAN'!P24)+('[1]PRECIOS'!$E$80*'[1]DEMAN'!P25)</f>
        <v>436.36517255174476</v>
      </c>
      <c r="L11" s="36">
        <f>+('[1]PRECIOS'!$E$61*'[1]DEMAN'!Q23)+('[1]PRECIOS'!$E$71*'[1]DEMAN'!Q24)+('[1]PRECIOS'!$E$80*'[1]DEMAN'!Q25)</f>
        <v>436.36517255174476</v>
      </c>
      <c r="M11" s="38"/>
      <c r="N11" s="38"/>
    </row>
    <row r="12" spans="1:14" ht="12.75">
      <c r="A12" s="25" t="s">
        <v>66</v>
      </c>
      <c r="B12" s="25"/>
      <c r="C12" s="36">
        <f>+('[1]PRECIOS'!$C$83*'[1]DEMAN'!H28)+('[1]PRECIOS'!$C$84*'[1]DEMAN'!H29)+('[1]PRECIOS'!$C$85*'[1]DEMAN'!H30)+('[1]PRECIOS'!$C$86*'[1]DEMAN'!H31)+('[1]PRECIOS'!$C$87*'[1]DEMAN'!H32)+('[1]PRECIOS'!$C$88*'[1]DEMAN'!H33)+('[1]PRECIOS'!$C$89*'[1]DEMAN'!H34)+('[1]PRECIOS'!$C$90*'[1]DEMAN'!H35)</f>
        <v>80613.236736</v>
      </c>
      <c r="D12" s="36">
        <f>+('[1]PRECIOS'!$C$83*'[1]DEMAN'!I28)+('[1]PRECIOS'!$C$84*'[1]DEMAN'!I29)+('[1]PRECIOS'!$C$85*'[1]DEMAN'!I30)+('[1]PRECIOS'!$C$86*'[1]DEMAN'!I31)+('[1]PRECIOS'!$C$87*'[1]DEMAN'!I32)+('[1]PRECIOS'!$C$88*'[1]DEMAN'!I33)+('[1]PRECIOS'!$C$89*'[1]DEMAN'!I34)+('[1]PRECIOS'!$C$90*'[1]DEMAN'!I35)</f>
        <v>86800.82144306574</v>
      </c>
      <c r="E12" s="36">
        <f>+('[1]PRECIOS'!$C$83*'[1]DEMAN'!J28)+('[1]PRECIOS'!$C$84*'[1]DEMAN'!J29)+('[1]PRECIOS'!$C$85*'[1]DEMAN'!J30)+('[1]PRECIOS'!$C$86*'[1]DEMAN'!J31)+('[1]PRECIOS'!$C$87*'[1]DEMAN'!J32)+('[1]PRECIOS'!$C$88*'[1]DEMAN'!J33)+('[1]PRECIOS'!$C$89*'[1]DEMAN'!J34)+('[1]PRECIOS'!$C$90*'[1]DEMAN'!J35)</f>
        <v>91459.02147050358</v>
      </c>
      <c r="F12" s="36">
        <f>+('[1]PRECIOS'!$C$83*'[1]DEMAN'!K28)+('[1]PRECIOS'!$C$84*'[1]DEMAN'!K29)+('[1]PRECIOS'!$C$85*'[1]DEMAN'!K30)+('[1]PRECIOS'!$C$86*'[1]DEMAN'!K31)+('[1]PRECIOS'!$C$87*'[1]DEMAN'!K32)+('[1]PRECIOS'!$C$88*'[1]DEMAN'!K33)+('[1]PRECIOS'!$C$89*'[1]DEMAN'!K34)+('[1]PRECIOS'!$C$90*'[1]DEMAN'!K35)</f>
        <v>96367.20562406923</v>
      </c>
      <c r="G12" s="36">
        <f>+('[1]PRECIOS'!$C$83*'[1]DEMAN'!L28)+('[1]PRECIOS'!$C$84*'[1]DEMAN'!L29)+('[1]PRECIOS'!$C$85*'[1]DEMAN'!L30)+('[1]PRECIOS'!$C$86*'[1]DEMAN'!L31)+('[1]PRECIOS'!$C$87*'[1]DEMAN'!L32)+('[1]PRECIOS'!$C$88*'[1]DEMAN'!L33)+('[1]PRECIOS'!$C$89*'[1]DEMAN'!L34)+('[1]PRECIOS'!$C$90*'[1]DEMAN'!L35)</f>
        <v>101538.78939965121</v>
      </c>
      <c r="H12" s="36">
        <f>+('[1]PRECIOS'!$C$83*'[1]DEMAN'!M28)+('[1]PRECIOS'!$C$84*'[1]DEMAN'!M29)+('[1]PRECIOS'!$C$85*'[1]DEMAN'!M30)+('[1]PRECIOS'!$C$86*'[1]DEMAN'!M31)+('[1]PRECIOS'!$C$87*'[1]DEMAN'!M32)+('[1]PRECIOS'!$C$88*'[1]DEMAN'!M33)+('[1]PRECIOS'!$C$89*'[1]DEMAN'!M34)+('[1]PRECIOS'!$C$90*'[1]DEMAN'!M35)</f>
        <v>106987.90824097118</v>
      </c>
      <c r="I12" s="36">
        <f>+('[1]PRECIOS'!$C$83*'[1]DEMAN'!N28)+('[1]PRECIOS'!$C$84*'[1]DEMAN'!N29)+('[1]PRECIOS'!$C$85*'[1]DEMAN'!N30)+('[1]PRECIOS'!$C$86*'[1]DEMAN'!N31)+('[1]PRECIOS'!$C$87*'[1]DEMAN'!N32)+('[1]PRECIOS'!$C$88*'[1]DEMAN'!N33)+('[1]PRECIOS'!$C$89*'[1]DEMAN'!N34)+('[1]PRECIOS'!$C$90*'[1]DEMAN'!N35)</f>
        <v>112729.45617586604</v>
      </c>
      <c r="J12" s="36">
        <f>+('[1]PRECIOS'!$C$83*'[1]DEMAN'!O28)+('[1]PRECIOS'!$C$84*'[1]DEMAN'!O29)+('[1]PRECIOS'!$C$85*'[1]DEMAN'!O30)+('[1]PRECIOS'!$C$86*'[1]DEMAN'!O31)+('[1]PRECIOS'!$C$87*'[1]DEMAN'!O32)+('[1]PRECIOS'!$C$88*'[1]DEMAN'!O33)+('[1]PRECIOS'!$C$89*'[1]DEMAN'!O34)+('[1]PRECIOS'!$C$90*'[1]DEMAN'!O35)</f>
        <v>118779.12652600097</v>
      </c>
      <c r="K12" s="36">
        <f>+('[1]PRECIOS'!$C$83*'[1]DEMAN'!P28)+('[1]PRECIOS'!$C$84*'[1]DEMAN'!P29)+('[1]PRECIOS'!$C$85*'[1]DEMAN'!P30)+('[1]PRECIOS'!$C$86*'[1]DEMAN'!P31)+('[1]PRECIOS'!$C$87*'[1]DEMAN'!P32)+('[1]PRECIOS'!$C$88*'[1]DEMAN'!P33)+('[1]PRECIOS'!$C$89*'[1]DEMAN'!P34)+('[1]PRECIOS'!$C$90*'[1]DEMAN'!P35)</f>
        <v>125153.45480128555</v>
      </c>
      <c r="L12" s="36">
        <f>+('[1]PRECIOS'!$C$83*'[1]DEMAN'!Q28)+('[1]PRECIOS'!$C$84*'[1]DEMAN'!Q29)+('[1]PRECIOS'!$C$85*'[1]DEMAN'!Q30)+('[1]PRECIOS'!$C$86*'[1]DEMAN'!Q31)+('[1]PRECIOS'!$C$87*'[1]DEMAN'!Q32)+('[1]PRECIOS'!$C$88*'[1]DEMAN'!Q33)+('[1]PRECIOS'!$C$89*'[1]DEMAN'!Q34)+('[1]PRECIOS'!$C$90*'[1]DEMAN'!Q35)</f>
        <v>125153.45480128555</v>
      </c>
      <c r="M12" s="38"/>
      <c r="N12" s="38"/>
    </row>
    <row r="13" spans="1:14" ht="12.75">
      <c r="A13" s="25" t="s">
        <v>67</v>
      </c>
      <c r="B13" s="25"/>
      <c r="C13" s="36">
        <f>+'[1]PRECIOS'!$C$92*'[1]DEMAN'!H36</f>
        <v>2127.5</v>
      </c>
      <c r="D13" s="36">
        <f>+'[1]PRECIOS'!$C$92*'[1]DEMAN'!I36</f>
        <v>2290.799316555089</v>
      </c>
      <c r="E13" s="36">
        <f>+'[1]PRECIOS'!$C$92*'[1]DEMAN'!J36</f>
        <v>2413.73595772767</v>
      </c>
      <c r="F13" s="36">
        <f>+'[1]PRECIOS'!$C$92*'[1]DEMAN'!K36</f>
        <v>2543.2700418249</v>
      </c>
      <c r="G13" s="36">
        <f>+'[1]PRECIOS'!$C$92*'[1]DEMAN'!L36</f>
        <v>2679.755623201354</v>
      </c>
      <c r="H13" s="36">
        <f>+'[1]PRECIOS'!$C$92*'[1]DEMAN'!M36</f>
        <v>2823.565756677003</v>
      </c>
      <c r="I13" s="36">
        <f>+'[1]PRECIOS'!$C$92*'[1]DEMAN'!N36</f>
        <v>2975.0935172046206</v>
      </c>
      <c r="J13" s="36">
        <f>+'[1]PRECIOS'!$C$92*'[1]DEMAN'!O36</f>
        <v>3134.7530742580384</v>
      </c>
      <c r="K13" s="36">
        <f>+'[1]PRECIOS'!$C$92*'[1]DEMAN'!P36</f>
        <v>3302.980823877869</v>
      </c>
      <c r="L13" s="36">
        <f>+'[1]PRECIOS'!$C$92*'[1]DEMAN'!Q36</f>
        <v>3302.980823877869</v>
      </c>
      <c r="M13" s="38"/>
      <c r="N13" s="38"/>
    </row>
    <row r="14" spans="1:14" ht="12.75">
      <c r="A14" s="25" t="s">
        <v>68</v>
      </c>
      <c r="B14" s="25"/>
      <c r="C14" s="36">
        <f>+'[1]PRECIOS'!$E$97*'[1]DEMAN'!H37</f>
        <v>3427.463414634146</v>
      </c>
      <c r="D14" s="36">
        <f>+'[1]PRECIOS'!$E$97*'[1]DEMAN'!I37</f>
        <v>3690.543289194581</v>
      </c>
      <c r="E14" s="36">
        <f>+'[1]PRECIOS'!$E$97*'[1]DEMAN'!J37</f>
        <v>3888.5977380486493</v>
      </c>
      <c r="F14" s="36">
        <f>+'[1]PRECIOS'!$E$97*'[1]DEMAN'!K37</f>
        <v>4097.2808563524795</v>
      </c>
      <c r="G14" s="36">
        <f>+'[1]PRECIOS'!$E$97*'[1]DEMAN'!L37</f>
        <v>4317.163035808586</v>
      </c>
      <c r="H14" s="36">
        <f>+'[1]PRECIOS'!$E$97*'[1]DEMAN'!M37</f>
        <v>4548.845278413258</v>
      </c>
      <c r="I14" s="36">
        <f>+'[1]PRECIOS'!$E$97*'[1]DEMAN'!N37</f>
        <v>4792.960839169946</v>
      </c>
      <c r="J14" s="36">
        <f>+'[1]PRECIOS'!$E$97*'[1]DEMAN'!O37</f>
        <v>5050.176956959503</v>
      </c>
      <c r="K14" s="36">
        <f>+'[1]PRECIOS'!$E$97*'[1]DEMAN'!P37</f>
        <v>5321.196678298258</v>
      </c>
      <c r="L14" s="36">
        <f>+'[1]PRECIOS'!$E$97*'[1]DEMAN'!Q37</f>
        <v>5321.196678298258</v>
      </c>
      <c r="M14" s="38"/>
      <c r="N14" s="38"/>
    </row>
    <row r="15" spans="1:14" ht="12.75">
      <c r="A15" s="25" t="s">
        <v>69</v>
      </c>
      <c r="B15" s="25"/>
      <c r="C15" s="36">
        <f>+'[1]PRECIOS'!$E$102*'[1]DEMAN'!H38</f>
        <v>1207.4333333333334</v>
      </c>
      <c r="D15" s="36">
        <f>+'[1]PRECIOS'!$E$102*'[1]DEMAN'!I38</f>
        <v>1300.1116121202501</v>
      </c>
      <c r="E15" s="36">
        <f>+'[1]PRECIOS'!$E$102*'[1]DEMAN'!J38</f>
        <v>1369.8826102118196</v>
      </c>
      <c r="F15" s="36">
        <f>+'[1]PRECIOS'!$E$102*'[1]DEMAN'!K38</f>
        <v>1443.3978962009144</v>
      </c>
      <c r="G15" s="36">
        <f>+'[1]PRECIOS'!$E$102*'[1]DEMAN'!L38</f>
        <v>1520.858408761812</v>
      </c>
      <c r="H15" s="36">
        <f>+'[1]PRECIOS'!$E$102*'[1]DEMAN'!M38</f>
        <v>1602.4758700213251</v>
      </c>
      <c r="I15" s="36">
        <f>+'[1]PRECIOS'!$E$102*'[1]DEMAN'!N38</f>
        <v>1688.473364256999</v>
      </c>
      <c r="J15" s="36">
        <f>+'[1]PRECIOS'!$E$102*'[1]DEMAN'!O38</f>
        <v>1779.0859476513735</v>
      </c>
      <c r="K15" s="36">
        <f>+'[1]PRECIOS'!$E$102*'[1]DEMAN'!P38</f>
        <v>1874.5612907689467</v>
      </c>
      <c r="L15" s="36">
        <f>+'[1]PRECIOS'!$E$102*'[1]DEMAN'!Q38</f>
        <v>1874.5612907689467</v>
      </c>
      <c r="M15" s="38"/>
      <c r="N15" s="38"/>
    </row>
    <row r="16" spans="1:14" s="39" customFormat="1" ht="12.75">
      <c r="A16" s="28" t="s">
        <v>7</v>
      </c>
      <c r="B16" s="28"/>
      <c r="C16" s="37">
        <f>+SUM(C17:C21)</f>
        <v>52992.421968342875</v>
      </c>
      <c r="D16" s="37">
        <f aca="true" t="shared" si="1" ref="D16:L16">+SUM(D17:D21)</f>
        <v>57059.9313878631</v>
      </c>
      <c r="E16" s="37">
        <f t="shared" si="1"/>
        <v>60122.07491989046</v>
      </c>
      <c r="F16" s="37">
        <f t="shared" si="1"/>
        <v>63348.54958205883</v>
      </c>
      <c r="G16" s="37">
        <f t="shared" si="1"/>
        <v>66748.1742687313</v>
      </c>
      <c r="H16" s="37">
        <f t="shared" si="1"/>
        <v>70330.2411436856</v>
      </c>
      <c r="I16" s="37">
        <f t="shared" si="1"/>
        <v>74104.54103830254</v>
      </c>
      <c r="J16" s="37">
        <f t="shared" si="1"/>
        <v>78081.39021275773</v>
      </c>
      <c r="K16" s="37">
        <f t="shared" si="1"/>
        <v>82271.6585533635</v>
      </c>
      <c r="L16" s="37">
        <f t="shared" si="1"/>
        <v>82271.6585533635</v>
      </c>
      <c r="M16" s="43"/>
      <c r="N16" s="43"/>
    </row>
    <row r="17" spans="1:14" ht="12.75">
      <c r="A17" s="25" t="s">
        <v>64</v>
      </c>
      <c r="B17" s="25"/>
      <c r="C17" s="36">
        <f>+('[1]PRECIOS'!$K$8*'[1]DEMAN'!H24)+('[1]PRECIOS'!$K$28*'[1]DEMAN'!H25)+('[1]PRECIOS'!$K$35*'[1]DEMAN'!H26)+('[1]PRECIOS'!$K$46*'[1]DEMAN'!H27)</f>
        <v>101.63564915436785</v>
      </c>
      <c r="D17" s="36">
        <f>+('[1]PRECIOS'!$K$8*'[1]DEMAN'!I24)+('[1]PRECIOS'!$K$28*'[1]DEMAN'!I25)+('[1]PRECIOS'!$K$35*'[1]DEMAN'!I26)+('[1]PRECIOS'!$K$46*'[1]DEMAN'!I27)</f>
        <v>109.43683930456342</v>
      </c>
      <c r="E17" s="36">
        <f>+('[1]PRECIOS'!$K$8*'[1]DEMAN'!J24)+('[1]PRECIOS'!$K$28*'[1]DEMAN'!J25)+('[1]PRECIOS'!$K$35*'[1]DEMAN'!J26)+('[1]PRECIOS'!$K$46*'[1]DEMAN'!J27)</f>
        <v>115.30981008267524</v>
      </c>
      <c r="F17" s="36">
        <f>+('[1]PRECIOS'!$K$8*'[1]DEMAN'!K24)+('[1]PRECIOS'!$K$28*'[1]DEMAN'!K25)+('[1]PRECIOS'!$K$35*'[1]DEMAN'!K26)+('[1]PRECIOS'!$K$46*'[1]DEMAN'!K27)</f>
        <v>121.49795613430318</v>
      </c>
      <c r="G17" s="36">
        <f>+('[1]PRECIOS'!$K$8*'[1]DEMAN'!L24)+('[1]PRECIOS'!$K$28*'[1]DEMAN'!L25)+('[1]PRECIOS'!$K$35*'[1]DEMAN'!L26)+('[1]PRECIOS'!$K$46*'[1]DEMAN'!L27)</f>
        <v>128.01819146375428</v>
      </c>
      <c r="H17" s="36">
        <f>+('[1]PRECIOS'!$K$8*'[1]DEMAN'!M24)+('[1]PRECIOS'!$K$28*'[1]DEMAN'!M25)+('[1]PRECIOS'!$K$35*'[1]DEMAN'!M26)+('[1]PRECIOS'!$K$46*'[1]DEMAN'!M27)</f>
        <v>134.8883377719911</v>
      </c>
      <c r="I17" s="36">
        <f>+('[1]PRECIOS'!$K$8*'[1]DEMAN'!N24)+('[1]PRECIOS'!$K$28*'[1]DEMAN'!N25)+('[1]PRECIOS'!$K$35*'[1]DEMAN'!N26)+('[1]PRECIOS'!$K$46*'[1]DEMAN'!N27)</f>
        <v>142.1271731685279</v>
      </c>
      <c r="J17" s="36">
        <f>+('[1]PRECIOS'!$K$8*'[1]DEMAN'!O24)+('[1]PRECIOS'!$K$28*'[1]DEMAN'!O25)+('[1]PRECIOS'!$K$35*'[1]DEMAN'!O26)+('[1]PRECIOS'!$K$46*'[1]DEMAN'!O27)</f>
        <v>149.75448349746935</v>
      </c>
      <c r="K17" s="36">
        <f>+('[1]PRECIOS'!$K$8*'[1]DEMAN'!P24)+('[1]PRECIOS'!$K$28*'[1]DEMAN'!P25)+('[1]PRECIOS'!$K$35*'[1]DEMAN'!P26)+('[1]PRECIOS'!$K$46*'[1]DEMAN'!P27)</f>
        <v>157.79111641798164</v>
      </c>
      <c r="L17" s="36">
        <f>+('[1]PRECIOS'!$K$8*'[1]DEMAN'!Q24)+('[1]PRECIOS'!$K$28*'[1]DEMAN'!Q25)+('[1]PRECIOS'!$K$35*'[1]DEMAN'!Q26)+('[1]PRECIOS'!$K$46*'[1]DEMAN'!Q27)</f>
        <v>157.79111641798164</v>
      </c>
      <c r="M17" s="38"/>
      <c r="N17" s="38"/>
    </row>
    <row r="18" spans="1:14" ht="12.75">
      <c r="A18" s="25" t="s">
        <v>65</v>
      </c>
      <c r="B18" s="25"/>
      <c r="C18" s="36">
        <f>+('[1]PRECIOS'!$K$61*'[1]DEMAN'!H23)+('[1]PRECIOS'!$K$71*'[1]DEMAN'!H24)+('[1]PRECIOS'!$K$80*'[1]DEMAN'!H25)</f>
        <v>95.972955148118</v>
      </c>
      <c r="D18" s="36">
        <f>+('[1]PRECIOS'!$K$61*'[1]DEMAN'!I23)+('[1]PRECIOS'!$K$71*'[1]DEMAN'!I24)+('[1]PRECIOS'!$K$80*'[1]DEMAN'!I25)</f>
        <v>103.33949709098985</v>
      </c>
      <c r="E18" s="36">
        <f>+('[1]PRECIOS'!$K$61*'[1]DEMAN'!J23)+('[1]PRECIOS'!$K$71*'[1]DEMAN'!J24)+('[1]PRECIOS'!$K$80*'[1]DEMAN'!J25)</f>
        <v>108.88525161475788</v>
      </c>
      <c r="F18" s="36">
        <f>+('[1]PRECIOS'!$K$61*'[1]DEMAN'!K23)+('[1]PRECIOS'!$K$71*'[1]DEMAN'!K24)+('[1]PRECIOS'!$K$80*'[1]DEMAN'!K25)</f>
        <v>114.72862122379007</v>
      </c>
      <c r="G18" s="36">
        <f>+('[1]PRECIOS'!$K$61*'[1]DEMAN'!L23)+('[1]PRECIOS'!$K$71*'[1]DEMAN'!L24)+('[1]PRECIOS'!$K$80*'[1]DEMAN'!L25)</f>
        <v>120.88557754802379</v>
      </c>
      <c r="H18" s="36">
        <f>+('[1]PRECIOS'!$K$61*'[1]DEMAN'!M23)+('[1]PRECIOS'!$K$71*'[1]DEMAN'!M24)+('[1]PRECIOS'!$K$80*'[1]DEMAN'!M25)</f>
        <v>127.37294934116285</v>
      </c>
      <c r="I18" s="36">
        <f>+('[1]PRECIOS'!$K$61*'[1]DEMAN'!N23)+('[1]PRECIOS'!$K$71*'[1]DEMAN'!N24)+('[1]PRECIOS'!$K$80*'[1]DEMAN'!N25)</f>
        <v>134.2084684785597</v>
      </c>
      <c r="J18" s="36">
        <f>+('[1]PRECIOS'!$K$61*'[1]DEMAN'!O23)+('[1]PRECIOS'!$K$71*'[1]DEMAN'!O24)+('[1]PRECIOS'!$K$80*'[1]DEMAN'!O25)</f>
        <v>141.4108184235919</v>
      </c>
      <c r="K18" s="36">
        <f>+('[1]PRECIOS'!$K$61*'[1]DEMAN'!P23)+('[1]PRECIOS'!$K$71*'[1]DEMAN'!P24)+('[1]PRECIOS'!$K$80*'[1]DEMAN'!P25)</f>
        <v>148.99968529500566</v>
      </c>
      <c r="L18" s="36">
        <f>+('[1]PRECIOS'!$K$61*'[1]DEMAN'!Q23)+('[1]PRECIOS'!$K$71*'[1]DEMAN'!Q24)+('[1]PRECIOS'!$K$80*'[1]DEMAN'!Q25)</f>
        <v>148.99968529500566</v>
      </c>
      <c r="M18" s="38"/>
      <c r="N18" s="38"/>
    </row>
    <row r="19" spans="1:14" ht="12.75">
      <c r="A19" s="25" t="s">
        <v>66</v>
      </c>
      <c r="B19" s="25"/>
      <c r="C19" s="36">
        <f>+('[1]PRECIOS'!$I$84*'[1]DEMAN'!H28)+('[1]PRECIOS'!$I$85*'[1]DEMAN'!H29)+('[1]PRECIOS'!$I$86*'[1]DEMAN'!H30)+('[1]PRECIOS'!$I$87*'[1]DEMAN'!H31)+('[1]PRECIOS'!$I$88*'[1]DEMAN'!H32)+('[1]PRECIOS'!$I$89*'[1]DEMAN'!H33)+('[1]PRECIOS'!$I$90*'[1]DEMAN'!H34)+('[1]PRECIOS'!$I$91*'[1]DEMAN'!H35)</f>
        <v>50383.27295999999</v>
      </c>
      <c r="D19" s="36">
        <f>+('[1]PRECIOS'!$I$84*'[1]DEMAN'!I28)+('[1]PRECIOS'!$I$85*'[1]DEMAN'!I29)+('[1]PRECIOS'!$I$86*'[1]DEMAN'!I30)+('[1]PRECIOS'!$I$87*'[1]DEMAN'!I31)+('[1]PRECIOS'!$I$88*'[1]DEMAN'!I32)+('[1]PRECIOS'!$I$89*'[1]DEMAN'!I33)+('[1]PRECIOS'!$I$90*'[1]DEMAN'!I34)+('[1]PRECIOS'!$I$91*'[1]DEMAN'!I35)</f>
        <v>54250.51340191608</v>
      </c>
      <c r="E19" s="36">
        <f>+('[1]PRECIOS'!$I$84*'[1]DEMAN'!J28)+('[1]PRECIOS'!$I$85*'[1]DEMAN'!J29)+('[1]PRECIOS'!$I$86*'[1]DEMAN'!J30)+('[1]PRECIOS'!$I$87*'[1]DEMAN'!J31)+('[1]PRECIOS'!$I$88*'[1]DEMAN'!J32)+('[1]PRECIOS'!$I$89*'[1]DEMAN'!J33)+('[1]PRECIOS'!$I$90*'[1]DEMAN'!J34)+('[1]PRECIOS'!$I$91*'[1]DEMAN'!J35)</f>
        <v>57161.88841906474</v>
      </c>
      <c r="F19" s="36">
        <f>+('[1]PRECIOS'!$I$84*'[1]DEMAN'!K28)+('[1]PRECIOS'!$I$85*'[1]DEMAN'!K29)+('[1]PRECIOS'!$I$86*'[1]DEMAN'!K30)+('[1]PRECIOS'!$I$87*'[1]DEMAN'!K31)+('[1]PRECIOS'!$I$88*'[1]DEMAN'!K32)+('[1]PRECIOS'!$I$89*'[1]DEMAN'!K33)+('[1]PRECIOS'!$I$90*'[1]DEMAN'!K34)+('[1]PRECIOS'!$I$91*'[1]DEMAN'!K35)</f>
        <v>60229.50351504327</v>
      </c>
      <c r="G19" s="36">
        <f>+('[1]PRECIOS'!$I$84*'[1]DEMAN'!L28)+('[1]PRECIOS'!$I$85*'[1]DEMAN'!L29)+('[1]PRECIOS'!$I$86*'[1]DEMAN'!L30)+('[1]PRECIOS'!$I$87*'[1]DEMAN'!L31)+('[1]PRECIOS'!$I$88*'[1]DEMAN'!L32)+('[1]PRECIOS'!$I$89*'[1]DEMAN'!L33)+('[1]PRECIOS'!$I$90*'[1]DEMAN'!L34)+('[1]PRECIOS'!$I$91*'[1]DEMAN'!L35)</f>
        <v>63461.74337478201</v>
      </c>
      <c r="H19" s="36">
        <f>+('[1]PRECIOS'!$I$84*'[1]DEMAN'!M28)+('[1]PRECIOS'!$I$85*'[1]DEMAN'!M29)+('[1]PRECIOS'!$I$86*'[1]DEMAN'!M30)+('[1]PRECIOS'!$I$87*'[1]DEMAN'!M31)+('[1]PRECIOS'!$I$88*'[1]DEMAN'!M32)+('[1]PRECIOS'!$I$89*'[1]DEMAN'!M33)+('[1]PRECIOS'!$I$90*'[1]DEMAN'!M34)+('[1]PRECIOS'!$I$91*'[1]DEMAN'!M35)</f>
        <v>66867.44265060699</v>
      </c>
      <c r="I19" s="36">
        <f>+('[1]PRECIOS'!$I$84*'[1]DEMAN'!N28)+('[1]PRECIOS'!$I$85*'[1]DEMAN'!N29)+('[1]PRECIOS'!$I$86*'[1]DEMAN'!N30)+('[1]PRECIOS'!$I$87*'[1]DEMAN'!N31)+('[1]PRECIOS'!$I$88*'[1]DEMAN'!N32)+('[1]PRECIOS'!$I$89*'[1]DEMAN'!N33)+('[1]PRECIOS'!$I$90*'[1]DEMAN'!N34)+('[1]PRECIOS'!$I$91*'[1]DEMAN'!N35)</f>
        <v>70455.91010991627</v>
      </c>
      <c r="J19" s="36">
        <f>+('[1]PRECIOS'!$I$84*'[1]DEMAN'!O28)+('[1]PRECIOS'!$I$85*'[1]DEMAN'!O29)+('[1]PRECIOS'!$I$86*'[1]DEMAN'!O30)+('[1]PRECIOS'!$I$87*'[1]DEMAN'!O31)+('[1]PRECIOS'!$I$88*'[1]DEMAN'!O32)+('[1]PRECIOS'!$I$89*'[1]DEMAN'!O33)+('[1]PRECIOS'!$I$90*'[1]DEMAN'!O34)+('[1]PRECIOS'!$I$91*'[1]DEMAN'!O35)</f>
        <v>74236.9540787506</v>
      </c>
      <c r="K19" s="36">
        <f>+('[1]PRECIOS'!$I$84*'[1]DEMAN'!P28)+('[1]PRECIOS'!$I$85*'[1]DEMAN'!P29)+('[1]PRECIOS'!$I$86*'[1]DEMAN'!P30)+('[1]PRECIOS'!$I$87*'[1]DEMAN'!P31)+('[1]PRECIOS'!$I$88*'[1]DEMAN'!P32)+('[1]PRECIOS'!$I$89*'[1]DEMAN'!P33)+('[1]PRECIOS'!$I$90*'[1]DEMAN'!P34)+('[1]PRECIOS'!$I$91*'[1]DEMAN'!P35)</f>
        <v>78220.90925080345</v>
      </c>
      <c r="L19" s="36">
        <f>+('[1]PRECIOS'!$I$84*'[1]DEMAN'!Q28)+('[1]PRECIOS'!$I$85*'[1]DEMAN'!Q29)+('[1]PRECIOS'!$I$86*'[1]DEMAN'!Q30)+('[1]PRECIOS'!$I$87*'[1]DEMAN'!Q31)+('[1]PRECIOS'!$I$88*'[1]DEMAN'!Q32)+('[1]PRECIOS'!$I$89*'[1]DEMAN'!Q33)+('[1]PRECIOS'!$I$90*'[1]DEMAN'!Q34)+('[1]PRECIOS'!$I$91*'[1]DEMAN'!Q35)</f>
        <v>78220.90925080345</v>
      </c>
      <c r="M19" s="38"/>
      <c r="N19" s="38"/>
    </row>
    <row r="20" spans="1:14" ht="12.75">
      <c r="A20" s="25" t="s">
        <v>70</v>
      </c>
      <c r="B20" s="25"/>
      <c r="C20" s="36">
        <f>+'[1]PRECIOS'!$K$97*'[1]DEMAN'!H37</f>
        <v>1755.8181818181815</v>
      </c>
      <c r="D20" s="36">
        <f>+'[1]PRECIOS'!$K$97*'[1]DEMAN'!I37</f>
        <v>1890.5885268644363</v>
      </c>
      <c r="E20" s="36">
        <f>+'[1]PRECIOS'!$K$97*'[1]DEMAN'!J37</f>
        <v>1992.047699500148</v>
      </c>
      <c r="F20" s="36">
        <f>+'[1]PRECIOS'!$K$97*'[1]DEMAN'!K37</f>
        <v>2098.951718312407</v>
      </c>
      <c r="G20" s="36">
        <f>+'[1]PRECIOS'!$K$97*'[1]DEMAN'!L37</f>
        <v>2211.592783100564</v>
      </c>
      <c r="H20" s="36">
        <f>+'[1]PRECIOS'!$K$97*'[1]DEMAN'!M37</f>
        <v>2330.278774680467</v>
      </c>
      <c r="I20" s="36">
        <f>+'[1]PRECIOS'!$K$97*'[1]DEMAN'!N37</f>
        <v>2455.3340964123504</v>
      </c>
      <c r="J20" s="36">
        <f>+'[1]PRECIOS'!$K$97*'[1]DEMAN'!O37</f>
        <v>2587.1005608896376</v>
      </c>
      <c r="K20" s="36">
        <f>+'[1]PRECIOS'!$K$97*'[1]DEMAN'!P37</f>
        <v>2725.9383242122485</v>
      </c>
      <c r="L20" s="36">
        <f>+'[1]PRECIOS'!$K$97*'[1]DEMAN'!Q37</f>
        <v>2725.9383242122485</v>
      </c>
      <c r="M20" s="38"/>
      <c r="N20" s="38"/>
    </row>
    <row r="21" spans="1:14" ht="12.75">
      <c r="A21" s="25" t="s">
        <v>69</v>
      </c>
      <c r="B21" s="25"/>
      <c r="C21" s="36">
        <f>+'[1]PRECIOS'!$K$102*'[1]DEMAN'!H38</f>
        <v>655.7222222222223</v>
      </c>
      <c r="D21" s="36">
        <f>+'[1]PRECIOS'!$K$102*'[1]DEMAN'!I38</f>
        <v>706.0531226870272</v>
      </c>
      <c r="E21" s="36">
        <f>+'[1]PRECIOS'!$K$102*'[1]DEMAN'!J38</f>
        <v>743.9437396281418</v>
      </c>
      <c r="F21" s="36">
        <f>+'[1]PRECIOS'!$K$102*'[1]DEMAN'!K38</f>
        <v>783.8677713450659</v>
      </c>
      <c r="G21" s="36">
        <f>+'[1]PRECIOS'!$K$102*'[1]DEMAN'!L38</f>
        <v>825.9343418369391</v>
      </c>
      <c r="H21" s="36">
        <f>+'[1]PRECIOS'!$K$102*'[1]DEMAN'!M38</f>
        <v>870.2584312849893</v>
      </c>
      <c r="I21" s="36">
        <f>+'[1]PRECIOS'!$K$102*'[1]DEMAN'!N38</f>
        <v>916.9611903268346</v>
      </c>
      <c r="J21" s="36">
        <f>+'[1]PRECIOS'!$K$102*'[1]DEMAN'!O38</f>
        <v>966.1702711964389</v>
      </c>
      <c r="K21" s="36">
        <f>+'[1]PRECIOS'!$K$102*'[1]DEMAN'!P38</f>
        <v>1018.0201766348214</v>
      </c>
      <c r="L21" s="36">
        <f>+'[1]PRECIOS'!$K$102*'[1]DEMAN'!Q38</f>
        <v>1018.0201766348214</v>
      </c>
      <c r="M21" s="38"/>
      <c r="N21" s="38"/>
    </row>
    <row r="22" spans="1:26" ht="14.25" customHeight="1">
      <c r="A22" s="28" t="s">
        <v>8</v>
      </c>
      <c r="B22" s="28"/>
      <c r="C22" s="37">
        <f>+C9-C16</f>
        <v>34790.77393367112</v>
      </c>
      <c r="D22" s="37">
        <f aca="true" t="shared" si="2" ref="D22:L22">+D9-D16</f>
        <v>37461.18972957759</v>
      </c>
      <c r="E22" s="37">
        <f t="shared" si="2"/>
        <v>39471.55912614638</v>
      </c>
      <c r="F22" s="37">
        <f t="shared" si="2"/>
        <v>41589.8157825656</v>
      </c>
      <c r="G22" s="37">
        <f t="shared" si="2"/>
        <v>43821.749510825946</v>
      </c>
      <c r="H22" s="37">
        <f t="shared" si="2"/>
        <v>46173.460835442806</v>
      </c>
      <c r="I22" s="37">
        <f t="shared" si="2"/>
        <v>48651.37766796538</v>
      </c>
      <c r="J22" s="37">
        <f t="shared" si="2"/>
        <v>51262.27287632994</v>
      </c>
      <c r="K22" s="37">
        <f t="shared" si="2"/>
        <v>54013.28279707907</v>
      </c>
      <c r="L22" s="37">
        <f t="shared" si="2"/>
        <v>54013.28279707907</v>
      </c>
      <c r="M22" s="43"/>
      <c r="N22" s="43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12" ht="14.25" customHeight="1">
      <c r="A23" s="28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4" ht="14.25" customHeight="1">
      <c r="A24" s="29" t="s">
        <v>71</v>
      </c>
      <c r="B24" s="25"/>
      <c r="C24" s="36">
        <f>+'[1]D GASTS'!F16</f>
        <v>14520</v>
      </c>
      <c r="D24" s="36">
        <f>+C24*(1+$B$6)+'[1]D GASTS'!G16</f>
        <v>17232.086784</v>
      </c>
      <c r="E24" s="36">
        <f>+D24*(1+$B$6)+'[1]D GASTS'!H16</f>
        <v>20140.91481397985</v>
      </c>
      <c r="F24" s="36">
        <f>+E24*(1+$B$6)</f>
        <v>21156.40362616886</v>
      </c>
      <c r="G24" s="36">
        <f aca="true" t="shared" si="3" ref="G24:L24">+F24*(1+$B$6)</f>
        <v>22223.09257187739</v>
      </c>
      <c r="H24" s="36">
        <f t="shared" si="3"/>
        <v>23343.56312087739</v>
      </c>
      <c r="I24" s="36">
        <f t="shared" si="3"/>
        <v>24520.526898581527</v>
      </c>
      <c r="J24" s="36">
        <f t="shared" si="3"/>
        <v>25756.832248386487</v>
      </c>
      <c r="K24" s="36">
        <f t="shared" si="3"/>
        <v>27055.47112488433</v>
      </c>
      <c r="L24" s="36">
        <f t="shared" si="3"/>
        <v>28419.586334624095</v>
      </c>
      <c r="M24" s="38"/>
      <c r="N24" s="38"/>
    </row>
    <row r="25" spans="1:14" ht="14.25" customHeight="1">
      <c r="A25" s="29" t="s">
        <v>18</v>
      </c>
      <c r="B25" s="25"/>
      <c r="C25" s="36">
        <f>+'[1]PUBLIC'!F12</f>
        <v>10620</v>
      </c>
      <c r="D25" s="36">
        <f>+'[1]PUBLIC'!F18</f>
        <v>1600</v>
      </c>
      <c r="E25" s="36">
        <f>+D25*(1+$B$6)</f>
        <v>1680.6707199999998</v>
      </c>
      <c r="F25" s="36">
        <f aca="true" t="shared" si="4" ref="F25:L25">+E25*(1+$B$6)</f>
        <v>1765.4087931658237</v>
      </c>
      <c r="G25" s="36">
        <f t="shared" si="4"/>
        <v>1854.4192921902097</v>
      </c>
      <c r="H25" s="36">
        <f t="shared" si="4"/>
        <v>1947.9176293670062</v>
      </c>
      <c r="I25" s="36">
        <f t="shared" si="4"/>
        <v>2046.1300779055869</v>
      </c>
      <c r="J25" s="36">
        <f t="shared" si="4"/>
        <v>2149.294319529524</v>
      </c>
      <c r="K25" s="36">
        <f t="shared" si="4"/>
        <v>2257.6600196847467</v>
      </c>
      <c r="L25" s="36">
        <f t="shared" si="4"/>
        <v>2371.489431749236</v>
      </c>
      <c r="M25" s="38"/>
      <c r="N25" s="38"/>
    </row>
    <row r="26" spans="1:14" ht="14.25" customHeight="1">
      <c r="A26" s="29" t="s">
        <v>20</v>
      </c>
      <c r="B26" s="36">
        <f>+'[1]GAST CONST'!E16</f>
        <v>1620.8201999999999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8"/>
      <c r="N26" s="38"/>
    </row>
    <row r="27" spans="1:14" ht="14.25" customHeight="1">
      <c r="A27" s="29" t="s">
        <v>72</v>
      </c>
      <c r="B27" s="25"/>
      <c r="C27" s="36">
        <f>+'[1]D GASTS'!F22</f>
        <v>360</v>
      </c>
      <c r="D27" s="36">
        <f>+C27*(1+$B$6)</f>
        <v>378.15091199999995</v>
      </c>
      <c r="E27" s="36">
        <f aca="true" t="shared" si="5" ref="E27:L29">+D27*(1+$B$6)</f>
        <v>397.2169784623103</v>
      </c>
      <c r="F27" s="36">
        <f t="shared" si="5"/>
        <v>417.2443407427972</v>
      </c>
      <c r="G27" s="36">
        <f t="shared" si="5"/>
        <v>438.28146660757636</v>
      </c>
      <c r="H27" s="36">
        <f t="shared" si="5"/>
        <v>460.37926752875705</v>
      </c>
      <c r="I27" s="36">
        <f t="shared" si="5"/>
        <v>483.5912218941429</v>
      </c>
      <c r="J27" s="36">
        <f t="shared" si="5"/>
        <v>507.97350442906804</v>
      </c>
      <c r="K27" s="36">
        <f t="shared" si="5"/>
        <v>533.585122143578</v>
      </c>
      <c r="L27" s="36">
        <f t="shared" si="5"/>
        <v>560.4880571339595</v>
      </c>
      <c r="M27" s="38"/>
      <c r="N27" s="38"/>
    </row>
    <row r="28" spans="1:14" ht="14.25" customHeight="1">
      <c r="A28" s="29" t="s">
        <v>73</v>
      </c>
      <c r="B28" s="25"/>
      <c r="C28" s="36">
        <f>+'[1]D GASTS'!H54</f>
        <v>7200</v>
      </c>
      <c r="D28" s="36">
        <f>+C28*(1+$B$6)</f>
        <v>7563.018239999999</v>
      </c>
      <c r="E28" s="36">
        <f t="shared" si="5"/>
        <v>7944.339569246206</v>
      </c>
      <c r="F28" s="36">
        <f t="shared" si="5"/>
        <v>8344.886814855943</v>
      </c>
      <c r="G28" s="36">
        <f t="shared" si="5"/>
        <v>8765.629332151528</v>
      </c>
      <c r="H28" s="36">
        <f t="shared" si="5"/>
        <v>9207.58535057514</v>
      </c>
      <c r="I28" s="36">
        <f t="shared" si="5"/>
        <v>9671.824437882857</v>
      </c>
      <c r="J28" s="36">
        <f t="shared" si="5"/>
        <v>10159.470088581358</v>
      </c>
      <c r="K28" s="36">
        <f t="shared" si="5"/>
        <v>10671.702442871558</v>
      </c>
      <c r="L28" s="36">
        <f t="shared" si="5"/>
        <v>11209.761142679186</v>
      </c>
      <c r="M28" s="38"/>
      <c r="N28" s="38"/>
    </row>
    <row r="29" spans="1:14" ht="14.25" customHeight="1">
      <c r="A29" s="29" t="s">
        <v>74</v>
      </c>
      <c r="B29" s="25"/>
      <c r="C29" s="36">
        <f>+'[1]D GASTS'!G40</f>
        <v>834</v>
      </c>
      <c r="D29" s="36">
        <f>+C29*(1+$B$6)</f>
        <v>876.0496127999999</v>
      </c>
      <c r="E29" s="36">
        <f t="shared" si="5"/>
        <v>920.2193334376855</v>
      </c>
      <c r="F29" s="36">
        <f t="shared" si="5"/>
        <v>966.6160560541467</v>
      </c>
      <c r="G29" s="36">
        <f t="shared" si="5"/>
        <v>1015.3520643075518</v>
      </c>
      <c r="H29" s="36">
        <f t="shared" si="5"/>
        <v>1066.545303108287</v>
      </c>
      <c r="I29" s="36">
        <f t="shared" si="5"/>
        <v>1120.3196640547642</v>
      </c>
      <c r="J29" s="36">
        <f t="shared" si="5"/>
        <v>1176.805285260674</v>
      </c>
      <c r="K29" s="36">
        <f t="shared" si="5"/>
        <v>1236.1388662992888</v>
      </c>
      <c r="L29" s="36">
        <f t="shared" si="5"/>
        <v>1298.4639990270057</v>
      </c>
      <c r="M29" s="38"/>
      <c r="N29" s="38"/>
    </row>
    <row r="30" spans="1:14" ht="13.5" customHeight="1">
      <c r="A30" s="29" t="s">
        <v>26</v>
      </c>
      <c r="B30" s="25"/>
      <c r="C30" s="36">
        <f>+'[1]FLUJO CAJ'!D54*-1</f>
        <v>1188</v>
      </c>
      <c r="D30" s="36">
        <f>+'[1]FLUJO CAJ'!E54*-1</f>
        <v>1247.8980096</v>
      </c>
      <c r="E30" s="36">
        <f>+'[1]FLUJO CAJ'!F54*-1</f>
        <v>1310.816028925624</v>
      </c>
      <c r="F30" s="36">
        <f>+'[1]FLUJO CAJ'!G54*-1</f>
        <v>1376.9063244512308</v>
      </c>
      <c r="G30" s="36">
        <f>+'[1]FLUJO CAJ'!H54*-1</f>
        <v>1446.3288398050022</v>
      </c>
      <c r="H30" s="36">
        <f>+'[1]FLUJO CAJ'!I54*-1</f>
        <v>1519.2515828448982</v>
      </c>
      <c r="I30" s="36">
        <f>+'[1]FLUJO CAJ'!J54*-1</f>
        <v>1595.8510322506718</v>
      </c>
      <c r="J30" s="36">
        <f>+'[1]FLUJO CAJ'!K54*-1</f>
        <v>1676.3125646159247</v>
      </c>
      <c r="K30" s="36">
        <f>+'[1]FLUJO CAJ'!L54*-1</f>
        <v>1760.8309030738073</v>
      </c>
      <c r="L30" s="36">
        <f>+'[1]FLUJO CAJ'!M54*-1</f>
        <v>1849.6105885420661</v>
      </c>
      <c r="M30" s="38"/>
      <c r="N30" s="38"/>
    </row>
    <row r="31" spans="1:14" ht="13.5" customHeight="1">
      <c r="A31" s="29" t="s">
        <v>75</v>
      </c>
      <c r="B31" s="25"/>
      <c r="C31" s="36">
        <f>+'[1]FLUJO CAJ'!D49*-1</f>
        <v>384</v>
      </c>
      <c r="D31" s="36">
        <f>+'[1]FLUJO CAJ'!E49*-1</f>
        <v>403.36097279999996</v>
      </c>
      <c r="E31" s="36">
        <f>+'[1]FLUJO CAJ'!F49*-1</f>
        <v>423.6981103597977</v>
      </c>
      <c r="F31" s="36">
        <f>+'[1]FLUJO CAJ'!G49*-1</f>
        <v>445.06063012565033</v>
      </c>
      <c r="G31" s="36">
        <f>+'[1]FLUJO CAJ'!H49*-1</f>
        <v>467.50023104808145</v>
      </c>
      <c r="H31" s="36">
        <f>+'[1]FLUJO CAJ'!I49*-1</f>
        <v>491.07121869734084</v>
      </c>
      <c r="I31" s="36">
        <f>+'[1]FLUJO CAJ'!J49*-1</f>
        <v>515.8306366870858</v>
      </c>
      <c r="J31" s="36">
        <f>+'[1]FLUJO CAJ'!K49*-1</f>
        <v>541.8384047243392</v>
      </c>
      <c r="K31" s="36">
        <f>+'[1]FLUJO CAJ'!L49*-1</f>
        <v>569.1574636198166</v>
      </c>
      <c r="L31" s="36">
        <f>+'[1]FLUJO CAJ'!M49*-1</f>
        <v>597.8539276095568</v>
      </c>
      <c r="M31" s="38"/>
      <c r="N31" s="38"/>
    </row>
    <row r="32" spans="1:17" ht="12.75" customHeight="1">
      <c r="A32" s="28" t="s">
        <v>36</v>
      </c>
      <c r="B32" s="25"/>
      <c r="C32" s="37">
        <f>+SUM(C24:C31)</f>
        <v>35106</v>
      </c>
      <c r="D32" s="37">
        <f aca="true" t="shared" si="6" ref="D32:L32">+SUM(D24:D31)</f>
        <v>29300.564531200005</v>
      </c>
      <c r="E32" s="37">
        <f t="shared" si="6"/>
        <v>32817.875554411476</v>
      </c>
      <c r="F32" s="37">
        <f t="shared" si="6"/>
        <v>34472.52658556445</v>
      </c>
      <c r="G32" s="37">
        <f t="shared" si="6"/>
        <v>36210.60379798734</v>
      </c>
      <c r="H32" s="37">
        <f t="shared" si="6"/>
        <v>38036.313472998816</v>
      </c>
      <c r="I32" s="37">
        <f t="shared" si="6"/>
        <v>39954.073969256635</v>
      </c>
      <c r="J32" s="37">
        <f t="shared" si="6"/>
        <v>41968.52641552737</v>
      </c>
      <c r="K32" s="37">
        <f t="shared" si="6"/>
        <v>44084.545942577126</v>
      </c>
      <c r="L32" s="37">
        <f t="shared" si="6"/>
        <v>46307.25348136511</v>
      </c>
      <c r="M32" s="43"/>
      <c r="N32" s="43"/>
      <c r="Q32" s="39"/>
    </row>
    <row r="33" spans="1:14" ht="12.75" customHeight="1">
      <c r="A33" s="25" t="s">
        <v>76</v>
      </c>
      <c r="B33" s="25"/>
      <c r="C33" s="36">
        <f>+'[1]FLUJO CAJ'!D60*-1</f>
        <v>1456.8166666666666</v>
      </c>
      <c r="D33" s="36">
        <f>+'[1]FLUJO CAJ'!E60*-1</f>
        <v>1456.8166666666666</v>
      </c>
      <c r="E33" s="36">
        <f>+'[1]FLUJO CAJ'!F60*-1</f>
        <v>1456.8166666666666</v>
      </c>
      <c r="F33" s="36">
        <f>+'[1]FLUJO CAJ'!G60*-1</f>
        <v>1463.4551946666666</v>
      </c>
      <c r="G33" s="36">
        <f>+'[1]FLUJO CAJ'!H60*-1</f>
        <v>1463.4551946666666</v>
      </c>
      <c r="H33" s="36">
        <f>+'[1]FLUJO CAJ'!I60*-1</f>
        <v>1489.6126756266665</v>
      </c>
      <c r="I33" s="36">
        <f>+'[1]FLUJO CAJ'!J60*-1</f>
        <v>1496.585912897604</v>
      </c>
      <c r="J33" s="36">
        <f>+'[1]FLUJO CAJ'!K60*-1</f>
        <v>1496.585912897604</v>
      </c>
      <c r="K33" s="36">
        <f>+'[1]FLUJO CAJ'!L60*-1</f>
        <v>1496.585912897604</v>
      </c>
      <c r="L33" s="36">
        <f>+'[1]FLUJO CAJ'!M60*-1</f>
        <v>1496.585912897604</v>
      </c>
      <c r="M33" s="38"/>
      <c r="N33" s="38"/>
    </row>
    <row r="34" spans="1:14" ht="12.75" customHeight="1">
      <c r="A34" s="25" t="s">
        <v>35</v>
      </c>
      <c r="B34" s="25"/>
      <c r="C34" s="36">
        <f>+'[1]FLUJO CAJ'!D62*-1</f>
        <v>45</v>
      </c>
      <c r="D34" s="36">
        <f>+'[1]FLUJO CAJ'!E62*-1</f>
        <v>45</v>
      </c>
      <c r="E34" s="36">
        <f>+'[1]FLUJO CAJ'!F62*-1</f>
        <v>45</v>
      </c>
      <c r="F34" s="36">
        <f>+'[1]FLUJO CAJ'!G62*-1</f>
        <v>45</v>
      </c>
      <c r="G34" s="36">
        <f>+'[1]FLUJO CAJ'!H62*-1</f>
        <v>45</v>
      </c>
      <c r="H34" s="36">
        <f>+'[1]FLUJO CAJ'!I62*-1</f>
        <v>45</v>
      </c>
      <c r="I34" s="36">
        <f>+'[1]FLUJO CAJ'!J62*-1</f>
        <v>45</v>
      </c>
      <c r="J34" s="36">
        <f>+'[1]FLUJO CAJ'!K62*-1</f>
        <v>45</v>
      </c>
      <c r="K34" s="36">
        <f>+'[1]FLUJO CAJ'!L62*-1</f>
        <v>45</v>
      </c>
      <c r="L34" s="36">
        <f>+'[1]FLUJO CAJ'!M62*-1</f>
        <v>45</v>
      </c>
      <c r="M34" s="38"/>
      <c r="N34" s="38"/>
    </row>
    <row r="35" spans="1:17" ht="12.75" customHeight="1">
      <c r="A35" s="30" t="s">
        <v>77</v>
      </c>
      <c r="B35" s="25"/>
      <c r="C35" s="36">
        <f>+'[1]PREST'!D15</f>
        <v>872.5317119983425</v>
      </c>
      <c r="D35" s="36">
        <f>+'[1]PREST'!D16</f>
        <v>872.5317119983425</v>
      </c>
      <c r="E35" s="36">
        <f>+'[1]PREST'!D17</f>
        <v>872.5317119983425</v>
      </c>
      <c r="F35" s="36">
        <f>+'[1]PREST'!D18</f>
        <v>803.2815645365289</v>
      </c>
      <c r="G35" s="36">
        <f>+'[1]PREST'!D19</f>
        <v>725.2643484060495</v>
      </c>
      <c r="H35" s="36">
        <f>+'[1]PREST'!E19</f>
        <v>694.2669485987201</v>
      </c>
      <c r="I35" s="36">
        <f>+'[1]PREST'!D21</f>
        <v>538.3485518461707</v>
      </c>
      <c r="J35" s="36">
        <f>+'[1]PREST'!D22</f>
        <v>426.7908163090922</v>
      </c>
      <c r="K35" s="36">
        <f>+'[1]PREST'!D23</f>
        <v>301.1098714530194</v>
      </c>
      <c r="L35" s="36">
        <f>+'[1]PREST'!D24</f>
        <v>159.51771897816786</v>
      </c>
      <c r="M35" s="38"/>
      <c r="N35" s="38"/>
      <c r="Q35" s="39"/>
    </row>
    <row r="36" spans="1:14" s="39" customFormat="1" ht="12.75" customHeight="1">
      <c r="A36" s="28" t="s">
        <v>38</v>
      </c>
      <c r="B36" s="28"/>
      <c r="C36" s="37">
        <f>+C22-C32-C35-C33-C34</f>
        <v>-2689.5744449938925</v>
      </c>
      <c r="D36" s="37">
        <f aca="true" t="shared" si="7" ref="D36:L36">+D22-D32-D35-D33-D34</f>
        <v>5786.276819712578</v>
      </c>
      <c r="E36" s="37">
        <f t="shared" si="7"/>
        <v>4279.335193069893</v>
      </c>
      <c r="F36" s="37">
        <f t="shared" si="7"/>
        <v>4805.55243779796</v>
      </c>
      <c r="G36" s="37">
        <f t="shared" si="7"/>
        <v>5377.426169765886</v>
      </c>
      <c r="H36" s="37">
        <f t="shared" si="7"/>
        <v>5908.267738218603</v>
      </c>
      <c r="I36" s="37">
        <f t="shared" si="7"/>
        <v>6617.3692339649715</v>
      </c>
      <c r="J36" s="37">
        <f t="shared" si="7"/>
        <v>7325.3697315958725</v>
      </c>
      <c r="K36" s="37">
        <f t="shared" si="7"/>
        <v>8086.041070151317</v>
      </c>
      <c r="L36" s="37">
        <f t="shared" si="7"/>
        <v>6004.925683838188</v>
      </c>
      <c r="M36" s="43"/>
      <c r="N36" s="43"/>
    </row>
    <row r="37" spans="1:16" ht="12.75" customHeight="1">
      <c r="A37" s="25" t="s">
        <v>39</v>
      </c>
      <c r="B37" s="25"/>
      <c r="C37" s="36"/>
      <c r="D37" s="36">
        <f aca="true" t="shared" si="8" ref="D37:L37">+D36*0.15</f>
        <v>867.9415229568866</v>
      </c>
      <c r="E37" s="36">
        <f t="shared" si="8"/>
        <v>641.9002789604839</v>
      </c>
      <c r="F37" s="36">
        <f t="shared" si="8"/>
        <v>720.832865669694</v>
      </c>
      <c r="G37" s="36">
        <f t="shared" si="8"/>
        <v>806.6139254648829</v>
      </c>
      <c r="H37" s="36">
        <f t="shared" si="8"/>
        <v>886.2401607327904</v>
      </c>
      <c r="I37" s="36">
        <f t="shared" si="8"/>
        <v>992.6053850947457</v>
      </c>
      <c r="J37" s="36">
        <f t="shared" si="8"/>
        <v>1098.805459739381</v>
      </c>
      <c r="K37" s="36">
        <f t="shared" si="8"/>
        <v>1212.9061605226975</v>
      </c>
      <c r="L37" s="36">
        <f t="shared" si="8"/>
        <v>900.7388525757282</v>
      </c>
      <c r="M37" s="38"/>
      <c r="N37" s="38"/>
      <c r="P37" s="39"/>
    </row>
    <row r="38" spans="1:14" ht="12.75">
      <c r="A38" s="28" t="s">
        <v>40</v>
      </c>
      <c r="B38" s="44"/>
      <c r="C38" s="36">
        <f>+C36-C37</f>
        <v>-2689.5744449938925</v>
      </c>
      <c r="D38" s="36">
        <f aca="true" t="shared" si="9" ref="D38:L38">+D36-D37</f>
        <v>4918.335296755691</v>
      </c>
      <c r="E38" s="36">
        <f t="shared" si="9"/>
        <v>3637.434914109409</v>
      </c>
      <c r="F38" s="36">
        <f t="shared" si="9"/>
        <v>4084.719572128266</v>
      </c>
      <c r="G38" s="36">
        <f t="shared" si="9"/>
        <v>4570.812244301003</v>
      </c>
      <c r="H38" s="36">
        <f t="shared" si="9"/>
        <v>5022.027577485813</v>
      </c>
      <c r="I38" s="36">
        <f t="shared" si="9"/>
        <v>5624.763848870226</v>
      </c>
      <c r="J38" s="36">
        <f t="shared" si="9"/>
        <v>6226.564271856491</v>
      </c>
      <c r="K38" s="36">
        <f t="shared" si="9"/>
        <v>6873.134909628619</v>
      </c>
      <c r="L38" s="36">
        <f t="shared" si="9"/>
        <v>5104.18683126246</v>
      </c>
      <c r="M38" s="38"/>
      <c r="N38" s="38"/>
    </row>
    <row r="39" spans="1:14" ht="12.75">
      <c r="A39" s="25" t="s">
        <v>41</v>
      </c>
      <c r="B39" s="45">
        <f>+C38*-0.25*'[1]BALANC'!B39</f>
        <v>336.19680562423656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8"/>
      <c r="N39" s="38"/>
    </row>
    <row r="40" spans="1:14" ht="12.75">
      <c r="A40" s="25" t="s">
        <v>42</v>
      </c>
      <c r="B40" s="46">
        <f>+C38*(1-'[1]BALANC'!B39)*-0.15</f>
        <v>201.71808337454192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8"/>
      <c r="N40" s="38"/>
    </row>
    <row r="41" spans="1:14" ht="12.75">
      <c r="A41" s="25" t="s">
        <v>43</v>
      </c>
      <c r="B41" s="25"/>
      <c r="C41" s="47">
        <f aca="true" t="shared" si="10" ref="C41:L41">+$B$39+$B$40</f>
        <v>537.9148889987785</v>
      </c>
      <c r="D41" s="36">
        <f t="shared" si="10"/>
        <v>537.9148889987785</v>
      </c>
      <c r="E41" s="36">
        <f t="shared" si="10"/>
        <v>537.9148889987785</v>
      </c>
      <c r="F41" s="36">
        <f t="shared" si="10"/>
        <v>537.9148889987785</v>
      </c>
      <c r="G41" s="36">
        <f t="shared" si="10"/>
        <v>537.9148889987785</v>
      </c>
      <c r="H41" s="36">
        <f t="shared" si="10"/>
        <v>537.9148889987785</v>
      </c>
      <c r="I41" s="36">
        <f t="shared" si="10"/>
        <v>537.9148889987785</v>
      </c>
      <c r="J41" s="36">
        <f t="shared" si="10"/>
        <v>537.9148889987785</v>
      </c>
      <c r="K41" s="36">
        <f t="shared" si="10"/>
        <v>537.9148889987785</v>
      </c>
      <c r="L41" s="36">
        <f t="shared" si="10"/>
        <v>537.9148889987785</v>
      </c>
      <c r="M41" s="38"/>
      <c r="N41" s="38"/>
    </row>
    <row r="42" spans="1:14" ht="12.75">
      <c r="A42" s="28" t="s">
        <v>44</v>
      </c>
      <c r="B42" s="25"/>
      <c r="C42" s="47">
        <f>+C38+C41</f>
        <v>-2151.659555995114</v>
      </c>
      <c r="D42" s="47">
        <f aca="true" t="shared" si="11" ref="D42:L42">+D38+D41</f>
        <v>5456.250185754469</v>
      </c>
      <c r="E42" s="47">
        <f t="shared" si="11"/>
        <v>4175.349803108187</v>
      </c>
      <c r="F42" s="47">
        <f t="shared" si="11"/>
        <v>4622.634461127044</v>
      </c>
      <c r="G42" s="47">
        <f t="shared" si="11"/>
        <v>5108.727133299782</v>
      </c>
      <c r="H42" s="47">
        <f t="shared" si="11"/>
        <v>5559.942466484591</v>
      </c>
      <c r="I42" s="47">
        <f t="shared" si="11"/>
        <v>6162.678737869004</v>
      </c>
      <c r="J42" s="47">
        <f t="shared" si="11"/>
        <v>6764.47916085527</v>
      </c>
      <c r="K42" s="47">
        <f t="shared" si="11"/>
        <v>7411.049798627398</v>
      </c>
      <c r="L42" s="47">
        <f t="shared" si="11"/>
        <v>5642.101720261238</v>
      </c>
      <c r="M42" s="38"/>
      <c r="N42" s="38"/>
    </row>
    <row r="43" spans="4:15" ht="12.75" customHeight="1">
      <c r="D43" s="48"/>
      <c r="E43" s="4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2.75" customHeight="1">
      <c r="A44" s="200" t="s">
        <v>93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38"/>
      <c r="N44" s="38"/>
      <c r="O44" s="38"/>
    </row>
    <row r="45" spans="1:7" ht="12.75" customHeight="1">
      <c r="A45" s="49"/>
      <c r="B45" s="50"/>
      <c r="C45" s="26"/>
      <c r="D45" s="26"/>
      <c r="E45" s="26"/>
      <c r="F45" s="26"/>
      <c r="G45" s="26"/>
    </row>
    <row r="46" spans="1:7" ht="12.75" customHeight="1">
      <c r="A46" s="49"/>
      <c r="B46" s="51"/>
      <c r="C46" s="26"/>
      <c r="D46" s="26"/>
      <c r="E46" s="26"/>
      <c r="F46" s="26"/>
      <c r="G46" s="26"/>
    </row>
    <row r="47" spans="1:7" ht="12.75" customHeight="1">
      <c r="A47" s="49"/>
      <c r="B47" s="51"/>
      <c r="C47" s="26"/>
      <c r="D47" s="26"/>
      <c r="E47" s="26"/>
      <c r="F47" s="26"/>
      <c r="G47" s="26"/>
    </row>
    <row r="48" spans="1:12" ht="12.75" customHeight="1">
      <c r="A48" s="26"/>
      <c r="B48" s="26"/>
      <c r="C48" s="26"/>
      <c r="D48" s="26"/>
      <c r="E48" s="26"/>
      <c r="F48" s="26"/>
      <c r="G48" s="26"/>
      <c r="L48" s="33">
        <v>216</v>
      </c>
    </row>
    <row r="49" spans="1:7" ht="12.75" customHeight="1">
      <c r="A49" s="52"/>
      <c r="B49" s="53"/>
      <c r="C49" s="26"/>
      <c r="D49" s="26"/>
      <c r="E49" s="26"/>
      <c r="F49" s="26"/>
      <c r="G49" s="26"/>
    </row>
    <row r="50" spans="1:7" ht="12.75" customHeight="1">
      <c r="A50" s="52"/>
      <c r="B50" s="54"/>
      <c r="C50" s="26"/>
      <c r="D50" s="26"/>
      <c r="E50" s="26"/>
      <c r="F50" s="26"/>
      <c r="G50" s="26"/>
    </row>
    <row r="51" spans="1:7" ht="12.75" customHeight="1">
      <c r="A51" s="26"/>
      <c r="B51" s="26"/>
      <c r="C51" s="26"/>
      <c r="D51" s="26"/>
      <c r="E51" s="26"/>
      <c r="F51" s="26"/>
      <c r="G51" s="26"/>
    </row>
    <row r="52" spans="1:7" ht="12.75" customHeight="1">
      <c r="A52" s="26"/>
      <c r="B52" s="26"/>
      <c r="C52" s="26"/>
      <c r="D52" s="26"/>
      <c r="E52" s="26"/>
      <c r="F52" s="26"/>
      <c r="G52" s="26"/>
    </row>
    <row r="53" spans="1:7" ht="12.75" customHeight="1">
      <c r="A53" s="55"/>
      <c r="B53" s="53"/>
      <c r="C53" s="26"/>
      <c r="D53" s="26"/>
      <c r="E53" s="26"/>
      <c r="F53" s="26"/>
      <c r="G53" s="26"/>
    </row>
    <row r="54" spans="1:7" ht="12.75" customHeight="1">
      <c r="A54" s="55"/>
      <c r="B54" s="26"/>
      <c r="C54" s="26"/>
      <c r="D54" s="26"/>
      <c r="E54" s="26"/>
      <c r="F54" s="26"/>
      <c r="G54" s="26"/>
    </row>
    <row r="55" spans="1:7" ht="12.75" customHeight="1">
      <c r="A55" s="55"/>
      <c r="B55" s="53"/>
      <c r="C55" s="26"/>
      <c r="D55" s="26"/>
      <c r="E55" s="26"/>
      <c r="F55" s="26"/>
      <c r="G55" s="26"/>
    </row>
    <row r="56" spans="1:7" ht="12.75" customHeight="1">
      <c r="A56" s="55"/>
      <c r="B56" s="56"/>
      <c r="C56" s="26"/>
      <c r="D56" s="26"/>
      <c r="E56" s="26"/>
      <c r="F56" s="26"/>
      <c r="G56" s="26"/>
    </row>
    <row r="57" spans="1:7" ht="12.75" customHeight="1">
      <c r="A57" s="55"/>
      <c r="B57" s="56"/>
      <c r="C57" s="26"/>
      <c r="D57" s="26"/>
      <c r="E57" s="26"/>
      <c r="F57" s="26"/>
      <c r="G57" s="26"/>
    </row>
    <row r="58" spans="1:15" ht="12.75" customHeight="1">
      <c r="A58" s="57"/>
      <c r="B58" s="58"/>
      <c r="C58" s="26"/>
      <c r="D58" s="58"/>
      <c r="E58" s="58"/>
      <c r="F58" s="58"/>
      <c r="G58" s="58"/>
      <c r="H58" s="59"/>
      <c r="I58" s="59"/>
      <c r="J58" s="59"/>
      <c r="K58" s="59"/>
      <c r="L58" s="59"/>
      <c r="M58" s="59"/>
      <c r="N58" s="59"/>
      <c r="O58" s="59"/>
    </row>
    <row r="59" spans="1:15" ht="19.5" customHeight="1">
      <c r="A59" s="60"/>
      <c r="B59" s="58"/>
      <c r="C59" s="26"/>
      <c r="D59" s="58"/>
      <c r="E59" s="58"/>
      <c r="F59" s="58"/>
      <c r="G59" s="58"/>
      <c r="H59" s="59"/>
      <c r="I59" s="59"/>
      <c r="J59" s="59"/>
      <c r="K59" s="59"/>
      <c r="L59" s="59"/>
      <c r="M59" s="59"/>
      <c r="N59" s="59"/>
      <c r="O59" s="59"/>
    </row>
    <row r="60" spans="1:15" ht="13.5" customHeight="1">
      <c r="A60" s="61"/>
      <c r="B60" s="58"/>
      <c r="C60" s="26"/>
      <c r="D60" s="58"/>
      <c r="E60" s="58"/>
      <c r="F60" s="58"/>
      <c r="G60" s="58"/>
      <c r="H60" s="59"/>
      <c r="I60" s="59"/>
      <c r="J60" s="59"/>
      <c r="K60" s="59"/>
      <c r="L60" s="59"/>
      <c r="M60" s="59"/>
      <c r="N60" s="59"/>
      <c r="O60" s="59"/>
    </row>
    <row r="61" spans="1:15" ht="13.5" customHeight="1">
      <c r="A61" s="62"/>
      <c r="B61" s="58"/>
      <c r="C61" s="26"/>
      <c r="D61" s="58"/>
      <c r="E61" s="58"/>
      <c r="F61" s="58"/>
      <c r="G61" s="58"/>
      <c r="H61" s="59"/>
      <c r="I61" s="59"/>
      <c r="J61" s="59"/>
      <c r="K61" s="59"/>
      <c r="L61" s="59"/>
      <c r="M61" s="59"/>
      <c r="N61" s="59"/>
      <c r="O61" s="59"/>
    </row>
    <row r="62" spans="1:15" ht="13.5" customHeight="1">
      <c r="A62" s="62"/>
      <c r="B62" s="58"/>
      <c r="C62" s="26"/>
      <c r="D62" s="58"/>
      <c r="E62" s="58"/>
      <c r="F62" s="58"/>
      <c r="G62" s="58"/>
      <c r="H62" s="59"/>
      <c r="I62" s="59"/>
      <c r="J62" s="59"/>
      <c r="K62" s="59"/>
      <c r="L62" s="59"/>
      <c r="M62" s="59"/>
      <c r="N62" s="59"/>
      <c r="O62" s="59"/>
    </row>
    <row r="63" spans="1:15" ht="13.5" customHeight="1">
      <c r="A63" s="62"/>
      <c r="B63" s="58"/>
      <c r="C63" s="26"/>
      <c r="D63" s="58"/>
      <c r="E63" s="58"/>
      <c r="F63" s="58"/>
      <c r="G63" s="58"/>
      <c r="H63" s="59"/>
      <c r="I63" s="59"/>
      <c r="J63" s="59"/>
      <c r="K63" s="59"/>
      <c r="L63" s="59"/>
      <c r="M63" s="59"/>
      <c r="N63" s="59"/>
      <c r="O63" s="59"/>
    </row>
    <row r="64" spans="1:15" ht="13.5" customHeight="1">
      <c r="A64" s="57"/>
      <c r="B64" s="58"/>
      <c r="C64" s="57"/>
      <c r="D64" s="58"/>
      <c r="E64" s="58"/>
      <c r="F64" s="58"/>
      <c r="G64" s="58"/>
      <c r="H64" s="59"/>
      <c r="I64" s="59"/>
      <c r="J64" s="59"/>
      <c r="K64" s="59"/>
      <c r="L64" s="59"/>
      <c r="M64" s="59"/>
      <c r="N64" s="59"/>
      <c r="O64" s="59"/>
    </row>
    <row r="65" spans="1:15" ht="13.5" customHeight="1">
      <c r="A65" s="26"/>
      <c r="B65" s="54"/>
      <c r="C65" s="26"/>
      <c r="D65" s="54"/>
      <c r="E65" s="54"/>
      <c r="F65" s="54"/>
      <c r="G65" s="54"/>
      <c r="H65" s="38"/>
      <c r="I65" s="38"/>
      <c r="J65" s="38"/>
      <c r="K65" s="38"/>
      <c r="L65" s="38"/>
      <c r="M65" s="38"/>
      <c r="N65" s="38"/>
      <c r="O65" s="38"/>
    </row>
    <row r="66" spans="1:7" ht="12.75">
      <c r="A66" s="26"/>
      <c r="B66" s="26"/>
      <c r="C66" s="26"/>
      <c r="D66" s="26"/>
      <c r="E66" s="26"/>
      <c r="F66" s="26"/>
      <c r="G66" s="26"/>
    </row>
    <row r="143" spans="1:2" ht="12.75">
      <c r="A143" s="55"/>
      <c r="B143" s="53"/>
    </row>
    <row r="144" spans="1:2" ht="12.75">
      <c r="A144" s="26"/>
      <c r="B144" s="26"/>
    </row>
    <row r="150" ht="12.75">
      <c r="B150" s="39"/>
    </row>
    <row r="151" spans="1:27" s="39" customFormat="1" ht="12.75">
      <c r="A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ht="12.75">
      <c r="B152" s="39"/>
    </row>
    <row r="153" ht="12.75">
      <c r="B153" s="39"/>
    </row>
    <row r="154" ht="12.75">
      <c r="B154" s="39"/>
    </row>
    <row r="155" ht="12.75">
      <c r="B155" s="39"/>
    </row>
    <row r="212" s="39" customFormat="1" ht="12.75"/>
    <row r="213" ht="12.75" hidden="1"/>
  </sheetData>
  <mergeCells count="3">
    <mergeCell ref="A1:M1"/>
    <mergeCell ref="A44:L44"/>
    <mergeCell ref="D2:H2"/>
  </mergeCells>
  <printOptions/>
  <pageMargins left="0.8267716535433072" right="0.31496062992125984" top="1.09" bottom="1.8110236220472442" header="0.35433070866141736" footer="1.3385826771653544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4"/>
  <sheetViews>
    <sheetView showGridLines="0" workbookViewId="0" topLeftCell="A37">
      <selection activeCell="B3" sqref="B3:F3"/>
    </sheetView>
  </sheetViews>
  <sheetFormatPr defaultColWidth="11.421875" defaultRowHeight="12.75"/>
  <cols>
    <col min="1" max="1" width="11.421875" style="63" customWidth="1"/>
    <col min="2" max="2" width="6.28125" style="63" customWidth="1"/>
    <col min="3" max="3" width="18.8515625" style="63" customWidth="1"/>
    <col min="4" max="4" width="11.421875" style="63" customWidth="1"/>
    <col min="5" max="5" width="14.28125" style="63" customWidth="1"/>
    <col min="6" max="16384" width="11.421875" style="63" customWidth="1"/>
  </cols>
  <sheetData>
    <row r="1" ht="12.75"/>
    <row r="2" ht="12.75"/>
    <row r="3" spans="2:8" ht="15.75">
      <c r="B3" s="201" t="s">
        <v>185</v>
      </c>
      <c r="C3" s="201"/>
      <c r="D3" s="201"/>
      <c r="E3" s="201"/>
      <c r="F3" s="201"/>
      <c r="G3" s="100"/>
      <c r="H3" s="100"/>
    </row>
    <row r="4" spans="2:8" ht="15.75">
      <c r="B4" s="201" t="s">
        <v>168</v>
      </c>
      <c r="C4" s="201"/>
      <c r="D4" s="201"/>
      <c r="E4" s="201"/>
      <c r="F4" s="201"/>
      <c r="G4" s="100"/>
      <c r="H4" s="100"/>
    </row>
    <row r="5" ht="7.5" customHeight="1" thickBot="1"/>
    <row r="6" spans="3:5" ht="13.5" thickBot="1">
      <c r="C6" s="203" t="s">
        <v>95</v>
      </c>
      <c r="D6" s="204"/>
      <c r="E6" s="205"/>
    </row>
    <row r="7" spans="3:5" ht="12.75">
      <c r="C7" s="22"/>
      <c r="D7" s="77"/>
      <c r="E7" s="78"/>
    </row>
    <row r="8" spans="3:5" ht="12.75">
      <c r="C8" s="79" t="s">
        <v>96</v>
      </c>
      <c r="D8" s="14"/>
      <c r="E8" s="80"/>
    </row>
    <row r="9" spans="3:5" ht="12.75">
      <c r="C9" s="81" t="s">
        <v>97</v>
      </c>
      <c r="D9" s="3"/>
      <c r="E9" s="82">
        <v>315.22606632889165</v>
      </c>
    </row>
    <row r="10" spans="3:5" ht="12.75">
      <c r="C10" s="83" t="s">
        <v>98</v>
      </c>
      <c r="D10" s="3"/>
      <c r="E10" s="80">
        <v>315.22606632889165</v>
      </c>
    </row>
    <row r="11" spans="3:5" ht="12.75">
      <c r="C11" s="81"/>
      <c r="D11" s="3"/>
      <c r="E11" s="80"/>
    </row>
    <row r="12" spans="3:5" ht="12.75">
      <c r="C12" s="79" t="s">
        <v>99</v>
      </c>
      <c r="D12" s="3"/>
      <c r="E12" s="80"/>
    </row>
    <row r="13" spans="3:5" ht="12.75">
      <c r="C13" s="81" t="s">
        <v>100</v>
      </c>
      <c r="D13" s="3"/>
      <c r="E13" s="80">
        <v>3063.5</v>
      </c>
    </row>
    <row r="14" spans="3:5" ht="12.75">
      <c r="C14" s="81" t="s">
        <v>101</v>
      </c>
      <c r="D14" s="3"/>
      <c r="E14" s="80">
        <v>2594</v>
      </c>
    </row>
    <row r="15" spans="3:5" ht="12.75">
      <c r="C15" s="81" t="s">
        <v>102</v>
      </c>
      <c r="D15" s="3"/>
      <c r="E15" s="80">
        <v>5000</v>
      </c>
    </row>
    <row r="16" spans="3:5" ht="12.75">
      <c r="C16" s="81" t="s">
        <v>53</v>
      </c>
      <c r="D16" s="3"/>
      <c r="E16" s="82">
        <v>64</v>
      </c>
    </row>
    <row r="17" spans="3:5" ht="12.75">
      <c r="C17" s="83" t="s">
        <v>103</v>
      </c>
      <c r="D17" s="3"/>
      <c r="E17" s="80">
        <f>+E13+E14+E15+E16</f>
        <v>10721.5</v>
      </c>
    </row>
    <row r="18" spans="3:5" ht="12.75">
      <c r="C18" s="83"/>
      <c r="D18" s="3"/>
      <c r="E18" s="80"/>
    </row>
    <row r="19" spans="3:5" ht="12.75">
      <c r="C19" s="79" t="s">
        <v>104</v>
      </c>
      <c r="D19" s="3"/>
      <c r="E19" s="80"/>
    </row>
    <row r="20" spans="3:5" ht="12.75">
      <c r="C20" s="84" t="s">
        <v>105</v>
      </c>
      <c r="D20" s="3"/>
      <c r="E20" s="80">
        <v>300</v>
      </c>
    </row>
    <row r="21" spans="3:5" ht="12.75">
      <c r="C21" s="84" t="s">
        <v>106</v>
      </c>
      <c r="D21" s="3"/>
      <c r="E21" s="80">
        <v>150</v>
      </c>
    </row>
    <row r="22" spans="3:5" ht="12.75">
      <c r="C22" s="83" t="s">
        <v>107</v>
      </c>
      <c r="D22" s="3"/>
      <c r="E22" s="80">
        <v>450</v>
      </c>
    </row>
    <row r="23" spans="3:5" ht="12.75">
      <c r="C23" s="81"/>
      <c r="D23" s="3"/>
      <c r="E23" s="85"/>
    </row>
    <row r="24" spans="3:5" ht="13.5" thickBot="1">
      <c r="C24" s="86" t="s">
        <v>108</v>
      </c>
      <c r="D24" s="3"/>
      <c r="E24" s="87">
        <f>+E10+E17+E22</f>
        <v>11486.72606632889</v>
      </c>
    </row>
    <row r="25" spans="3:5" ht="14.25" thickBot="1" thickTop="1">
      <c r="C25" s="88"/>
      <c r="D25" s="89"/>
      <c r="E25" s="90"/>
    </row>
    <row r="26" spans="3:5" ht="13.5" thickBot="1">
      <c r="C26" s="203" t="s">
        <v>109</v>
      </c>
      <c r="D26" s="204"/>
      <c r="E26" s="205"/>
    </row>
    <row r="27" spans="3:5" ht="12.75">
      <c r="C27" s="21"/>
      <c r="D27" s="91"/>
      <c r="E27" s="92"/>
    </row>
    <row r="28" spans="3:5" ht="12.75">
      <c r="C28" s="79" t="s">
        <v>110</v>
      </c>
      <c r="D28" s="93"/>
      <c r="E28" s="80"/>
    </row>
    <row r="29" spans="3:5" ht="12.75">
      <c r="C29" s="81" t="s">
        <v>111</v>
      </c>
      <c r="D29" s="8">
        <v>0.6</v>
      </c>
      <c r="E29" s="82">
        <f>+E24*D29</f>
        <v>6892.035639797335</v>
      </c>
    </row>
    <row r="30" spans="3:5" ht="12.75">
      <c r="C30" s="83" t="s">
        <v>112</v>
      </c>
      <c r="D30" s="8"/>
      <c r="E30" s="80">
        <f>+E29</f>
        <v>6892.035639797335</v>
      </c>
    </row>
    <row r="31" spans="3:5" ht="13.5" thickBot="1">
      <c r="C31" s="81"/>
      <c r="D31" s="14"/>
      <c r="E31" s="85"/>
    </row>
    <row r="32" spans="3:5" ht="13.5" thickBot="1">
      <c r="C32" s="203" t="s">
        <v>113</v>
      </c>
      <c r="D32" s="204"/>
      <c r="E32" s="205"/>
    </row>
    <row r="33" spans="3:5" ht="12.75">
      <c r="C33" s="81"/>
      <c r="D33" s="14"/>
      <c r="E33" s="85"/>
    </row>
    <row r="34" spans="3:5" ht="12.75">
      <c r="C34" s="94" t="s">
        <v>114</v>
      </c>
      <c r="D34" s="95">
        <f>100%-D29</f>
        <v>0.4</v>
      </c>
      <c r="E34" s="82">
        <f>+E24*D34</f>
        <v>4594.690426531556</v>
      </c>
    </row>
    <row r="35" spans="3:5" ht="12.75">
      <c r="C35" s="83" t="s">
        <v>115</v>
      </c>
      <c r="D35" s="14"/>
      <c r="E35" s="80">
        <f>+E34</f>
        <v>4594.690426531556</v>
      </c>
    </row>
    <row r="36" spans="3:5" ht="12.75">
      <c r="C36" s="81"/>
      <c r="D36" s="14"/>
      <c r="E36" s="85"/>
    </row>
    <row r="37" spans="3:5" ht="12.75">
      <c r="C37" s="81"/>
      <c r="D37" s="14"/>
      <c r="E37" s="85"/>
    </row>
    <row r="38" spans="3:5" ht="13.5" thickBot="1">
      <c r="C38" s="86" t="s">
        <v>116</v>
      </c>
      <c r="D38" s="3"/>
      <c r="E38" s="87">
        <f>+E35+E30</f>
        <v>11486.72606632889</v>
      </c>
    </row>
    <row r="39" spans="3:5" ht="14.25" thickBot="1" thickTop="1">
      <c r="C39" s="88"/>
      <c r="D39" s="96"/>
      <c r="E39" s="90"/>
    </row>
    <row r="40" spans="3:5" ht="13.5" thickBot="1">
      <c r="C40" s="1"/>
      <c r="D40" s="10"/>
      <c r="E40" s="1"/>
    </row>
    <row r="41" spans="3:5" ht="12.75">
      <c r="C41" s="101" t="s">
        <v>117</v>
      </c>
      <c r="D41" s="102" t="s">
        <v>118</v>
      </c>
      <c r="E41" s="103" t="s">
        <v>119</v>
      </c>
    </row>
    <row r="42" spans="3:5" ht="13.5" thickBot="1">
      <c r="C42" s="97">
        <v>0.5</v>
      </c>
      <c r="D42" s="98">
        <f>+E34/E42</f>
        <v>229.7345213265778</v>
      </c>
      <c r="E42" s="99">
        <v>20</v>
      </c>
    </row>
    <row r="44" spans="3:5" ht="12.75">
      <c r="C44" s="202" t="s">
        <v>93</v>
      </c>
      <c r="D44" s="202"/>
      <c r="E44" s="202"/>
    </row>
  </sheetData>
  <mergeCells count="6">
    <mergeCell ref="B3:F3"/>
    <mergeCell ref="B4:F4"/>
    <mergeCell ref="C44:E44"/>
    <mergeCell ref="C6:E6"/>
    <mergeCell ref="C26:E26"/>
    <mergeCell ref="C32:E32"/>
  </mergeCells>
  <printOptions/>
  <pageMargins left="0.9448818897637796" right="0.7874015748031497" top="0.84" bottom="1.062992125984252" header="0.38" footer="0"/>
  <pageSetup horizontalDpi="600" verticalDpi="600" orientation="portrait" paperSize="9" r:id="rId3"/>
  <headerFooter alignWithMargins="0">
    <oddHeader>&amp;R217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8"/>
  <sheetViews>
    <sheetView showGridLines="0" workbookViewId="0" topLeftCell="A1">
      <selection activeCell="B3" sqref="B3:F3"/>
    </sheetView>
  </sheetViews>
  <sheetFormatPr defaultColWidth="11.421875" defaultRowHeight="12.75"/>
  <cols>
    <col min="5" max="5" width="11.7109375" style="0" customWidth="1"/>
  </cols>
  <sheetData>
    <row r="3" spans="2:6" ht="12.75">
      <c r="B3" s="206" t="s">
        <v>171</v>
      </c>
      <c r="C3" s="206"/>
      <c r="D3" s="206"/>
      <c r="E3" s="206"/>
      <c r="F3" s="206"/>
    </row>
    <row r="4" spans="2:6" ht="12.75">
      <c r="B4" s="207" t="s">
        <v>172</v>
      </c>
      <c r="C4" s="207"/>
      <c r="D4" s="207"/>
      <c r="E4" s="207"/>
      <c r="F4" s="207"/>
    </row>
    <row r="5" ht="8.25" customHeight="1"/>
    <row r="6" spans="2:6" ht="38.25">
      <c r="B6" s="104" t="s">
        <v>120</v>
      </c>
      <c r="C6" s="105" t="s">
        <v>121</v>
      </c>
      <c r="D6" s="105" t="s">
        <v>122</v>
      </c>
      <c r="E6" s="105" t="s">
        <v>123</v>
      </c>
      <c r="F6" s="105" t="s">
        <v>124</v>
      </c>
    </row>
    <row r="7" spans="2:6" ht="12.75">
      <c r="B7" s="18">
        <v>0</v>
      </c>
      <c r="C7" s="193">
        <v>-13548.576266328893</v>
      </c>
      <c r="D7" s="193"/>
      <c r="E7" s="193"/>
      <c r="F7" s="193"/>
    </row>
    <row r="8" spans="2:6" ht="12.75">
      <c r="B8" s="18">
        <v>1</v>
      </c>
      <c r="C8" s="193">
        <v>-13791.491594500516</v>
      </c>
      <c r="D8" s="193">
        <v>-327.09395592917963</v>
      </c>
      <c r="E8" s="193">
        <v>-84.17862775755624</v>
      </c>
      <c r="F8" s="193">
        <v>-242.9153281716234</v>
      </c>
    </row>
    <row r="9" spans="2:6" ht="12.75">
      <c r="B9" s="18">
        <v>2</v>
      </c>
      <c r="C9" s="193">
        <v>-6635.675558655172</v>
      </c>
      <c r="D9" s="193">
        <v>9635.555700348506</v>
      </c>
      <c r="E9" s="193">
        <v>2479.739664503162</v>
      </c>
      <c r="F9" s="193">
        <v>7155.816035845344</v>
      </c>
    </row>
    <row r="10" spans="2:6" ht="12.75">
      <c r="B10" s="18">
        <v>3</v>
      </c>
      <c r="C10" s="193">
        <v>-6598.929646527184</v>
      </c>
      <c r="D10" s="193">
        <v>49.47965141861175</v>
      </c>
      <c r="E10" s="193">
        <v>12.733739290623781</v>
      </c>
      <c r="F10" s="193">
        <v>36.74591212798797</v>
      </c>
    </row>
    <row r="11" spans="2:6" ht="12.75">
      <c r="B11" s="18">
        <v>4</v>
      </c>
      <c r="C11" s="193">
        <v>-2871.4085270808523</v>
      </c>
      <c r="D11" s="193">
        <v>5019.2371059756515</v>
      </c>
      <c r="E11" s="193">
        <v>1291.7159865293202</v>
      </c>
      <c r="F11" s="193">
        <v>3727.5211194463313</v>
      </c>
    </row>
    <row r="12" spans="2:6" ht="12.75">
      <c r="B12" s="18">
        <v>5</v>
      </c>
      <c r="C12" s="193">
        <v>1467.3043767146132</v>
      </c>
      <c r="D12" s="193">
        <v>5842.2281460179165</v>
      </c>
      <c r="E12" s="193">
        <v>1503.5152422224508</v>
      </c>
      <c r="F12" s="193">
        <v>4338.7129037954655</v>
      </c>
    </row>
    <row r="13" spans="2:6" ht="12.75">
      <c r="B13" s="18">
        <v>6</v>
      </c>
      <c r="C13" s="193">
        <v>4204.7523011421345</v>
      </c>
      <c r="D13" s="193">
        <v>3686.0690409725994</v>
      </c>
      <c r="E13" s="193">
        <v>948.6211165450775</v>
      </c>
      <c r="F13" s="193">
        <v>2737.4479244275217</v>
      </c>
    </row>
    <row r="14" spans="2:6" ht="12.75">
      <c r="B14" s="18">
        <v>7</v>
      </c>
      <c r="C14" s="193">
        <v>8888.299376205632</v>
      </c>
      <c r="D14" s="193">
        <v>6306.559376445378</v>
      </c>
      <c r="E14" s="193">
        <v>1623.0123013818811</v>
      </c>
      <c r="F14" s="193">
        <v>4683.547075063497</v>
      </c>
    </row>
    <row r="15" spans="2:6" ht="12.75">
      <c r="B15" s="18">
        <v>8</v>
      </c>
      <c r="C15" s="193">
        <v>14259.595439407909</v>
      </c>
      <c r="D15" s="193">
        <v>7232.637359707377</v>
      </c>
      <c r="E15" s="193">
        <v>1861.3412965051014</v>
      </c>
      <c r="F15" s="193">
        <v>5371.296063202276</v>
      </c>
    </row>
    <row r="16" spans="2:6" ht="12.75">
      <c r="B16" s="18">
        <v>9</v>
      </c>
      <c r="C16" s="193">
        <v>20017.72864344478</v>
      </c>
      <c r="D16" s="193">
        <v>7753.527052623439</v>
      </c>
      <c r="E16" s="193">
        <v>1995.393848586567</v>
      </c>
      <c r="F16" s="193">
        <v>5758.1332040368725</v>
      </c>
    </row>
    <row r="17" spans="2:6" ht="12.75">
      <c r="B17" s="18">
        <v>10</v>
      </c>
      <c r="C17" s="193">
        <v>35568.74595366398</v>
      </c>
      <c r="D17" s="193">
        <v>20939.986821782426</v>
      </c>
      <c r="E17" s="193">
        <v>5388.96951156323</v>
      </c>
      <c r="F17" s="193">
        <v>15551.017310219195</v>
      </c>
    </row>
    <row r="18" spans="2:6" ht="12.75">
      <c r="B18" s="208" t="s">
        <v>93</v>
      </c>
      <c r="C18" s="208"/>
      <c r="D18" s="208"/>
      <c r="E18" s="208"/>
      <c r="F18" s="208"/>
    </row>
  </sheetData>
  <mergeCells count="3">
    <mergeCell ref="B3:F3"/>
    <mergeCell ref="B4:F4"/>
    <mergeCell ref="B18:F18"/>
  </mergeCells>
  <printOptions/>
  <pageMargins left="0.9448818897637796" right="0.7874015748031497" top="1.1" bottom="0.984251968503937" header="0.66" footer="0"/>
  <pageSetup horizontalDpi="600" verticalDpi="600" orientation="portrait" paperSize="9" r:id="rId1"/>
  <headerFooter alignWithMargins="0">
    <oddHeader>&amp;R218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H39"/>
  <sheetViews>
    <sheetView showGridLines="0" workbookViewId="0" topLeftCell="A1">
      <selection activeCell="B3" sqref="B3:G3"/>
    </sheetView>
  </sheetViews>
  <sheetFormatPr defaultColWidth="11.421875" defaultRowHeight="12.75"/>
  <cols>
    <col min="1" max="1" width="2.28125" style="33" customWidth="1"/>
    <col min="2" max="2" width="11.7109375" style="33" customWidth="1"/>
    <col min="3" max="3" width="11.28125" style="33" customWidth="1"/>
    <col min="4" max="4" width="10.00390625" style="33" customWidth="1"/>
    <col min="5" max="5" width="9.57421875" style="33" customWidth="1"/>
    <col min="6" max="6" width="10.421875" style="33" customWidth="1"/>
    <col min="7" max="7" width="10.57421875" style="33" customWidth="1"/>
    <col min="8" max="9" width="11.421875" style="33" customWidth="1"/>
    <col min="10" max="12" width="12.140625" style="33" bestFit="1" customWidth="1"/>
    <col min="13" max="16384" width="11.421875" style="33" customWidth="1"/>
  </cols>
  <sheetData>
    <row r="1" ht="12.75"/>
    <row r="2" ht="12.75"/>
    <row r="3" spans="2:7" ht="15.75">
      <c r="B3" s="201" t="s">
        <v>173</v>
      </c>
      <c r="C3" s="201"/>
      <c r="D3" s="201"/>
      <c r="E3" s="201"/>
      <c r="F3" s="201"/>
      <c r="G3" s="201"/>
    </row>
    <row r="4" ht="12.75"/>
    <row r="5" spans="3:8" ht="12.75">
      <c r="C5" s="198" t="s">
        <v>174</v>
      </c>
      <c r="D5" s="198"/>
      <c r="E5" s="198"/>
      <c r="F5" s="198"/>
      <c r="G5" s="65"/>
      <c r="H5" s="65"/>
    </row>
    <row r="6" ht="6.75" customHeight="1" thickBot="1"/>
    <row r="7" spans="4:5" ht="13.5" thickBot="1">
      <c r="D7" s="210" t="s">
        <v>79</v>
      </c>
      <c r="E7" s="211"/>
    </row>
    <row r="8" spans="4:5" ht="12.75">
      <c r="D8" s="66" t="s">
        <v>81</v>
      </c>
      <c r="E8" s="67">
        <f>+E18</f>
        <v>6892.035639797335</v>
      </c>
    </row>
    <row r="9" spans="4:5" ht="12.75">
      <c r="D9" s="68" t="s">
        <v>82</v>
      </c>
      <c r="E9" s="69">
        <v>0.1266</v>
      </c>
    </row>
    <row r="10" spans="4:5" ht="12.75">
      <c r="D10" s="68" t="s">
        <v>84</v>
      </c>
      <c r="E10" s="70">
        <f>+E19</f>
        <v>10</v>
      </c>
    </row>
    <row r="11" spans="4:5" ht="12.75">
      <c r="D11" s="68" t="s">
        <v>86</v>
      </c>
      <c r="E11" s="71">
        <f>(E8-E21)</f>
        <v>6892.035639797335</v>
      </c>
    </row>
    <row r="12" spans="4:5" ht="13.5" thickBot="1">
      <c r="D12" s="72" t="s">
        <v>87</v>
      </c>
      <c r="E12" s="73">
        <f>+E8-E11</f>
        <v>0</v>
      </c>
    </row>
    <row r="13" spans="4:5" ht="12.75">
      <c r="D13" s="209" t="s">
        <v>94</v>
      </c>
      <c r="E13" s="209"/>
    </row>
    <row r="15" spans="3:6" ht="12.75">
      <c r="C15" s="198" t="s">
        <v>175</v>
      </c>
      <c r="D15" s="198"/>
      <c r="E15" s="198"/>
      <c r="F15" s="198"/>
    </row>
    <row r="16" ht="8.25" customHeight="1" thickBot="1"/>
    <row r="17" spans="4:5" ht="13.5" thickBot="1">
      <c r="D17" s="210" t="s">
        <v>78</v>
      </c>
      <c r="E17" s="211"/>
    </row>
    <row r="18" spans="4:5" ht="12.75">
      <c r="D18" s="66" t="s">
        <v>80</v>
      </c>
      <c r="E18" s="67">
        <f>+'[1]BALANC'!D26</f>
        <v>6892.035639797335</v>
      </c>
    </row>
    <row r="19" spans="4:5" ht="12.75">
      <c r="D19" s="68" t="s">
        <v>92</v>
      </c>
      <c r="E19" s="70">
        <v>10</v>
      </c>
    </row>
    <row r="20" spans="4:5" ht="12.75">
      <c r="D20" s="74" t="s">
        <v>83</v>
      </c>
      <c r="E20" s="75">
        <v>0.6</v>
      </c>
    </row>
    <row r="21" spans="4:5" ht="13.5" thickBot="1">
      <c r="D21" s="72" t="s">
        <v>85</v>
      </c>
      <c r="E21" s="76">
        <f>+(0)*E18</f>
        <v>0</v>
      </c>
    </row>
    <row r="22" spans="4:5" ht="12.75">
      <c r="D22" s="209" t="s">
        <v>94</v>
      </c>
      <c r="E22" s="209"/>
    </row>
    <row r="24" spans="3:7" ht="12.75">
      <c r="C24" s="198" t="s">
        <v>176</v>
      </c>
      <c r="D24" s="198"/>
      <c r="E24" s="198"/>
      <c r="F24" s="198"/>
      <c r="G24" s="198"/>
    </row>
    <row r="25" ht="3.75" customHeight="1"/>
    <row r="26" spans="3:7" ht="12.75">
      <c r="C26" s="31" t="s">
        <v>88</v>
      </c>
      <c r="D26" s="31" t="s">
        <v>89</v>
      </c>
      <c r="E26" s="31" t="s">
        <v>37</v>
      </c>
      <c r="F26" s="31" t="s">
        <v>90</v>
      </c>
      <c r="G26" s="31" t="s">
        <v>91</v>
      </c>
    </row>
    <row r="27" spans="3:7" ht="12.75">
      <c r="C27" s="31"/>
      <c r="D27" s="31"/>
      <c r="E27" s="31"/>
      <c r="F27" s="31"/>
      <c r="G27" s="36">
        <f>+Prest!E8</f>
        <v>6892.035639797335</v>
      </c>
    </row>
    <row r="28" spans="3:7" ht="12.75">
      <c r="C28" s="25">
        <v>1</v>
      </c>
      <c r="D28" s="36">
        <f>+E28</f>
        <v>872.5317119983425</v>
      </c>
      <c r="E28" s="36">
        <f>+G27*Prest!$E$9</f>
        <v>872.5317119983425</v>
      </c>
      <c r="F28" s="36">
        <v>0</v>
      </c>
      <c r="G28" s="36">
        <f>+G27</f>
        <v>6892.035639797335</v>
      </c>
    </row>
    <row r="29" spans="3:7" ht="12.75">
      <c r="C29" s="25">
        <v>2</v>
      </c>
      <c r="D29" s="36">
        <f>+E29</f>
        <v>872.5317119983425</v>
      </c>
      <c r="E29" s="36">
        <f>+G28*Prest!$E$9</f>
        <v>872.5317119983425</v>
      </c>
      <c r="F29" s="36">
        <v>0</v>
      </c>
      <c r="G29" s="36">
        <f aca="true" t="shared" si="0" ref="G29:G37">+G28-F29</f>
        <v>6892.035639797335</v>
      </c>
    </row>
    <row r="30" spans="3:7" ht="12.75">
      <c r="C30" s="25">
        <v>3</v>
      </c>
      <c r="D30" s="64">
        <f>PMT(Prest!$E$9,8,-Prest!$E$8)</f>
        <v>1419.5312970047696</v>
      </c>
      <c r="E30" s="36">
        <f>+G29*Prest!$E$9</f>
        <v>872.5317119983425</v>
      </c>
      <c r="F30" s="36">
        <f aca="true" t="shared" si="1" ref="F30:F37">+D30-E30</f>
        <v>546.9995850064271</v>
      </c>
      <c r="G30" s="36">
        <f t="shared" si="0"/>
        <v>6345.036054790908</v>
      </c>
    </row>
    <row r="31" spans="3:7" ht="12.75">
      <c r="C31" s="25">
        <v>4</v>
      </c>
      <c r="D31" s="64">
        <f>PMT(Prest!$E$9,8,-Prest!$E$8)</f>
        <v>1419.5312970047696</v>
      </c>
      <c r="E31" s="36">
        <f>+G30*Prest!$E$9</f>
        <v>803.2815645365289</v>
      </c>
      <c r="F31" s="36">
        <f t="shared" si="1"/>
        <v>616.2497324682407</v>
      </c>
      <c r="G31" s="36">
        <f t="shared" si="0"/>
        <v>5728.786322322667</v>
      </c>
    </row>
    <row r="32" spans="3:7" ht="12.75">
      <c r="C32" s="25">
        <v>5</v>
      </c>
      <c r="D32" s="64">
        <f>PMT(Prest!$E$9,8,-Prest!$E$8)</f>
        <v>1419.5312970047696</v>
      </c>
      <c r="E32" s="36">
        <f>+G31*Prest!$E$9</f>
        <v>725.2643484060495</v>
      </c>
      <c r="F32" s="36">
        <f t="shared" si="1"/>
        <v>694.2669485987201</v>
      </c>
      <c r="G32" s="36">
        <f t="shared" si="0"/>
        <v>5034.519373723947</v>
      </c>
    </row>
    <row r="33" spans="3:7" ht="12.75">
      <c r="C33" s="25">
        <v>6</v>
      </c>
      <c r="D33" s="64">
        <f>PMT(Prest!$E$9,8,-Prest!$E$8)</f>
        <v>1419.5312970047696</v>
      </c>
      <c r="E33" s="36">
        <f>+G32*Prest!$E$9</f>
        <v>637.3701527134516</v>
      </c>
      <c r="F33" s="36">
        <f t="shared" si="1"/>
        <v>782.161144291318</v>
      </c>
      <c r="G33" s="36">
        <f t="shared" si="0"/>
        <v>4252.358229432629</v>
      </c>
    </row>
    <row r="34" spans="3:7" ht="12.75">
      <c r="C34" s="25">
        <v>7</v>
      </c>
      <c r="D34" s="64">
        <f>PMT(Prest!$E$9,8,-Prest!$E$8)</f>
        <v>1419.5312970047696</v>
      </c>
      <c r="E34" s="36">
        <f>+G33*Prest!$E$9</f>
        <v>538.3485518461707</v>
      </c>
      <c r="F34" s="36">
        <f t="shared" si="1"/>
        <v>881.1827451585989</v>
      </c>
      <c r="G34" s="36">
        <f t="shared" si="0"/>
        <v>3371.17548427403</v>
      </c>
    </row>
    <row r="35" spans="3:7" ht="12.75">
      <c r="C35" s="25">
        <v>8</v>
      </c>
      <c r="D35" s="64">
        <f>PMT(Prest!$E$9,8,-Prest!$E$8)</f>
        <v>1419.5312970047696</v>
      </c>
      <c r="E35" s="36">
        <f>+G34*Prest!$E$9</f>
        <v>426.7908163090922</v>
      </c>
      <c r="F35" s="36">
        <f t="shared" si="1"/>
        <v>992.7404806956774</v>
      </c>
      <c r="G35" s="36">
        <f t="shared" si="0"/>
        <v>2378.4350035783527</v>
      </c>
    </row>
    <row r="36" spans="3:7" ht="12.75">
      <c r="C36" s="25">
        <v>9</v>
      </c>
      <c r="D36" s="64">
        <f>PMT(Prest!$E$9,8,-Prest!$E$8)</f>
        <v>1419.5312970047696</v>
      </c>
      <c r="E36" s="36">
        <f>+G35*Prest!$E$9</f>
        <v>301.1098714530194</v>
      </c>
      <c r="F36" s="36">
        <f t="shared" si="1"/>
        <v>1118.4214255517502</v>
      </c>
      <c r="G36" s="36">
        <f t="shared" si="0"/>
        <v>1260.0135780266025</v>
      </c>
    </row>
    <row r="37" spans="3:7" ht="12.75">
      <c r="C37" s="25">
        <v>10</v>
      </c>
      <c r="D37" s="64">
        <f>PMT(Prest!$E$9,8,-Prest!$E$8)</f>
        <v>1419.5312970047696</v>
      </c>
      <c r="E37" s="36">
        <f>+G36*Prest!$E$9</f>
        <v>159.51771897816786</v>
      </c>
      <c r="F37" s="36">
        <f t="shared" si="1"/>
        <v>1260.0135780266019</v>
      </c>
      <c r="G37" s="36">
        <f t="shared" si="0"/>
        <v>0</v>
      </c>
    </row>
    <row r="39" spans="3:7" ht="12.75">
      <c r="C39" s="200" t="s">
        <v>93</v>
      </c>
      <c r="D39" s="200"/>
      <c r="E39" s="200"/>
      <c r="F39" s="200"/>
      <c r="G39" s="200"/>
    </row>
  </sheetData>
  <mergeCells count="9">
    <mergeCell ref="B3:G3"/>
    <mergeCell ref="D7:E7"/>
    <mergeCell ref="C5:F5"/>
    <mergeCell ref="D13:E13"/>
    <mergeCell ref="D22:E22"/>
    <mergeCell ref="C15:F15"/>
    <mergeCell ref="C24:G24"/>
    <mergeCell ref="C39:G39"/>
    <mergeCell ref="D17:E17"/>
  </mergeCells>
  <printOptions/>
  <pageMargins left="0.9448818897637796" right="0.7874015748031497" top="0.94" bottom="0.984251968503937" header="0.43" footer="0"/>
  <pageSetup horizontalDpi="600" verticalDpi="600" orientation="portrait" paperSize="9" r:id="rId3"/>
  <headerFooter alignWithMargins="0">
    <oddHeader>&amp;R219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F42"/>
  <sheetViews>
    <sheetView showGridLines="0" workbookViewId="0" topLeftCell="A1">
      <selection activeCell="C3" sqref="C3"/>
    </sheetView>
  </sheetViews>
  <sheetFormatPr defaultColWidth="11.421875" defaultRowHeight="12.75"/>
  <cols>
    <col min="1" max="1" width="8.140625" style="0" customWidth="1"/>
    <col min="2" max="2" width="20.28125" style="0" customWidth="1"/>
    <col min="3" max="3" width="10.8515625" style="0" customWidth="1"/>
    <col min="5" max="5" width="13.8515625" style="0" customWidth="1"/>
  </cols>
  <sheetData>
    <row r="4" spans="2:6" ht="15.75">
      <c r="B4" s="216" t="s">
        <v>177</v>
      </c>
      <c r="C4" s="216"/>
      <c r="D4" s="216"/>
      <c r="E4" s="216"/>
      <c r="F4" s="161"/>
    </row>
    <row r="5" spans="2:5" ht="15.75">
      <c r="B5" s="135"/>
      <c r="C5" s="135"/>
      <c r="D5" s="135"/>
      <c r="E5" s="1"/>
    </row>
    <row r="6" spans="2:5" ht="16.5" thickBot="1">
      <c r="B6" s="217" t="s">
        <v>180</v>
      </c>
      <c r="C6" s="217"/>
      <c r="D6" s="217"/>
      <c r="E6" s="1"/>
    </row>
    <row r="7" spans="2:5" ht="13.5" thickBot="1">
      <c r="B7" s="106" t="s">
        <v>126</v>
      </c>
      <c r="C7" s="106" t="s">
        <v>127</v>
      </c>
      <c r="D7" s="106" t="s">
        <v>128</v>
      </c>
      <c r="E7" s="1"/>
    </row>
    <row r="8" spans="2:5" ht="12.75">
      <c r="B8" s="107" t="s">
        <v>129</v>
      </c>
      <c r="C8" s="108">
        <v>0.05</v>
      </c>
      <c r="D8" s="109" t="s">
        <v>130</v>
      </c>
      <c r="E8" s="1"/>
    </row>
    <row r="9" spans="2:5" ht="26.25" customHeight="1">
      <c r="B9" s="110" t="s">
        <v>131</v>
      </c>
      <c r="C9" s="111">
        <v>0.1</v>
      </c>
      <c r="D9" s="112" t="s">
        <v>130</v>
      </c>
      <c r="E9" s="1"/>
    </row>
    <row r="10" spans="2:5" ht="12.75">
      <c r="B10" s="113" t="s">
        <v>132</v>
      </c>
      <c r="C10" s="114">
        <v>0.1</v>
      </c>
      <c r="D10" s="115" t="s">
        <v>130</v>
      </c>
      <c r="E10" s="1"/>
    </row>
    <row r="11" spans="2:5" ht="13.5" thickBot="1">
      <c r="B11" s="116" t="s">
        <v>133</v>
      </c>
      <c r="C11" s="117">
        <v>0.05</v>
      </c>
      <c r="D11" s="118" t="s">
        <v>130</v>
      </c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96" t="s">
        <v>179</v>
      </c>
      <c r="C14" s="196"/>
      <c r="D14" s="196"/>
      <c r="E14" s="196"/>
    </row>
    <row r="15" spans="2:5" ht="6.75" customHeight="1" thickBot="1">
      <c r="B15" s="1"/>
      <c r="C15" s="20"/>
      <c r="D15" s="20"/>
      <c r="E15" s="20"/>
    </row>
    <row r="16" spans="2:5" ht="26.25" thickBot="1">
      <c r="B16" s="119" t="s">
        <v>126</v>
      </c>
      <c r="C16" s="119" t="s">
        <v>134</v>
      </c>
      <c r="D16" s="119" t="s">
        <v>135</v>
      </c>
      <c r="E16" s="119" t="s">
        <v>136</v>
      </c>
    </row>
    <row r="17" spans="2:5" ht="12.75">
      <c r="B17" s="130" t="s">
        <v>137</v>
      </c>
      <c r="C17" s="131">
        <v>395</v>
      </c>
      <c r="D17" s="132">
        <v>3</v>
      </c>
      <c r="E17" s="133">
        <v>131.66666666666666</v>
      </c>
    </row>
    <row r="18" spans="2:5" ht="12.75">
      <c r="B18" s="120" t="s">
        <v>138</v>
      </c>
      <c r="C18" s="24">
        <v>3063.5</v>
      </c>
      <c r="D18" s="23">
        <v>10</v>
      </c>
      <c r="E18" s="134">
        <v>306.35</v>
      </c>
    </row>
    <row r="19" spans="2:5" ht="12.75">
      <c r="B19" s="120" t="s">
        <v>132</v>
      </c>
      <c r="C19" s="24">
        <v>5000</v>
      </c>
      <c r="D19" s="23">
        <v>10</v>
      </c>
      <c r="E19" s="134">
        <v>500</v>
      </c>
    </row>
    <row r="20" spans="2:5" ht="13.5" thickBot="1">
      <c r="B20" s="120" t="s">
        <v>133</v>
      </c>
      <c r="C20" s="24">
        <v>2594</v>
      </c>
      <c r="D20" s="23">
        <v>5</v>
      </c>
      <c r="E20" s="134">
        <v>518.8</v>
      </c>
    </row>
    <row r="21" spans="2:5" ht="13.5" thickBot="1">
      <c r="B21" s="203" t="s">
        <v>125</v>
      </c>
      <c r="C21" s="204"/>
      <c r="D21" s="205"/>
      <c r="E21" s="121">
        <f>SUM(E17:E20)</f>
        <v>1456.8166666666666</v>
      </c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215" t="s">
        <v>178</v>
      </c>
      <c r="C24" s="215"/>
      <c r="D24" s="215"/>
      <c r="E24" s="215"/>
    </row>
    <row r="25" spans="2:5" ht="13.5" thickBot="1">
      <c r="B25" s="122"/>
      <c r="C25" s="122"/>
      <c r="D25" s="122"/>
      <c r="E25" s="122"/>
    </row>
    <row r="26" spans="2:5" ht="29.25" customHeight="1" thickBot="1">
      <c r="B26" s="119" t="s">
        <v>139</v>
      </c>
      <c r="C26" s="119" t="s">
        <v>80</v>
      </c>
      <c r="D26" s="119" t="s">
        <v>140</v>
      </c>
      <c r="E26" s="119" t="s">
        <v>141</v>
      </c>
    </row>
    <row r="27" spans="2:5" ht="26.25" customHeight="1" thickBot="1">
      <c r="B27" s="123" t="s">
        <v>142</v>
      </c>
      <c r="C27" s="124">
        <v>450</v>
      </c>
      <c r="D27" s="125">
        <v>10</v>
      </c>
      <c r="E27" s="126">
        <v>45</v>
      </c>
    </row>
    <row r="28" spans="2:5" ht="12.75">
      <c r="B28" s="20"/>
      <c r="C28" s="20"/>
      <c r="D28" s="20"/>
      <c r="E28" s="20"/>
    </row>
    <row r="29" spans="2:5" ht="13.5" thickBot="1">
      <c r="B29" s="1"/>
      <c r="C29" s="3"/>
      <c r="D29" s="3"/>
      <c r="E29" s="1"/>
    </row>
    <row r="30" spans="2:5" ht="13.5" thickBot="1">
      <c r="B30" s="1"/>
      <c r="C30" s="203" t="s">
        <v>148</v>
      </c>
      <c r="D30" s="205"/>
      <c r="E30" s="1"/>
    </row>
    <row r="31" spans="2:5" ht="12.75">
      <c r="B31" s="1"/>
      <c r="C31" s="1"/>
      <c r="D31" s="1"/>
      <c r="E31" s="1"/>
    </row>
    <row r="32" spans="2:5" ht="13.5" thickBot="1">
      <c r="B32" s="127" t="s">
        <v>143</v>
      </c>
      <c r="C32" s="213" t="s">
        <v>144</v>
      </c>
      <c r="D32" s="213"/>
      <c r="E32" s="16"/>
    </row>
    <row r="33" spans="2:5" ht="12.75">
      <c r="B33" s="1"/>
      <c r="C33" s="214" t="s">
        <v>145</v>
      </c>
      <c r="D33" s="214"/>
      <c r="E33" s="17"/>
    </row>
    <row r="34" spans="2:5" ht="12.75">
      <c r="B34" s="1"/>
      <c r="C34" s="1"/>
      <c r="D34" s="3"/>
      <c r="E34" s="1"/>
    </row>
    <row r="35" spans="2:5" ht="12.75">
      <c r="B35" s="1"/>
      <c r="C35" s="1"/>
      <c r="D35" s="3"/>
      <c r="E35" s="1"/>
    </row>
    <row r="36" spans="2:5" ht="13.5" thickBot="1">
      <c r="B36" s="127" t="s">
        <v>143</v>
      </c>
      <c r="C36" s="19" t="s">
        <v>146</v>
      </c>
      <c r="D36" s="16"/>
      <c r="E36" s="16"/>
    </row>
    <row r="37" spans="2:5" ht="12.75">
      <c r="B37" s="1"/>
      <c r="C37" s="128">
        <v>0.2574</v>
      </c>
      <c r="D37" s="7"/>
      <c r="E37" s="17"/>
    </row>
    <row r="38" spans="2:5" ht="12.75">
      <c r="B38" s="1"/>
      <c r="C38" s="1"/>
      <c r="D38" s="3"/>
      <c r="E38" s="1"/>
    </row>
    <row r="39" spans="2:5" ht="12.75">
      <c r="B39" s="127" t="s">
        <v>147</v>
      </c>
      <c r="C39" s="129">
        <f>+(5342.99-1457)/0.2574</f>
        <v>15097.086247086245</v>
      </c>
      <c r="D39" s="129"/>
      <c r="E39" s="1"/>
    </row>
    <row r="42" spans="1:5" ht="12.75">
      <c r="A42" s="212" t="s">
        <v>93</v>
      </c>
      <c r="B42" s="212"/>
      <c r="C42" s="212"/>
      <c r="D42" s="212"/>
      <c r="E42" s="212"/>
    </row>
  </sheetData>
  <mergeCells count="9">
    <mergeCell ref="B24:E24"/>
    <mergeCell ref="B4:E4"/>
    <mergeCell ref="B6:D6"/>
    <mergeCell ref="B14:E14"/>
    <mergeCell ref="B21:D21"/>
    <mergeCell ref="A42:E42"/>
    <mergeCell ref="C30:D30"/>
    <mergeCell ref="C32:D32"/>
    <mergeCell ref="C33:D33"/>
  </mergeCells>
  <printOptions/>
  <pageMargins left="0.9448818897637796" right="0.7874015748031497" top="0.94" bottom="0.984251968503937" header="0.53" footer="0"/>
  <pageSetup horizontalDpi="600" verticalDpi="600" orientation="portrait" paperSize="9" r:id="rId3"/>
  <headerFooter alignWithMargins="0">
    <oddHeader>&amp;R220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9"/>
  <sheetViews>
    <sheetView showGridLines="0" tabSelected="1" workbookViewId="0" topLeftCell="A1">
      <selection activeCell="H6" sqref="H6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26.57421875" style="0" customWidth="1"/>
    <col min="4" max="4" width="13.8515625" style="0" customWidth="1"/>
    <col min="5" max="5" width="8.28125" style="0" customWidth="1"/>
    <col min="6" max="6" width="17.421875" style="0" customWidth="1"/>
    <col min="7" max="7" width="8.00390625" style="0" customWidth="1"/>
  </cols>
  <sheetData>
    <row r="2" spans="2:7" ht="12.75">
      <c r="B2" s="206" t="s">
        <v>181</v>
      </c>
      <c r="C2" s="206"/>
      <c r="D2" s="206"/>
      <c r="E2" s="206"/>
      <c r="F2" s="206"/>
      <c r="G2" s="206"/>
    </row>
    <row r="4" spans="3:5" s="137" customFormat="1" ht="12.75" customHeight="1" thickBot="1">
      <c r="C4" s="222" t="s">
        <v>183</v>
      </c>
      <c r="D4" s="222"/>
      <c r="E4" s="136"/>
    </row>
    <row r="5" spans="3:5" s="137" customFormat="1" ht="13.5" customHeight="1" thickBot="1">
      <c r="C5" s="219" t="s">
        <v>149</v>
      </c>
      <c r="D5" s="223"/>
      <c r="E5" s="136"/>
    </row>
    <row r="6" spans="3:6" ht="12.75">
      <c r="C6" s="139" t="s">
        <v>151</v>
      </c>
      <c r="D6" s="140">
        <f>+'[1]D GASTS'!F16</f>
        <v>14520</v>
      </c>
      <c r="E6" s="63"/>
      <c r="F6" s="63"/>
    </row>
    <row r="7" spans="3:6" ht="12.75">
      <c r="C7" s="141" t="s">
        <v>18</v>
      </c>
      <c r="D7" s="142">
        <f>+'[1]PUBLIC'!F12</f>
        <v>10620</v>
      </c>
      <c r="E7" s="63"/>
      <c r="F7" s="63"/>
    </row>
    <row r="8" spans="3:6" ht="20.25" customHeight="1">
      <c r="C8" s="141" t="s">
        <v>165</v>
      </c>
      <c r="D8" s="142">
        <f>+'[1]D GASTS'!G40</f>
        <v>834</v>
      </c>
      <c r="E8" s="63"/>
      <c r="F8" s="63"/>
    </row>
    <row r="9" spans="3:6" ht="20.25" customHeight="1">
      <c r="C9" s="141" t="s">
        <v>21</v>
      </c>
      <c r="D9" s="142">
        <f>+'[1]D GASTS'!F22</f>
        <v>360</v>
      </c>
      <c r="E9" s="63"/>
      <c r="F9" s="63"/>
    </row>
    <row r="10" spans="3:6" ht="12.75">
      <c r="C10" s="141" t="s">
        <v>23</v>
      </c>
      <c r="D10" s="142">
        <f>+'[1]D GASTS'!H54</f>
        <v>7200</v>
      </c>
      <c r="E10" s="63"/>
      <c r="F10" s="63"/>
    </row>
    <row r="11" spans="3:6" ht="12.75">
      <c r="C11" s="141" t="s">
        <v>25</v>
      </c>
      <c r="D11" s="142">
        <f>+'[1]D GASTS'!E47</f>
        <v>384</v>
      </c>
      <c r="E11" s="63"/>
      <c r="F11" s="63"/>
    </row>
    <row r="12" spans="3:6" ht="12.75">
      <c r="C12" s="141" t="s">
        <v>26</v>
      </c>
      <c r="D12" s="143">
        <f>+'[1]GRBASI'!F13</f>
        <v>1188</v>
      </c>
      <c r="E12" s="63"/>
      <c r="F12" s="63"/>
    </row>
    <row r="13" spans="3:6" ht="12.75">
      <c r="C13" s="141" t="s">
        <v>30</v>
      </c>
      <c r="D13" s="143">
        <f>+'[1]DEPRE'!E18</f>
        <v>1456.8166666666666</v>
      </c>
      <c r="E13" s="63"/>
      <c r="F13" s="63"/>
    </row>
    <row r="14" spans="3:6" ht="13.5" thickBot="1">
      <c r="C14" s="141" t="s">
        <v>35</v>
      </c>
      <c r="D14" s="143">
        <f>+'[1]DEPRE'!E24</f>
        <v>45</v>
      </c>
      <c r="E14" s="63"/>
      <c r="F14" s="63"/>
    </row>
    <row r="15" spans="3:6" ht="13.5" thickBot="1">
      <c r="C15" s="144" t="s">
        <v>160</v>
      </c>
      <c r="D15" s="145">
        <f>SUM(D6:D14)</f>
        <v>36607.816666666666</v>
      </c>
      <c r="E15" s="63"/>
      <c r="F15" s="63"/>
    </row>
    <row r="16" spans="3:6" ht="12.75">
      <c r="C16" s="63"/>
      <c r="D16" s="63"/>
      <c r="E16" s="63"/>
      <c r="F16" s="63"/>
    </row>
    <row r="17" spans="3:6" ht="13.5" thickBot="1">
      <c r="C17" s="222" t="s">
        <v>184</v>
      </c>
      <c r="D17" s="222"/>
      <c r="E17" s="222"/>
      <c r="F17" s="222"/>
    </row>
    <row r="18" spans="3:6" ht="13.5" thickBot="1">
      <c r="C18" s="219" t="s">
        <v>164</v>
      </c>
      <c r="D18" s="220"/>
      <c r="E18" s="220"/>
      <c r="F18" s="221"/>
    </row>
    <row r="19" spans="3:6" ht="12.75">
      <c r="C19" s="146" t="s">
        <v>152</v>
      </c>
      <c r="D19" s="147"/>
      <c r="E19" s="148"/>
      <c r="F19" s="149"/>
    </row>
    <row r="20" spans="3:6" ht="12.75">
      <c r="C20" s="141" t="s">
        <v>153</v>
      </c>
      <c r="D20" s="54">
        <f>+'[1]PRECIOS'!K8</f>
        <v>1.9643551401869161</v>
      </c>
      <c r="E20" s="150">
        <v>0.0034012534973954776</v>
      </c>
      <c r="F20" s="143">
        <v>0.006681269790687532</v>
      </c>
    </row>
    <row r="21" spans="3:6" ht="12.75">
      <c r="C21" s="141" t="s">
        <v>154</v>
      </c>
      <c r="D21" s="54">
        <f>+'[1]PRECIOS'!K28</f>
        <v>1.6339230064161319</v>
      </c>
      <c r="E21" s="150">
        <v>0.0028291148715191058</v>
      </c>
      <c r="F21" s="143">
        <v>0.004622555876369086</v>
      </c>
    </row>
    <row r="22" spans="3:6" ht="12.75">
      <c r="C22" s="141" t="s">
        <v>155</v>
      </c>
      <c r="D22" s="54">
        <f>+'[1]PRECIOS'!K35</f>
        <v>0.9352941176470588</v>
      </c>
      <c r="E22" s="150">
        <v>0.0016194487054096416</v>
      </c>
      <c r="F22" s="143">
        <v>0.0015146608480007824</v>
      </c>
    </row>
    <row r="23" spans="3:6" ht="12.75">
      <c r="C23" s="141" t="s">
        <v>156</v>
      </c>
      <c r="D23" s="54">
        <f>+'[1]PRECIOS'!K46</f>
        <v>0.4549781659388646</v>
      </c>
      <c r="E23" s="150">
        <v>0.0007877883415678556</v>
      </c>
      <c r="F23" s="143">
        <v>0.00035842649479456276</v>
      </c>
    </row>
    <row r="24" spans="3:6" ht="12.75">
      <c r="C24" s="151" t="s">
        <v>157</v>
      </c>
      <c r="D24" s="54"/>
      <c r="E24" s="150"/>
      <c r="F24" s="143"/>
    </row>
    <row r="25" spans="3:6" ht="12.75">
      <c r="C25" s="141" t="s">
        <v>154</v>
      </c>
      <c r="D25" s="54">
        <f>+'[1]PRECIOS'!K61</f>
        <v>4.83220583520359</v>
      </c>
      <c r="E25" s="150">
        <v>0.008366896932678445</v>
      </c>
      <c r="F25" s="143">
        <v>0.0404305681806358</v>
      </c>
    </row>
    <row r="26" spans="3:6" ht="12.75">
      <c r="C26" s="141" t="s">
        <v>158</v>
      </c>
      <c r="D26" s="54">
        <f>+'[1]PRECIOS'!K71</f>
        <v>1.35256880733945</v>
      </c>
      <c r="E26" s="150">
        <v>0.002341954004301679</v>
      </c>
      <c r="F26" s="143">
        <v>0.003167653934442171</v>
      </c>
    </row>
    <row r="27" spans="3:6" ht="12.75">
      <c r="C27" s="141" t="s">
        <v>159</v>
      </c>
      <c r="D27" s="54">
        <f>+'[1]PRECIOS'!K80</f>
        <v>0.9444920993227992</v>
      </c>
      <c r="E27" s="150">
        <v>0.0016353748822518874</v>
      </c>
      <c r="F27" s="143">
        <v>0.0015445986557178608</v>
      </c>
    </row>
    <row r="28" spans="3:9" ht="12.75">
      <c r="C28" s="151" t="s">
        <v>66</v>
      </c>
      <c r="D28" s="54"/>
      <c r="E28" s="150"/>
      <c r="F28" s="143"/>
      <c r="G28" s="15"/>
      <c r="H28" s="15"/>
      <c r="I28" s="15"/>
    </row>
    <row r="29" spans="3:9" ht="12.75">
      <c r="C29" s="141" t="s">
        <v>161</v>
      </c>
      <c r="D29" s="54">
        <f>+SUM('[1]PRECIOS'!I84:I91)/8</f>
        <v>470.21875</v>
      </c>
      <c r="E29" s="150">
        <v>0.8141772000689483</v>
      </c>
      <c r="F29" s="143">
        <v>382.8413852949208</v>
      </c>
      <c r="G29" s="15"/>
      <c r="H29" s="15"/>
      <c r="I29" s="15"/>
    </row>
    <row r="30" spans="3:9" ht="12.75">
      <c r="C30" s="141" t="s">
        <v>70</v>
      </c>
      <c r="D30" s="54">
        <f>+'[1]PRECIOS'!K97</f>
        <v>79.09090909090908</v>
      </c>
      <c r="E30" s="150">
        <v>0.13694480476277068</v>
      </c>
      <c r="F30" s="143">
        <v>10.831089103964588</v>
      </c>
      <c r="G30" s="15"/>
      <c r="H30" s="15"/>
      <c r="I30" s="15"/>
    </row>
    <row r="31" spans="3:9" ht="13.5" thickBot="1">
      <c r="C31" s="152" t="s">
        <v>69</v>
      </c>
      <c r="D31" s="153">
        <f>+'[1]PRECIOS'!K102</f>
        <v>16.11111111111111</v>
      </c>
      <c r="E31" s="154">
        <v>0.027896163933156998</v>
      </c>
      <c r="F31" s="155">
        <v>0.4494381967008627</v>
      </c>
      <c r="G31" s="15"/>
      <c r="H31" s="15"/>
      <c r="I31" s="15"/>
    </row>
    <row r="32" spans="3:9" ht="13.5" thickBot="1">
      <c r="C32" s="144" t="s">
        <v>163</v>
      </c>
      <c r="D32" s="138">
        <f>SUM(D20:D31)</f>
        <v>577.538587374075</v>
      </c>
      <c r="E32" s="63"/>
      <c r="F32" s="156">
        <f>SUM(F20:F31)</f>
        <v>394.1802323293669</v>
      </c>
      <c r="G32" s="15"/>
      <c r="H32" s="15"/>
      <c r="I32" s="15"/>
    </row>
    <row r="33" spans="3:9" ht="12.75">
      <c r="C33" s="63"/>
      <c r="D33" s="63"/>
      <c r="E33" s="63"/>
      <c r="F33" s="63"/>
      <c r="G33" s="15"/>
      <c r="H33" s="15"/>
      <c r="I33" s="15"/>
    </row>
    <row r="34" spans="3:9" ht="13.5" thickBot="1">
      <c r="C34" s="222" t="s">
        <v>182</v>
      </c>
      <c r="D34" s="222"/>
      <c r="E34" s="222"/>
      <c r="F34" s="222"/>
      <c r="G34" s="15"/>
      <c r="H34" s="15"/>
      <c r="I34" s="15"/>
    </row>
    <row r="35" spans="3:9" ht="13.5" thickBot="1">
      <c r="C35" s="219" t="s">
        <v>150</v>
      </c>
      <c r="D35" s="220"/>
      <c r="E35" s="220"/>
      <c r="F35" s="221"/>
      <c r="H35" s="15"/>
      <c r="I35" s="15"/>
    </row>
    <row r="36" spans="3:6" ht="12.75">
      <c r="C36" s="146" t="s">
        <v>152</v>
      </c>
      <c r="D36" s="148"/>
      <c r="E36" s="148"/>
      <c r="F36" s="149"/>
    </row>
    <row r="37" spans="3:6" ht="12.75">
      <c r="C37" s="141" t="s">
        <v>153</v>
      </c>
      <c r="D37" s="54">
        <f>+'[1]PRECIOS'!E8</f>
        <v>3.2243902439024392</v>
      </c>
      <c r="E37" s="157">
        <f>+D37/$D$50</f>
        <v>0.0032533759497445913</v>
      </c>
      <c r="F37" s="143">
        <f>+E37*D37</f>
        <v>0.010490153672103293</v>
      </c>
    </row>
    <row r="38" spans="3:6" ht="12.75">
      <c r="C38" s="141" t="s">
        <v>154</v>
      </c>
      <c r="D38" s="54">
        <f>+'[1]PRECIOS'!E28</f>
        <v>3.2899628079962806</v>
      </c>
      <c r="E38" s="157">
        <f>+D38/$D$50</f>
        <v>0.0033195379794149814</v>
      </c>
      <c r="F38" s="143">
        <f aca="true" t="shared" si="0" ref="F38:F49">+E38*D38</f>
        <v>0.010921156492006413</v>
      </c>
    </row>
    <row r="39" spans="3:6" ht="12.75">
      <c r="C39" s="141" t="s">
        <v>155</v>
      </c>
      <c r="D39" s="54">
        <f>+'[1]PRECIOS'!E35</f>
        <v>2.3136986301369866</v>
      </c>
      <c r="E39" s="157">
        <f>+D39/$D$50</f>
        <v>0.0023344976596674115</v>
      </c>
      <c r="F39" s="143">
        <f t="shared" si="0"/>
        <v>0.005401324037230491</v>
      </c>
    </row>
    <row r="40" spans="3:6" ht="12.75">
      <c r="C40" s="141" t="s">
        <v>156</v>
      </c>
      <c r="D40" s="54">
        <f>+'[1]PRECIOS'!E46</f>
        <v>0.7989770354906054</v>
      </c>
      <c r="E40" s="157">
        <f>+D40/$D$50</f>
        <v>0.0008061594518774434</v>
      </c>
      <c r="F40" s="143">
        <f t="shared" si="0"/>
        <v>0.0006441028889937711</v>
      </c>
    </row>
    <row r="41" spans="3:6" ht="26.25" customHeight="1">
      <c r="C41" s="151" t="s">
        <v>157</v>
      </c>
      <c r="D41" s="54"/>
      <c r="E41" s="157"/>
      <c r="F41" s="143"/>
    </row>
    <row r="42" spans="3:6" ht="39" customHeight="1">
      <c r="C42" s="141" t="s">
        <v>154</v>
      </c>
      <c r="D42" s="54">
        <f>+'[1]PRECIOS'!E61</f>
        <v>5.856880733944954</v>
      </c>
      <c r="E42" s="157">
        <f>+D42/$D$50</f>
        <v>0.0059095312536603445</v>
      </c>
      <c r="F42" s="143">
        <f t="shared" si="0"/>
        <v>0.03461141974620884</v>
      </c>
    </row>
    <row r="43" spans="3:6" ht="12.75">
      <c r="C43" s="141" t="s">
        <v>158</v>
      </c>
      <c r="D43" s="54">
        <f>+'[1]PRECIOS'!E71</f>
        <v>3.723622047244095</v>
      </c>
      <c r="E43" s="157">
        <f>+D43/$D$50</f>
        <v>0.003757095605084334</v>
      </c>
      <c r="F43" s="143">
        <f t="shared" si="0"/>
        <v>0.01399000402869592</v>
      </c>
    </row>
    <row r="44" spans="3:6" ht="12.75">
      <c r="C44" s="141" t="s">
        <v>159</v>
      </c>
      <c r="D44" s="54">
        <f>+'[1]PRECIOS'!E80</f>
        <v>10.476133909287258</v>
      </c>
      <c r="E44" s="157">
        <f>+D44/$D$50</f>
        <v>0.010570309276686361</v>
      </c>
      <c r="F44" s="143">
        <f t="shared" si="0"/>
        <v>0.11073597544514766</v>
      </c>
    </row>
    <row r="45" spans="3:6" ht="12.75">
      <c r="C45" s="151" t="s">
        <v>66</v>
      </c>
      <c r="D45" s="54"/>
      <c r="E45" s="157"/>
      <c r="F45" s="143"/>
    </row>
    <row r="46" spans="3:6" ht="12.75">
      <c r="C46" s="141" t="s">
        <v>161</v>
      </c>
      <c r="D46" s="54">
        <f>+SUM('[1]PRECIOS'!C83:C90)/8</f>
        <v>752.3500000000001</v>
      </c>
      <c r="E46" s="157">
        <f>+D46/$D$50</f>
        <v>0.7591132619319523</v>
      </c>
      <c r="F46" s="143">
        <f t="shared" si="0"/>
        <v>571.1188626145045</v>
      </c>
    </row>
    <row r="47" spans="3:6" ht="12.75">
      <c r="C47" s="141" t="s">
        <v>70</v>
      </c>
      <c r="D47" s="54">
        <f>+'[1]PRECIOS'!E97</f>
        <v>154.390243902439</v>
      </c>
      <c r="E47" s="157">
        <f>+D47/$D$50</f>
        <v>0.15577813738187035</v>
      </c>
      <c r="F47" s="143">
        <f t="shared" si="0"/>
        <v>24.050624625054617</v>
      </c>
    </row>
    <row r="48" spans="3:6" ht="12.75">
      <c r="C48" s="141" t="s">
        <v>69</v>
      </c>
      <c r="D48" s="54">
        <f>+'[1]PRECIOS'!E102</f>
        <v>29.666666666666664</v>
      </c>
      <c r="E48" s="157">
        <f>+D48/$D$50</f>
        <v>0.029933355624352023</v>
      </c>
      <c r="F48" s="143">
        <f t="shared" si="0"/>
        <v>0.8880228835224433</v>
      </c>
    </row>
    <row r="49" spans="3:6" ht="13.5" thickBot="1">
      <c r="C49" s="152" t="s">
        <v>162</v>
      </c>
      <c r="D49" s="153">
        <f>+'[1]PRECIOS'!C92</f>
        <v>25</v>
      </c>
      <c r="E49" s="158">
        <f>+D49/$D$50</f>
        <v>0.02522473788568991</v>
      </c>
      <c r="F49" s="155">
        <f t="shared" si="0"/>
        <v>0.6306184471422478</v>
      </c>
    </row>
    <row r="50" spans="3:6" ht="13.5" thickBot="1">
      <c r="C50" s="159" t="s">
        <v>163</v>
      </c>
      <c r="D50" s="138">
        <f>SUM(D37:D49)</f>
        <v>991.0905759771084</v>
      </c>
      <c r="E50" s="43"/>
      <c r="F50" s="160">
        <f>SUM(F37:F49)</f>
        <v>596.8749227065342</v>
      </c>
    </row>
    <row r="51" spans="3:6" ht="12.75">
      <c r="C51" s="218" t="s">
        <v>93</v>
      </c>
      <c r="D51" s="218"/>
      <c r="E51" s="218"/>
      <c r="F51" s="218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  <row r="57" spans="3:6" ht="12.75">
      <c r="C57" s="63"/>
      <c r="D57" s="63"/>
      <c r="E57" s="63"/>
      <c r="F57" s="63"/>
    </row>
    <row r="58" spans="3:6" ht="12.75">
      <c r="C58" s="63"/>
      <c r="D58" s="63"/>
      <c r="E58" s="63"/>
      <c r="F58" s="63"/>
    </row>
    <row r="59" spans="3:6" ht="12.75">
      <c r="C59" s="63"/>
      <c r="D59" s="63"/>
      <c r="E59" s="63"/>
      <c r="F59" s="63"/>
    </row>
  </sheetData>
  <mergeCells count="8">
    <mergeCell ref="C51:F51"/>
    <mergeCell ref="C35:F35"/>
    <mergeCell ref="C34:F34"/>
    <mergeCell ref="B2:G2"/>
    <mergeCell ref="C18:F18"/>
    <mergeCell ref="C17:F17"/>
    <mergeCell ref="C5:D5"/>
    <mergeCell ref="C4:D4"/>
  </mergeCells>
  <printOptions/>
  <pageMargins left="0.9448818897637796" right="0.7874015748031497" top="0.65" bottom="0.984251968503937" header="0.26" footer="0"/>
  <pageSetup horizontalDpi="600" verticalDpi="600" orientation="portrait" paperSize="9" r:id="rId1"/>
  <headerFooter alignWithMargins="0">
    <oddHeader>&amp;R221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Pre-Determinado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Pre-Determinado</dc:creator>
  <cp:keywords/>
  <dc:description/>
  <cp:lastModifiedBy>Pre-Determinado</cp:lastModifiedBy>
  <cp:lastPrinted>2007-10-27T16:06:18Z</cp:lastPrinted>
  <dcterms:created xsi:type="dcterms:W3CDTF">2007-09-12T05:09:36Z</dcterms:created>
  <dcterms:modified xsi:type="dcterms:W3CDTF">2007-10-27T16:06:39Z</dcterms:modified>
  <cp:category/>
  <cp:version/>
  <cp:contentType/>
  <cp:contentStatus/>
</cp:coreProperties>
</file>