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663" activeTab="1"/>
  </bookViews>
  <sheets>
    <sheet name="Amortizacion" sheetId="1" r:id="rId1"/>
    <sheet name="Rel_Beneficio_Costo" sheetId="2" r:id="rId2"/>
    <sheet name="PeriodoRecuperacion" sheetId="3" r:id="rId3"/>
    <sheet name="VANyTIR" sheetId="4" r:id="rId4"/>
  </sheets>
  <definedNames/>
  <calcPr fullCalcOnLoad="1"/>
</workbook>
</file>

<file path=xl/comments4.xml><?xml version="1.0" encoding="utf-8"?>
<comments xmlns="http://schemas.openxmlformats.org/spreadsheetml/2006/main">
  <authors>
    <author>Fabrizio Marcillo Morla</author>
  </authors>
  <commentList>
    <comment ref="C24" authorId="0">
      <text>
        <r>
          <rPr>
            <b/>
            <sz val="8"/>
            <rFont val="Tahoma"/>
            <family val="0"/>
          </rPr>
          <t>Barcillo:</t>
        </r>
        <r>
          <rPr>
            <sz val="8"/>
            <rFont val="Tahoma"/>
            <family val="0"/>
          </rPr>
          <t xml:space="preserve">
Utiliza Tools Goal Seek (Herramientas Buscar Solucion) del Menu para hacer el VAN=0, cambiando la TIR(costo de oportunidad)</t>
        </r>
      </text>
    </comment>
  </commentList>
</comments>
</file>

<file path=xl/sharedStrings.xml><?xml version="1.0" encoding="utf-8"?>
<sst xmlns="http://schemas.openxmlformats.org/spreadsheetml/2006/main" count="84" uniqueCount="67">
  <si>
    <t>Ingresos</t>
  </si>
  <si>
    <t>Egresos</t>
  </si>
  <si>
    <t>Año</t>
  </si>
  <si>
    <t>Flujo Neto</t>
  </si>
  <si>
    <t>Flujo Descontado</t>
  </si>
  <si>
    <t>Valor Presente Neto</t>
  </si>
  <si>
    <t>=NPV(C8,D5:H5)+C5</t>
  </si>
  <si>
    <t>VAN=</t>
  </si>
  <si>
    <t>Tasa de Descuento</t>
  </si>
  <si>
    <t>=C5/(1+$C$8)^C2</t>
  </si>
  <si>
    <t>=D5/(1+$C$8)^D2</t>
  </si>
  <si>
    <t>=E5/(1+$C$8)^E2</t>
  </si>
  <si>
    <t>=F5/(1+$C$8)^F2</t>
  </si>
  <si>
    <t>=G5/(1+$C$8)^G2</t>
  </si>
  <si>
    <t>=H5/(1+$C$8)^H2</t>
  </si>
  <si>
    <t>=SUM(C9:H9)</t>
  </si>
  <si>
    <t>Tasa Interna de Retorno</t>
  </si>
  <si>
    <t xml:space="preserve">TIR = </t>
  </si>
  <si>
    <t>=IRR(C5:H5,10%)</t>
  </si>
  <si>
    <t>Años</t>
  </si>
  <si>
    <t>Monto</t>
  </si>
  <si>
    <t>Interes</t>
  </si>
  <si>
    <t>Plazo</t>
  </si>
  <si>
    <t>Pago Capital</t>
  </si>
  <si>
    <t>Pago Interes</t>
  </si>
  <si>
    <t>Pago Total</t>
  </si>
  <si>
    <t>=PMT($B$3,$B$4,$B$2)</t>
  </si>
  <si>
    <t>=IPMT($B$3,B8,$B$4,$B$2)</t>
  </si>
  <si>
    <t>=PPMT($B$3,B8,$B$4,$B$2)</t>
  </si>
  <si>
    <t>Tabla 1</t>
  </si>
  <si>
    <t>Tabla 2</t>
  </si>
  <si>
    <t>Total</t>
  </si>
  <si>
    <t>Remanente</t>
  </si>
  <si>
    <t>=B19*$B$3</t>
  </si>
  <si>
    <t>=B16-B17</t>
  </si>
  <si>
    <t>=B19-B18</t>
  </si>
  <si>
    <t>=-B2</t>
  </si>
  <si>
    <t>TIR=</t>
  </si>
  <si>
    <t>NPV=</t>
  </si>
  <si>
    <t>Macro</t>
  </si>
  <si>
    <t>Funcion</t>
  </si>
  <si>
    <t>Fórmula</t>
  </si>
  <si>
    <t>Tools/Goal Seek</t>
  </si>
  <si>
    <t>Flujo Acumulado</t>
  </si>
  <si>
    <t>Flujo Acumulado Descontado</t>
  </si>
  <si>
    <t>=IF(AND(C6&lt;0,D6&gt;=0),-C6/((D6-C6)/12),"")</t>
  </si>
  <si>
    <t>=IF(ISNUMBER(C7),C2,"")</t>
  </si>
  <si>
    <t>Concepto</t>
  </si>
  <si>
    <t>Inversiones</t>
  </si>
  <si>
    <t>Ingresos por ventas</t>
  </si>
  <si>
    <t>Egresos Operacionales</t>
  </si>
  <si>
    <t>MARGEN OPERACIONAL</t>
  </si>
  <si>
    <t>Gastos Administrativos</t>
  </si>
  <si>
    <t>FLUJO OPERACIONAL</t>
  </si>
  <si>
    <t>Otros Ingresos (Egresos)</t>
  </si>
  <si>
    <t>Imp. Renta y Part. Trabj.</t>
  </si>
  <si>
    <t>FLUJO DEL PROYECTO</t>
  </si>
  <si>
    <t>Costos</t>
  </si>
  <si>
    <t>Beneficios</t>
  </si>
  <si>
    <t>Relacion Beneficio Costo</t>
  </si>
  <si>
    <t>Sin Descontar</t>
  </si>
  <si>
    <t>Descontado</t>
  </si>
  <si>
    <t>P. R. Descontado</t>
  </si>
  <si>
    <t>P. R. Simple</t>
  </si>
  <si>
    <t xml:space="preserve">VAN = </t>
  </si>
  <si>
    <t>Sumado</t>
  </si>
  <si>
    <t>Función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</si>
</sst>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\);_(* &quot;-&quot;??_);_(@_)"/>
    <numFmt numFmtId="165" formatCode="&quot;$&quot;#,##0.0;[Red]\-&quot;$&quot;#,##0.0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7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9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164" fontId="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quotePrefix="1">
      <alignment horizontal="left"/>
    </xf>
    <xf numFmtId="164" fontId="3" fillId="0" borderId="0" xfId="0" applyNumberFormat="1" applyFont="1" applyAlignment="1" quotePrefix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2" xfId="0" applyNumberFormat="1" applyBorder="1" applyAlignment="1">
      <alignment/>
    </xf>
    <xf numFmtId="0" fontId="4" fillId="0" borderId="0" xfId="0" applyFon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PeriodoRecuperacion!$A$9</c:f>
              <c:strCache>
                <c:ptCount val="1"/>
                <c:pt idx="0">
                  <c:v>P. R. Simple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PeriodoRecuperacion!$C$2:$H$2</c:f>
              <c:numCache/>
            </c:numRef>
          </c:xVal>
          <c:yVal>
            <c:numRef>
              <c:f>PeriodoRecuperacion!$C$6:$H$6</c:f>
              <c:numCache/>
            </c:numRef>
          </c:yVal>
          <c:smooth val="1"/>
        </c:ser>
        <c:ser>
          <c:idx val="1"/>
          <c:order val="1"/>
          <c:tx>
            <c:strRef>
              <c:f>PeriodoRecuperacion!$A$18</c:f>
              <c:strCache>
                <c:ptCount val="1"/>
                <c:pt idx="0">
                  <c:v>P. R. Descontado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PeriodoRecuperacion!$C$2:$H$2</c:f>
              <c:numCache/>
            </c:numRef>
          </c:xVal>
          <c:yVal>
            <c:numRef>
              <c:f>PeriodoRecuperacion!$C$15:$H$15</c:f>
              <c:numCache/>
            </c:numRef>
          </c:yVal>
          <c:smooth val="1"/>
        </c:ser>
        <c:axId val="61440309"/>
        <c:axId val="16091870"/>
      </c:scatterChart>
      <c:val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91870"/>
        <c:crosses val="autoZero"/>
        <c:crossBetween val="midCat"/>
        <c:dispUnits/>
      </c:valAx>
      <c:valAx>
        <c:axId val="16091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403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28575</xdr:rowOff>
    </xdr:from>
    <xdr:to>
      <xdr:col>7</xdr:col>
      <xdr:colOff>800100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66700" y="3105150"/>
        <a:ext cx="63246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29"/>
  <sheetViews>
    <sheetView workbookViewId="0" topLeftCell="A1">
      <selection activeCell="G8" sqref="G8"/>
    </sheetView>
  </sheetViews>
  <sheetFormatPr defaultColWidth="9.140625" defaultRowHeight="12.75"/>
  <cols>
    <col min="1" max="1" width="11.57421875" style="0" bestFit="1" customWidth="1"/>
    <col min="2" max="2" width="10.8515625" style="0" bestFit="1" customWidth="1"/>
    <col min="3" max="3" width="10.28125" style="0" bestFit="1" customWidth="1"/>
    <col min="4" max="4" width="10.140625" style="0" bestFit="1" customWidth="1"/>
    <col min="7" max="7" width="10.28125" style="0" bestFit="1" customWidth="1"/>
    <col min="8" max="8" width="15.8515625" style="0" customWidth="1"/>
    <col min="9" max="9" width="10.28125" style="0" bestFit="1" customWidth="1"/>
  </cols>
  <sheetData>
    <row r="2" spans="1:2" ht="12.75">
      <c r="A2" t="s">
        <v>20</v>
      </c>
      <c r="B2" s="6">
        <v>-1000000</v>
      </c>
    </row>
    <row r="3" spans="1:2" ht="12.75">
      <c r="A3" t="s">
        <v>21</v>
      </c>
      <c r="B3" s="3">
        <v>0.15</v>
      </c>
    </row>
    <row r="4" spans="1:2" ht="12.75">
      <c r="A4" t="s">
        <v>22</v>
      </c>
      <c r="B4" s="1">
        <f>MAX(B8:F8)</f>
        <v>5</v>
      </c>
    </row>
    <row r="5" ht="12.75">
      <c r="B5" s="1"/>
    </row>
    <row r="7" ht="12.75">
      <c r="A7" s="10" t="s">
        <v>29</v>
      </c>
    </row>
    <row r="8" spans="1:7" ht="12.75">
      <c r="A8" s="12" t="s">
        <v>19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 t="s">
        <v>31</v>
      </c>
    </row>
    <row r="9" spans="1:8" ht="12.75">
      <c r="A9" s="5" t="s">
        <v>25</v>
      </c>
      <c r="B9" s="1">
        <f>PMT($B$3,$B$4,$B$2)</f>
        <v>298315.5524615284</v>
      </c>
      <c r="C9" s="1">
        <f>PMT($B$3,$B$4,$B$2)</f>
        <v>298315.5524615284</v>
      </c>
      <c r="D9" s="1">
        <f>PMT($B$3,$B$4,$B$2)</f>
        <v>298315.5524615284</v>
      </c>
      <c r="E9" s="1">
        <f>PMT($B$3,$B$4,$B$2)</f>
        <v>298315.5524615284</v>
      </c>
      <c r="F9" s="1">
        <f>PMT($B$3,$B$4,$B$2)</f>
        <v>298315.5524615284</v>
      </c>
      <c r="G9" s="13">
        <f>SUM(B9:F9)</f>
        <v>1491577.762307642</v>
      </c>
      <c r="H9" s="5" t="s">
        <v>26</v>
      </c>
    </row>
    <row r="10" spans="1:8" ht="12.75">
      <c r="A10" s="5" t="s">
        <v>24</v>
      </c>
      <c r="B10" s="1">
        <f>IPMT($B$3,B8,$B$4,$B$2)</f>
        <v>150000</v>
      </c>
      <c r="C10" s="1">
        <f>IPMT($B$3,C8,$B$4,$B$2)</f>
        <v>127752.66713077076</v>
      </c>
      <c r="D10" s="1">
        <f>IPMT($B$3,D8,$B$4,$B$2)</f>
        <v>102168.23433115713</v>
      </c>
      <c r="E10" s="1">
        <f>IPMT($B$3,E8,$B$4,$B$2)</f>
        <v>72746.13661160145</v>
      </c>
      <c r="F10" s="1">
        <f>IPMT($B$3,F8,$B$4,$B$2)</f>
        <v>38910.72423411242</v>
      </c>
      <c r="G10" s="13">
        <f>SUM(B10:F10)</f>
        <v>491577.76230764174</v>
      </c>
      <c r="H10" s="5" t="s">
        <v>27</v>
      </c>
    </row>
    <row r="11" spans="1:8" ht="12.75">
      <c r="A11" t="s">
        <v>23</v>
      </c>
      <c r="B11" s="1">
        <f>PPMT($B$3,B8,$B$4,$B$2)</f>
        <v>148315.5524615284</v>
      </c>
      <c r="C11" s="1">
        <f>PPMT($B$3,C8,$B$4,$B$2)</f>
        <v>170562.88533075765</v>
      </c>
      <c r="D11" s="1">
        <f>PPMT($B$3,D8,$B$4,$B$2)</f>
        <v>196147.31813037128</v>
      </c>
      <c r="E11" s="1">
        <f>PPMT($B$3,E8,$B$4,$B$2)</f>
        <v>225569.41584992694</v>
      </c>
      <c r="F11" s="1">
        <f>PPMT($B$3,F8,$B$4,$B$2)</f>
        <v>259404.82822741597</v>
      </c>
      <c r="G11" s="13">
        <f>SUM(B11:F11)</f>
        <v>1000000.0000000002</v>
      </c>
      <c r="H11" s="5" t="s">
        <v>28</v>
      </c>
    </row>
    <row r="14" ht="12.75">
      <c r="A14" s="10" t="s">
        <v>30</v>
      </c>
    </row>
    <row r="15" spans="1:7" ht="12.75">
      <c r="A15" s="12" t="s">
        <v>19</v>
      </c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 t="s">
        <v>31</v>
      </c>
    </row>
    <row r="16" spans="1:8" ht="12.75">
      <c r="A16" s="5" t="s">
        <v>25</v>
      </c>
      <c r="B16" s="1">
        <f>PMT($B$3,$B$4,$B$2)</f>
        <v>298315.5524615284</v>
      </c>
      <c r="C16" s="1">
        <f>PMT($B$3,$B$4,$B$2)</f>
        <v>298315.5524615284</v>
      </c>
      <c r="D16" s="1">
        <f>PMT($B$3,$B$4,$B$2)</f>
        <v>298315.5524615284</v>
      </c>
      <c r="E16" s="1">
        <f>PMT($B$3,$B$4,$B$2)</f>
        <v>298315.5524615284</v>
      </c>
      <c r="F16" s="1">
        <f>PMT($B$3,$B$4,$B$2)</f>
        <v>298315.5524615284</v>
      </c>
      <c r="G16" s="13">
        <f>SUM(B16:F16)</f>
        <v>1491577.762307642</v>
      </c>
      <c r="H16" s="5" t="s">
        <v>26</v>
      </c>
    </row>
    <row r="17" spans="1:8" ht="12.75">
      <c r="A17" s="5" t="s">
        <v>24</v>
      </c>
      <c r="B17" s="1">
        <f>B19*$B$3</f>
        <v>150000</v>
      </c>
      <c r="C17" s="1">
        <f>C19*$B$3</f>
        <v>127752.66713077073</v>
      </c>
      <c r="D17" s="1">
        <f>D19*$B$3</f>
        <v>102168.23433115709</v>
      </c>
      <c r="E17" s="1">
        <f>E19*$B$3</f>
        <v>72746.1366116014</v>
      </c>
      <c r="F17" s="1">
        <f>F19*$B$3</f>
        <v>38910.72423411235</v>
      </c>
      <c r="G17" s="13">
        <f>SUM(B17:F17)</f>
        <v>491577.76230764156</v>
      </c>
      <c r="H17" s="5" t="s">
        <v>33</v>
      </c>
    </row>
    <row r="18" spans="1:8" ht="12.75">
      <c r="A18" t="s">
        <v>23</v>
      </c>
      <c r="B18" s="1">
        <f>B16-B17</f>
        <v>148315.5524615284</v>
      </c>
      <c r="C18" s="1">
        <f>C16-C17</f>
        <v>170562.88533075765</v>
      </c>
      <c r="D18" s="1">
        <f>D16-D17</f>
        <v>196147.3181303713</v>
      </c>
      <c r="E18" s="1">
        <f>E16-E17</f>
        <v>225569.415849927</v>
      </c>
      <c r="F18" s="1">
        <f>F16-F17</f>
        <v>259404.82822741603</v>
      </c>
      <c r="G18" s="13">
        <f>SUM(B18:F18)</f>
        <v>1000000.0000000003</v>
      </c>
      <c r="H18" s="5" t="s">
        <v>34</v>
      </c>
    </row>
    <row r="19" spans="1:9" ht="12.75">
      <c r="A19" t="s">
        <v>32</v>
      </c>
      <c r="B19" s="1">
        <f>-B2</f>
        <v>1000000</v>
      </c>
      <c r="C19" s="1">
        <f>B19-B18</f>
        <v>851684.4475384715</v>
      </c>
      <c r="D19" s="1">
        <f>C19-C18</f>
        <v>681121.562207714</v>
      </c>
      <c r="E19" s="1">
        <f>D19-D18</f>
        <v>484974.2440773427</v>
      </c>
      <c r="F19" s="1">
        <f>E19-E18</f>
        <v>259404.82822741568</v>
      </c>
      <c r="G19" s="1">
        <f>F19-F18</f>
        <v>-3.4924596548080444E-10</v>
      </c>
      <c r="H19" s="5" t="s">
        <v>36</v>
      </c>
      <c r="I19" s="5" t="s">
        <v>35</v>
      </c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00390625" style="0" bestFit="1" customWidth="1"/>
    <col min="2" max="2" width="11.8515625" style="0" bestFit="1" customWidth="1"/>
    <col min="3" max="8" width="10.8515625" style="0" bestFit="1" customWidth="1"/>
  </cols>
  <sheetData>
    <row r="2" spans="1:8" ht="12.75">
      <c r="A2" s="10" t="s">
        <v>47</v>
      </c>
      <c r="C2" s="11">
        <v>0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</row>
    <row r="4" spans="1:8" ht="12.75">
      <c r="A4" s="4" t="s">
        <v>48</v>
      </c>
      <c r="C4" s="1">
        <v>-2060500</v>
      </c>
      <c r="D4" s="1">
        <v>0</v>
      </c>
      <c r="E4" s="1">
        <v>0</v>
      </c>
      <c r="F4" s="1">
        <v>0</v>
      </c>
      <c r="G4" s="1">
        <v>0</v>
      </c>
      <c r="H4" s="1">
        <v>-52166.666666666664</v>
      </c>
    </row>
    <row r="5" spans="3:8" ht="12.75">
      <c r="C5" s="1"/>
      <c r="D5" s="1"/>
      <c r="E5" s="1"/>
      <c r="F5" s="1"/>
      <c r="G5" s="1"/>
      <c r="H5" s="1"/>
    </row>
    <row r="6" spans="1:8" ht="12.75">
      <c r="A6" t="s">
        <v>49</v>
      </c>
      <c r="C6" s="1">
        <v>0</v>
      </c>
      <c r="D6" s="1">
        <v>2870011.69609629</v>
      </c>
      <c r="E6" s="1">
        <v>3185028.409681307</v>
      </c>
      <c r="F6" s="1">
        <v>2953213.08084618</v>
      </c>
      <c r="G6" s="1">
        <v>2854216</v>
      </c>
      <c r="H6" s="1">
        <v>3094034.799910853</v>
      </c>
    </row>
    <row r="7" spans="1:8" ht="12.75">
      <c r="A7" s="5" t="s">
        <v>50</v>
      </c>
      <c r="C7" s="1">
        <v>-671415.4493913922</v>
      </c>
      <c r="D7" s="1">
        <v>-1752362.68697535</v>
      </c>
      <c r="E7" s="1">
        <v>-1816466.4583241565</v>
      </c>
      <c r="F7" s="1">
        <v>-1745709.8074018878</v>
      </c>
      <c r="G7" s="1">
        <v>-1755766.8537627307</v>
      </c>
      <c r="H7" s="1">
        <v>-1801286.483749673</v>
      </c>
    </row>
    <row r="8" spans="3:8" ht="12.75">
      <c r="C8" s="1"/>
      <c r="D8" s="1"/>
      <c r="E8" s="1"/>
      <c r="F8" s="1"/>
      <c r="G8" s="1"/>
      <c r="H8" s="1"/>
    </row>
    <row r="9" spans="1:8" ht="12.75">
      <c r="A9" s="4" t="s">
        <v>51</v>
      </c>
      <c r="C9" s="20">
        <f aca="true" t="shared" si="0" ref="C9:H9">SUM(C6:C7)</f>
        <v>-671415.4493913922</v>
      </c>
      <c r="D9" s="20">
        <f t="shared" si="0"/>
        <v>1117649.00912094</v>
      </c>
      <c r="E9" s="20">
        <f t="shared" si="0"/>
        <v>1368561.9513571507</v>
      </c>
      <c r="F9" s="20">
        <f t="shared" si="0"/>
        <v>1207503.2734442924</v>
      </c>
      <c r="G9" s="20">
        <f t="shared" si="0"/>
        <v>1098449.1462372693</v>
      </c>
      <c r="H9" s="20">
        <f t="shared" si="0"/>
        <v>1292748.3161611801</v>
      </c>
    </row>
    <row r="10" spans="3:8" ht="12.75">
      <c r="C10" s="1"/>
      <c r="D10" s="1"/>
      <c r="E10" s="1"/>
      <c r="F10" s="1"/>
      <c r="G10" s="1"/>
      <c r="H10" s="1"/>
    </row>
    <row r="11" spans="1:8" ht="12.75">
      <c r="A11" t="s">
        <v>52</v>
      </c>
      <c r="C11" s="1">
        <v>-110000</v>
      </c>
      <c r="D11" s="1">
        <v>-223000</v>
      </c>
      <c r="E11" s="1">
        <v>-223000</v>
      </c>
      <c r="F11" s="1">
        <v>-223000</v>
      </c>
      <c r="G11" s="1">
        <v>-223000</v>
      </c>
      <c r="H11" s="1">
        <v>-223000</v>
      </c>
    </row>
    <row r="12" spans="3:8" ht="12.75">
      <c r="C12" s="1"/>
      <c r="D12" s="1"/>
      <c r="E12" s="1"/>
      <c r="F12" s="1"/>
      <c r="G12" s="1"/>
      <c r="H12" s="1"/>
    </row>
    <row r="13" spans="1:8" ht="13.5" thickBot="1">
      <c r="A13" s="4" t="s">
        <v>53</v>
      </c>
      <c r="C13" s="21">
        <f aca="true" t="shared" si="1" ref="C13:H13">+C9+C11+C4</f>
        <v>-2841915.449391392</v>
      </c>
      <c r="D13" s="21">
        <f t="shared" si="1"/>
        <v>894649.00912094</v>
      </c>
      <c r="E13" s="21">
        <f t="shared" si="1"/>
        <v>1145561.9513571507</v>
      </c>
      <c r="F13" s="21">
        <f t="shared" si="1"/>
        <v>984503.2734442924</v>
      </c>
      <c r="G13" s="21">
        <f t="shared" si="1"/>
        <v>875449.1462372693</v>
      </c>
      <c r="H13" s="21">
        <f t="shared" si="1"/>
        <v>1017581.6494945135</v>
      </c>
    </row>
    <row r="14" spans="3:8" ht="13.5" thickTop="1">
      <c r="C14" s="1"/>
      <c r="D14" s="1"/>
      <c r="E14" s="1"/>
      <c r="F14" s="1"/>
      <c r="G14" s="1"/>
      <c r="H14" s="1"/>
    </row>
    <row r="15" spans="1:8" ht="12.75">
      <c r="A15" t="s">
        <v>54</v>
      </c>
      <c r="C15" s="1">
        <v>-10000</v>
      </c>
      <c r="D15" s="1">
        <v>0</v>
      </c>
      <c r="E15" s="1">
        <v>0</v>
      </c>
      <c r="F15" s="1">
        <v>0</v>
      </c>
      <c r="G15" s="1">
        <v>0</v>
      </c>
      <c r="H15" s="1">
        <v>200000</v>
      </c>
    </row>
    <row r="16" spans="1:8" ht="12.75">
      <c r="A16" t="s">
        <v>55</v>
      </c>
      <c r="C16" s="1">
        <v>0</v>
      </c>
      <c r="D16" s="1">
        <v>-7676</v>
      </c>
      <c r="E16" s="1">
        <v>-10663</v>
      </c>
      <c r="F16" s="1">
        <v>-7053</v>
      </c>
      <c r="G16" s="1">
        <v>-6952</v>
      </c>
      <c r="H16" s="1">
        <v>-9905</v>
      </c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1:8" ht="13.5" thickBot="1">
      <c r="A19" s="4" t="s">
        <v>56</v>
      </c>
      <c r="B19" s="1">
        <f>SUM(C19:H19)</f>
        <v>2223580.5802627737</v>
      </c>
      <c r="C19" s="22">
        <f aca="true" t="shared" si="2" ref="C19:H19">+C13+SUM(C15:C16)</f>
        <v>-2851915.449391392</v>
      </c>
      <c r="D19" s="22">
        <f t="shared" si="2"/>
        <v>886973.00912094</v>
      </c>
      <c r="E19" s="22">
        <f t="shared" si="2"/>
        <v>1134898.9513571507</v>
      </c>
      <c r="F19" s="22">
        <f t="shared" si="2"/>
        <v>977450.2734442924</v>
      </c>
      <c r="G19" s="22">
        <f t="shared" si="2"/>
        <v>868497.1462372693</v>
      </c>
      <c r="H19" s="22">
        <f t="shared" si="2"/>
        <v>1207676.6494945134</v>
      </c>
    </row>
    <row r="21" ht="12.75">
      <c r="A21" s="10" t="s">
        <v>60</v>
      </c>
    </row>
    <row r="22" spans="1:8" ht="12.75">
      <c r="A22" t="s">
        <v>57</v>
      </c>
      <c r="B22" s="1">
        <f>SUM(C22:H22)</f>
        <v>-12932923.406271856</v>
      </c>
      <c r="C22" s="1">
        <f aca="true" t="shared" si="3" ref="C22:H22">C4+C7+C11+C16+IF(C15&lt;0,C15,0)</f>
        <v>-2851915.449391392</v>
      </c>
      <c r="D22" s="1">
        <f t="shared" si="3"/>
        <v>-1983038.68697535</v>
      </c>
      <c r="E22" s="1">
        <f t="shared" si="3"/>
        <v>-2050129.4583241565</v>
      </c>
      <c r="F22" s="1">
        <f t="shared" si="3"/>
        <v>-1975762.8074018878</v>
      </c>
      <c r="G22" s="1">
        <f t="shared" si="3"/>
        <v>-1985718.8537627307</v>
      </c>
      <c r="H22" s="1">
        <f t="shared" si="3"/>
        <v>-2086358.1504163397</v>
      </c>
    </row>
    <row r="23" spans="1:8" ht="12.75">
      <c r="A23" t="s">
        <v>58</v>
      </c>
      <c r="B23" s="1">
        <f>SUM(C23:H23)</f>
        <v>15156503.98653463</v>
      </c>
      <c r="C23" s="16">
        <f aca="true" t="shared" si="4" ref="C23:H23">C6+IF(C15&gt;0,C15,0)</f>
        <v>0</v>
      </c>
      <c r="D23" s="16">
        <f t="shared" si="4"/>
        <v>2870011.69609629</v>
      </c>
      <c r="E23" s="16">
        <f t="shared" si="4"/>
        <v>3185028.409681307</v>
      </c>
      <c r="F23" s="16">
        <f t="shared" si="4"/>
        <v>2953213.08084618</v>
      </c>
      <c r="G23" s="16">
        <f t="shared" si="4"/>
        <v>2854216</v>
      </c>
      <c r="H23" s="16">
        <f t="shared" si="4"/>
        <v>3294034.799910853</v>
      </c>
    </row>
    <row r="24" ht="12.75">
      <c r="B24" s="23"/>
    </row>
    <row r="25" ht="12.75">
      <c r="B25" s="23"/>
    </row>
    <row r="26" spans="1:2" ht="12.75">
      <c r="A26" s="24" t="s">
        <v>61</v>
      </c>
      <c r="B26" s="23"/>
    </row>
    <row r="27" spans="1:2" ht="12.75">
      <c r="A27" t="s">
        <v>8</v>
      </c>
      <c r="B27" s="3">
        <v>0.2</v>
      </c>
    </row>
    <row r="28" spans="1:8" ht="12.75">
      <c r="A28" t="s">
        <v>57</v>
      </c>
      <c r="B28" s="1">
        <f>SUM(C28:H28)</f>
        <v>-8867609.54938117</v>
      </c>
      <c r="C28" s="1">
        <f aca="true" t="shared" si="5" ref="C28:H29">C22/(1+$B$27)^C$2</f>
        <v>-2851915.449391392</v>
      </c>
      <c r="D28" s="1">
        <f t="shared" si="5"/>
        <v>-1652532.239146125</v>
      </c>
      <c r="E28" s="1">
        <f t="shared" si="5"/>
        <v>-1423701.0127251088</v>
      </c>
      <c r="F28" s="1">
        <f t="shared" si="5"/>
        <v>-1143381.2542835</v>
      </c>
      <c r="G28" s="1">
        <f t="shared" si="5"/>
        <v>-957619.0459889713</v>
      </c>
      <c r="H28" s="1">
        <f t="shared" si="5"/>
        <v>-838460.5478460728</v>
      </c>
    </row>
    <row r="29" spans="1:8" ht="12.75">
      <c r="A29" t="s">
        <v>58</v>
      </c>
      <c r="B29" s="1">
        <f>SUM(C29:H29)</f>
        <v>9012790.228460938</v>
      </c>
      <c r="C29" s="1">
        <f t="shared" si="5"/>
        <v>0</v>
      </c>
      <c r="D29" s="1">
        <f t="shared" si="5"/>
        <v>2391676.413413575</v>
      </c>
      <c r="E29" s="1">
        <f t="shared" si="5"/>
        <v>2211825.2845009076</v>
      </c>
      <c r="F29" s="1">
        <f t="shared" si="5"/>
        <v>1709035.3477119098</v>
      </c>
      <c r="G29" s="1">
        <f t="shared" si="5"/>
        <v>1376454.475308642</v>
      </c>
      <c r="H29" s="1">
        <f t="shared" si="5"/>
        <v>1323798.7075259024</v>
      </c>
    </row>
    <row r="30" spans="1:2" ht="12.75">
      <c r="A30" s="5" t="s">
        <v>59</v>
      </c>
      <c r="B30" s="23">
        <f>B29/(-B28)</f>
        <v>1.0163720197953348</v>
      </c>
    </row>
    <row r="32" spans="1:3" ht="12.75">
      <c r="A32" t="s">
        <v>64</v>
      </c>
      <c r="B32" s="1">
        <f>B29+B28</f>
        <v>145180.67907976732</v>
      </c>
      <c r="C32" t="s">
        <v>65</v>
      </c>
    </row>
    <row r="33" spans="1:3" ht="12.75">
      <c r="A33" t="s">
        <v>64</v>
      </c>
      <c r="B33" s="1">
        <f>NPV(B27,D19:H19)+C19</f>
        <v>145180.67907976685</v>
      </c>
      <c r="C33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4.8515625" style="0" customWidth="1"/>
    <col min="3" max="3" width="12.421875" style="0" bestFit="1" customWidth="1"/>
    <col min="4" max="6" width="12.140625" style="0" bestFit="1" customWidth="1"/>
    <col min="7" max="7" width="12.421875" style="0" bestFit="1" customWidth="1"/>
    <col min="8" max="8" width="12.140625" style="0" bestFit="1" customWidth="1"/>
    <col min="9" max="9" width="36.421875" style="0" bestFit="1" customWidth="1"/>
  </cols>
  <sheetData>
    <row r="2" spans="2:8" ht="12.75">
      <c r="B2" t="s">
        <v>2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2:8" ht="12.75">
      <c r="B3" t="s">
        <v>0</v>
      </c>
      <c r="C3" s="6"/>
      <c r="D3" s="6">
        <v>1000</v>
      </c>
      <c r="E3" s="6">
        <v>1000</v>
      </c>
      <c r="F3" s="6">
        <v>1000</v>
      </c>
      <c r="G3" s="6">
        <v>1000</v>
      </c>
      <c r="H3" s="6">
        <v>1000</v>
      </c>
    </row>
    <row r="4" spans="2:8" ht="12.75">
      <c r="B4" t="s">
        <v>1</v>
      </c>
      <c r="C4" s="6">
        <v>-2500</v>
      </c>
      <c r="D4" s="6"/>
      <c r="E4" s="6"/>
      <c r="F4" s="6"/>
      <c r="G4" s="6"/>
      <c r="H4" s="6"/>
    </row>
    <row r="5" spans="2:8" ht="12.75">
      <c r="B5" t="s">
        <v>3</v>
      </c>
      <c r="C5" s="2">
        <f aca="true" t="shared" si="0" ref="C5:H5">SUM(C3:C4)</f>
        <v>-2500</v>
      </c>
      <c r="D5" s="2">
        <f t="shared" si="0"/>
        <v>1000</v>
      </c>
      <c r="E5" s="2">
        <f t="shared" si="0"/>
        <v>1000</v>
      </c>
      <c r="F5" s="2">
        <f t="shared" si="0"/>
        <v>1000</v>
      </c>
      <c r="G5" s="2">
        <f t="shared" si="0"/>
        <v>1000</v>
      </c>
      <c r="H5" s="2">
        <f t="shared" si="0"/>
        <v>1000</v>
      </c>
    </row>
    <row r="6" spans="2:8" ht="12.75">
      <c r="B6" t="s">
        <v>43</v>
      </c>
      <c r="C6" s="19">
        <f>C5</f>
        <v>-2500</v>
      </c>
      <c r="D6" s="19">
        <f>C6+D5</f>
        <v>-1500</v>
      </c>
      <c r="E6" s="19">
        <f>D6+E5</f>
        <v>-500</v>
      </c>
      <c r="F6" s="19">
        <f>E6+F5</f>
        <v>500</v>
      </c>
      <c r="G6" s="19">
        <f>F6+G5</f>
        <v>1500</v>
      </c>
      <c r="H6" s="19">
        <f>G6+H5</f>
        <v>2500</v>
      </c>
    </row>
    <row r="7" spans="1:9" ht="12.75">
      <c r="A7" s="15" t="str">
        <f>CONCATENATE(TEXT(B7,0)," Años y ")</f>
        <v>2 Años y </v>
      </c>
      <c r="B7" s="16">
        <f>IF(ROUND(SUM(C8:H8),0)=12,SUM(C7:H7)+1,SUM(C7:H7))</f>
        <v>2</v>
      </c>
      <c r="C7" s="17">
        <f aca="true" t="shared" si="1" ref="C7:H7">IF(ISNUMBER(C8),C2,"")</f>
      </c>
      <c r="D7" s="17">
        <f t="shared" si="1"/>
      </c>
      <c r="E7" s="17">
        <f t="shared" si="1"/>
        <v>2</v>
      </c>
      <c r="F7" s="17">
        <f t="shared" si="1"/>
      </c>
      <c r="G7" s="17">
        <f t="shared" si="1"/>
      </c>
      <c r="H7" s="17">
        <f t="shared" si="1"/>
      </c>
      <c r="I7" s="5" t="s">
        <v>46</v>
      </c>
    </row>
    <row r="8" spans="1:9" ht="12.75">
      <c r="A8" s="15" t="str">
        <f>CONCATENATE(TEXT(B8,0)," meses")</f>
        <v>6 meses</v>
      </c>
      <c r="B8" s="16">
        <f>IF(ROUND(SUM(C8:H8),0)=12,0,SUM(C8:H8))</f>
        <v>6</v>
      </c>
      <c r="C8" s="17">
        <f>IF(AND(C6&lt;0,D6&gt;=0),-C6/((D6-C6)/12),"")</f>
      </c>
      <c r="D8" s="17">
        <f>IF(AND(D6&lt;0,E6&gt;=0),-D6/((E6-D6)/12),"")</f>
      </c>
      <c r="E8" s="17">
        <f>IF(AND(E6&lt;0,F6&gt;=0),-E6/((F6-E6)/12),"")</f>
        <v>6</v>
      </c>
      <c r="F8" s="17">
        <f>IF(AND(F6&lt;0,G6&gt;=0),-F6/((G6-F6)/12),"")</f>
      </c>
      <c r="G8" s="17">
        <f>IF(AND(G6&lt;0,H6&gt;=0),-G6/((H6-G6)/12),"")</f>
      </c>
      <c r="H8" s="18">
        <f>IF(H6&lt;0,99,"")</f>
      </c>
      <c r="I8" s="5" t="s">
        <v>45</v>
      </c>
    </row>
    <row r="9" spans="1:8" ht="12.75">
      <c r="A9" s="5" t="s">
        <v>63</v>
      </c>
      <c r="C9" s="19" t="str">
        <f>IF(B8&lt;99,CONCATENATE(A7,A8),"No Recupera")</f>
        <v>2 Años y 6 meses</v>
      </c>
      <c r="D9" s="19"/>
      <c r="E9" s="19"/>
      <c r="F9" s="19"/>
      <c r="G9" s="19"/>
      <c r="H9" s="19"/>
    </row>
    <row r="10" spans="3:8" ht="12.75">
      <c r="C10" s="19"/>
      <c r="D10" s="19"/>
      <c r="E10" s="19"/>
      <c r="F10" s="19"/>
      <c r="G10" s="19"/>
      <c r="H10" s="19"/>
    </row>
    <row r="11" spans="3:8" ht="12.75">
      <c r="C11" s="19"/>
      <c r="D11" s="19"/>
      <c r="E11" s="19"/>
      <c r="F11" s="19"/>
      <c r="G11" s="19"/>
      <c r="H11" s="19"/>
    </row>
    <row r="13" spans="1:3" ht="12.75">
      <c r="A13" s="5" t="s">
        <v>8</v>
      </c>
      <c r="C13" s="3">
        <v>0.2</v>
      </c>
    </row>
    <row r="14" spans="1:8" ht="12.75">
      <c r="A14" t="s">
        <v>4</v>
      </c>
      <c r="C14" s="7">
        <f aca="true" t="shared" si="2" ref="C14:H14">C5/(1+$C$13)^C2</f>
        <v>-2500</v>
      </c>
      <c r="D14" s="7">
        <f t="shared" si="2"/>
        <v>833.3333333333334</v>
      </c>
      <c r="E14" s="7">
        <f t="shared" si="2"/>
        <v>694.4444444444445</v>
      </c>
      <c r="F14" s="7">
        <f t="shared" si="2"/>
        <v>578.7037037037037</v>
      </c>
      <c r="G14" s="7">
        <f t="shared" si="2"/>
        <v>482.2530864197531</v>
      </c>
      <c r="H14" s="7">
        <f t="shared" si="2"/>
        <v>401.87757201646093</v>
      </c>
    </row>
    <row r="15" spans="1:8" ht="12.75">
      <c r="A15" t="s">
        <v>44</v>
      </c>
      <c r="C15" s="1">
        <f>C14</f>
        <v>-2500</v>
      </c>
      <c r="D15" s="1">
        <f>D14+C15</f>
        <v>-1666.6666666666665</v>
      </c>
      <c r="E15" s="1">
        <f>E14+D15</f>
        <v>-972.2222222222221</v>
      </c>
      <c r="F15" s="1">
        <f>F14+E15</f>
        <v>-393.51851851851836</v>
      </c>
      <c r="G15" s="1">
        <f>G14+F15</f>
        <v>88.73456790123475</v>
      </c>
      <c r="H15" s="1">
        <f>H14+G15</f>
        <v>490.6121399176957</v>
      </c>
    </row>
    <row r="16" spans="1:8" ht="12.75">
      <c r="A16" s="15" t="str">
        <f>CONCATENATE(TEXT(B16,0)," Años y ")</f>
        <v>3 Años y </v>
      </c>
      <c r="B16" s="16">
        <f>IF(ROUND(SUM(C17:H17),0)=12,SUM(C16:H16)+1,SUM(C16:H16))</f>
        <v>3</v>
      </c>
      <c r="C16" s="17">
        <f aca="true" t="shared" si="3" ref="C16:H16">IF(ISNUMBER(C17),C2,"")</f>
      </c>
      <c r="D16" s="17">
        <f t="shared" si="3"/>
      </c>
      <c r="E16" s="17">
        <f t="shared" si="3"/>
      </c>
      <c r="F16" s="17">
        <f t="shared" si="3"/>
        <v>3</v>
      </c>
      <c r="G16" s="17">
        <f t="shared" si="3"/>
      </c>
      <c r="H16" s="17">
        <f t="shared" si="3"/>
      </c>
    </row>
    <row r="17" spans="1:8" ht="12.75">
      <c r="A17" s="15" t="str">
        <f>CONCATENATE(TEXT(B17,0)," meses")</f>
        <v>10 meses</v>
      </c>
      <c r="B17" s="16">
        <f>IF(ROUND(SUM(C17:H17),0)=12,0,SUM(C17:H17))</f>
        <v>9.791999999999996</v>
      </c>
      <c r="C17" s="17">
        <f>IF(AND(C15&lt;0,D15&gt;=0),-C15/((D15-C15)/12),"")</f>
      </c>
      <c r="D17" s="17">
        <f>IF(AND(D15&lt;0,E15&gt;=0),-D15/((E15-D15)/12),"")</f>
      </c>
      <c r="E17" s="17">
        <f>IF(AND(E15&lt;0,F15&gt;=0),-E15/((F15-E15)/12),"")</f>
      </c>
      <c r="F17" s="17">
        <f>IF(AND(F15&lt;0,G15&gt;=0),-F15/((G15-F15)/12),"")</f>
        <v>9.791999999999996</v>
      </c>
      <c r="G17" s="17">
        <f>IF(AND(G15&lt;0,H15&gt;=0),-G15/((H15-G15)/12),"")</f>
      </c>
      <c r="H17" s="18">
        <f>IF(H15&lt;0,99,"")</f>
      </c>
    </row>
    <row r="18" spans="1:8" ht="12.75">
      <c r="A18" s="5" t="s">
        <v>62</v>
      </c>
      <c r="C18" s="19" t="str">
        <f>IF(B17&lt;99,CONCATENATE(A16,A17),"No Recupera")</f>
        <v>3 Años y 10 meses</v>
      </c>
      <c r="D18" s="19"/>
      <c r="E18" s="19"/>
      <c r="F18" s="19"/>
      <c r="G18" s="19"/>
      <c r="H18" s="1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H25"/>
  <sheetViews>
    <sheetView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3" width="12.421875" style="0" bestFit="1" customWidth="1"/>
    <col min="4" max="6" width="12.140625" style="0" bestFit="1" customWidth="1"/>
    <col min="7" max="7" width="12.421875" style="0" bestFit="1" customWidth="1"/>
    <col min="8" max="8" width="12.140625" style="0" bestFit="1" customWidth="1"/>
  </cols>
  <sheetData>
    <row r="2" spans="2:8" ht="12.75">
      <c r="B2" t="s">
        <v>2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</row>
    <row r="3" spans="2:8" ht="12.75">
      <c r="B3" t="s">
        <v>0</v>
      </c>
      <c r="C3" s="6"/>
      <c r="D3" s="6">
        <v>1000</v>
      </c>
      <c r="E3" s="6">
        <v>1000</v>
      </c>
      <c r="F3" s="6">
        <v>1000</v>
      </c>
      <c r="G3" s="6">
        <v>1000</v>
      </c>
      <c r="H3" s="6">
        <v>1000</v>
      </c>
    </row>
    <row r="4" spans="2:8" ht="12.75">
      <c r="B4" t="s">
        <v>1</v>
      </c>
      <c r="C4" s="6">
        <v>-2500</v>
      </c>
      <c r="D4" s="6"/>
      <c r="E4" s="6"/>
      <c r="F4" s="6"/>
      <c r="G4" s="6"/>
      <c r="H4" s="6"/>
    </row>
    <row r="5" spans="2:8" ht="12.75">
      <c r="B5" t="s">
        <v>3</v>
      </c>
      <c r="C5" s="2">
        <f aca="true" t="shared" si="0" ref="C5:H5">SUM(C3:C4)</f>
        <v>-2500</v>
      </c>
      <c r="D5" s="2">
        <f t="shared" si="0"/>
        <v>1000</v>
      </c>
      <c r="E5" s="2">
        <f t="shared" si="0"/>
        <v>1000</v>
      </c>
      <c r="F5" s="2">
        <f t="shared" si="0"/>
        <v>1000</v>
      </c>
      <c r="G5" s="2">
        <f t="shared" si="0"/>
        <v>1000</v>
      </c>
      <c r="H5" s="2">
        <f t="shared" si="0"/>
        <v>1000</v>
      </c>
    </row>
    <row r="8" spans="1:3" ht="12.75">
      <c r="A8" s="5" t="s">
        <v>8</v>
      </c>
      <c r="C8" s="3">
        <v>0.2</v>
      </c>
    </row>
    <row r="9" spans="1:8" ht="12.75">
      <c r="A9" t="s">
        <v>4</v>
      </c>
      <c r="C9" s="7">
        <f aca="true" t="shared" si="1" ref="C9:H9">C5/(1+$C$8)^C2</f>
        <v>-2500</v>
      </c>
      <c r="D9" s="7">
        <f t="shared" si="1"/>
        <v>833.3333333333334</v>
      </c>
      <c r="E9" s="7">
        <f t="shared" si="1"/>
        <v>694.4444444444445</v>
      </c>
      <c r="F9" s="7">
        <f t="shared" si="1"/>
        <v>578.7037037037037</v>
      </c>
      <c r="G9" s="7">
        <f t="shared" si="1"/>
        <v>482.2530864197531</v>
      </c>
      <c r="H9" s="7">
        <f t="shared" si="1"/>
        <v>401.87757201646093</v>
      </c>
    </row>
    <row r="10" spans="3:8" ht="12.75"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</row>
    <row r="11" spans="3:8" ht="12.75">
      <c r="C11" s="1"/>
      <c r="D11" s="1"/>
      <c r="E11" s="1"/>
      <c r="F11" s="1"/>
      <c r="G11" s="1"/>
      <c r="H11" s="1"/>
    </row>
    <row r="12" ht="12.75">
      <c r="C12" s="1"/>
    </row>
    <row r="13" ht="12.75">
      <c r="A13" s="4" t="s">
        <v>5</v>
      </c>
    </row>
    <row r="14" spans="3:5" ht="12.75">
      <c r="C14" s="11" t="s">
        <v>40</v>
      </c>
      <c r="E14" s="11" t="s">
        <v>41</v>
      </c>
    </row>
    <row r="15" spans="2:5" ht="12.75">
      <c r="B15" t="s">
        <v>7</v>
      </c>
      <c r="C15" s="1">
        <f>NPV(C8,D5:H5)+C5</f>
        <v>490.6121399176959</v>
      </c>
      <c r="E15" s="1">
        <f>SUM(C9:H9)</f>
        <v>490.6121399176957</v>
      </c>
    </row>
    <row r="16" spans="3:5" ht="12.75">
      <c r="C16" s="5" t="s">
        <v>6</v>
      </c>
      <c r="E16" s="5" t="s">
        <v>15</v>
      </c>
    </row>
    <row r="17" ht="12.75">
      <c r="C17" s="5"/>
    </row>
    <row r="18" ht="12.75">
      <c r="A18" s="4" t="s">
        <v>16</v>
      </c>
    </row>
    <row r="19" ht="12.75">
      <c r="C19" s="11" t="s">
        <v>40</v>
      </c>
    </row>
    <row r="20" spans="2:3" ht="12.75">
      <c r="B20" s="5" t="s">
        <v>17</v>
      </c>
      <c r="C20" s="9">
        <f>IRR(C5:H5,10%)</f>
        <v>0.28649290249356346</v>
      </c>
    </row>
    <row r="21" ht="12.75">
      <c r="C21" s="5" t="s">
        <v>18</v>
      </c>
    </row>
    <row r="23" spans="3:5" ht="12.75">
      <c r="C23" s="14" t="s">
        <v>42</v>
      </c>
      <c r="E23" s="14" t="s">
        <v>39</v>
      </c>
    </row>
    <row r="24" spans="2:3" ht="12.75">
      <c r="B24" t="s">
        <v>37</v>
      </c>
      <c r="C24" s="3">
        <v>0.1</v>
      </c>
    </row>
    <row r="25" spans="2:3" ht="12.75">
      <c r="B25" t="s">
        <v>38</v>
      </c>
      <c r="C25" s="1">
        <f>NPV(C24,D5:H5)+C5</f>
        <v>1290.786769408447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Marcillo Morla</dc:creator>
  <cp:keywords/>
  <dc:description/>
  <cp:lastModifiedBy>Fabrizio Marcillo Morla</cp:lastModifiedBy>
  <dcterms:created xsi:type="dcterms:W3CDTF">1999-08-24T11:03:56Z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